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Enrique Leó/UCR/Docencia/Exámenes/Examenes de GC/Primer Parcial/"/>
    </mc:Choice>
  </mc:AlternateContent>
  <xr:revisionPtr revIDLastSave="0" documentId="13_ncr:1_{FEA9CEA8-958B-464F-92B3-B0BAE69B37C5}" xr6:coauthVersionLast="47" xr6:coauthVersionMax="47" xr10:uidLastSave="{00000000-0000-0000-0000-000000000000}"/>
  <bookViews>
    <workbookView xWindow="0" yWindow="720" windowWidth="34560" windowHeight="20360" xr2:uid="{1FFC635D-0D55-9C41-8713-A155A3197D38}"/>
  </bookViews>
  <sheets>
    <sheet name="Primera pregunta" sheetId="1" r:id="rId1"/>
    <sheet name="Segunda pregunta" sheetId="2" r:id="rId2"/>
    <sheet name="Tercera pregunta" sheetId="3" r:id="rId3"/>
    <sheet name="Cuarta pregunt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4" l="1"/>
  <c r="E9" i="4"/>
  <c r="F9" i="4" s="1"/>
  <c r="G9" i="4" s="1"/>
  <c r="E16" i="4"/>
  <c r="E15" i="4"/>
  <c r="I5" i="4"/>
  <c r="J5" i="4" s="1"/>
  <c r="K5" i="4" s="1"/>
  <c r="L5" i="4" s="1"/>
  <c r="M5" i="4" s="1"/>
  <c r="O5" i="4" s="1"/>
  <c r="P5" i="4" s="1"/>
  <c r="E5" i="4"/>
  <c r="F5" i="4" s="1"/>
  <c r="G5" i="4" s="1"/>
  <c r="E14" i="4"/>
  <c r="J6" i="4"/>
  <c r="K6" i="4" s="1"/>
  <c r="D7" i="4" s="1"/>
  <c r="E7" i="4" s="1"/>
  <c r="F7" i="4" s="1"/>
  <c r="G7" i="4" s="1"/>
  <c r="N5" i="4"/>
  <c r="E13" i="4"/>
  <c r="G10" i="4"/>
  <c r="J10" i="4" s="1"/>
  <c r="K10" i="4" s="1"/>
  <c r="G8" i="4"/>
  <c r="J8" i="4" s="1"/>
  <c r="K8" i="4" s="1"/>
  <c r="G6" i="4"/>
  <c r="N6" i="4" l="1"/>
  <c r="O6" i="4"/>
  <c r="P6" i="4" s="1"/>
  <c r="H7" i="4"/>
  <c r="I7" i="4" s="1"/>
  <c r="J7" i="4"/>
  <c r="K7" i="4" s="1"/>
  <c r="H9" i="4"/>
  <c r="I9" i="4" s="1"/>
  <c r="J9" i="4"/>
  <c r="K9" i="4" s="1"/>
  <c r="E19" i="3"/>
  <c r="E18" i="3"/>
  <c r="E17" i="3"/>
  <c r="E16" i="3"/>
  <c r="E15" i="3"/>
  <c r="E14" i="3"/>
  <c r="C14" i="3"/>
  <c r="C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C9" i="3"/>
  <c r="I8" i="3"/>
  <c r="H8" i="3"/>
  <c r="G8" i="3"/>
  <c r="F8" i="3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E4" i="3"/>
  <c r="I3" i="3"/>
  <c r="H3" i="3"/>
  <c r="G3" i="3"/>
  <c r="F3" i="3"/>
  <c r="E3" i="3"/>
  <c r="I2" i="3"/>
  <c r="H2" i="3"/>
  <c r="G2" i="3"/>
  <c r="F2" i="3"/>
  <c r="E2" i="3"/>
  <c r="N7" i="4" l="1"/>
  <c r="L7" i="4"/>
  <c r="M7" i="4" s="1"/>
  <c r="O7" i="4" s="1"/>
  <c r="P7" i="4" s="1"/>
  <c r="Q6" i="4"/>
  <c r="F18" i="3"/>
  <c r="F16" i="3"/>
  <c r="F14" i="3"/>
  <c r="F15" i="3"/>
  <c r="F17" i="3"/>
  <c r="F19" i="3"/>
  <c r="H22" i="3" s="1"/>
  <c r="O8" i="4" l="1"/>
  <c r="P8" i="4" s="1"/>
  <c r="N8" i="4"/>
  <c r="F20" i="3"/>
  <c r="H23" i="3"/>
  <c r="H24" i="3" s="1"/>
  <c r="N9" i="4" l="1"/>
  <c r="Q8" i="4"/>
  <c r="L9" i="4"/>
  <c r="M9" i="4" s="1"/>
  <c r="O9" i="4" s="1"/>
  <c r="P9" i="4" s="1"/>
  <c r="H13" i="3"/>
  <c r="H14" i="3" s="1"/>
  <c r="N10" i="4" l="1"/>
  <c r="O10" i="4"/>
  <c r="P10" i="4" s="1"/>
  <c r="Q10" i="4" s="1"/>
  <c r="S16" i="2"/>
  <c r="R16" i="2"/>
  <c r="S15" i="2"/>
  <c r="R15" i="2"/>
  <c r="M16" i="2"/>
  <c r="L16" i="2"/>
  <c r="M15" i="2"/>
  <c r="L15" i="2"/>
  <c r="O4" i="2"/>
  <c r="O5" i="2"/>
  <c r="O6" i="2"/>
  <c r="O7" i="2"/>
  <c r="O8" i="2"/>
  <c r="O9" i="2"/>
  <c r="O10" i="2"/>
  <c r="O11" i="2"/>
  <c r="O3" i="2"/>
  <c r="M11" i="2"/>
  <c r="N11" i="2" s="1"/>
  <c r="M10" i="2"/>
  <c r="M9" i="2"/>
  <c r="L10" i="2"/>
  <c r="N10" i="2" s="1"/>
  <c r="L9" i="2"/>
  <c r="N9" i="2" s="1"/>
  <c r="M8" i="2"/>
  <c r="L45" i="2" s="1"/>
  <c r="L8" i="2"/>
  <c r="K45" i="2" s="1"/>
  <c r="L46" i="2" s="1"/>
  <c r="M7" i="2"/>
  <c r="L7" i="2"/>
  <c r="N7" i="2" s="1"/>
  <c r="M6" i="2"/>
  <c r="L6" i="2"/>
  <c r="M5" i="2"/>
  <c r="L5" i="2"/>
  <c r="L24" i="2" s="1"/>
  <c r="M4" i="2"/>
  <c r="L4" i="2"/>
  <c r="N4" i="2" s="1"/>
  <c r="M3" i="2"/>
  <c r="L3" i="2"/>
  <c r="N3" i="2" s="1"/>
  <c r="C8" i="1"/>
  <c r="C17" i="1"/>
  <c r="D17" i="1" s="1"/>
  <c r="C12" i="1"/>
  <c r="C11" i="1"/>
  <c r="C10" i="1"/>
  <c r="C9" i="1"/>
  <c r="C19" i="1" s="1"/>
  <c r="C7" i="1"/>
  <c r="M17" i="2" l="1"/>
  <c r="P7" i="2"/>
  <c r="N5" i="2"/>
  <c r="N6" i="2"/>
  <c r="L18" i="2"/>
  <c r="Q45" i="2"/>
  <c r="M18" i="2"/>
  <c r="M19" i="2" s="1"/>
  <c r="R45" i="2"/>
  <c r="N39" i="2"/>
  <c r="T39" i="2"/>
  <c r="U24" i="2"/>
  <c r="U25" i="2" s="1"/>
  <c r="M24" i="2"/>
  <c r="M25" i="2" s="1"/>
  <c r="O26" i="2" s="1"/>
  <c r="P9" i="2"/>
  <c r="O24" i="2"/>
  <c r="O25" i="2" s="1"/>
  <c r="P11" i="2"/>
  <c r="N8" i="2"/>
  <c r="P8" i="2" s="1"/>
  <c r="L17" i="2"/>
  <c r="L19" i="2" s="1"/>
  <c r="P4" i="2"/>
  <c r="P6" i="2"/>
  <c r="R18" i="2"/>
  <c r="R24" i="2" s="1"/>
  <c r="S18" i="2"/>
  <c r="S24" i="2" s="1"/>
  <c r="P3" i="2"/>
  <c r="P5" i="2"/>
  <c r="P10" i="2"/>
  <c r="S17" i="2"/>
  <c r="R17" i="2"/>
  <c r="B19" i="1"/>
  <c r="D19" i="1" s="1"/>
  <c r="D20" i="1" s="1"/>
  <c r="S25" i="2" l="1"/>
  <c r="R46" i="2"/>
  <c r="U26" i="2"/>
  <c r="S19" i="2"/>
  <c r="R19" i="2"/>
  <c r="M28" i="2"/>
  <c r="M27" i="2"/>
  <c r="S28" i="2" l="1"/>
  <c r="S27" i="2"/>
  <c r="M30" i="2"/>
  <c r="K39" i="2"/>
  <c r="M31" i="2"/>
  <c r="L39" i="2"/>
  <c r="Q39" i="2" l="1"/>
  <c r="S30" i="2"/>
  <c r="S31" i="2"/>
  <c r="R39" i="2"/>
  <c r="L40" i="2"/>
  <c r="N45" i="2" s="1"/>
  <c r="N46" i="2" s="1"/>
  <c r="M47" i="2" s="1"/>
  <c r="L48" i="2" s="1"/>
  <c r="L51" i="2" s="1"/>
  <c r="M32" i="2"/>
  <c r="M34" i="2" s="1"/>
  <c r="S32" i="2" l="1"/>
  <c r="S34" i="2" s="1"/>
  <c r="R40" i="2"/>
  <c r="T45" i="2" s="1"/>
  <c r="T46" i="2" s="1"/>
  <c r="S47" i="2" s="1"/>
  <c r="L49" i="2"/>
  <c r="L52" i="2" s="1"/>
  <c r="L53" i="2" s="1"/>
  <c r="L55" i="2" s="1"/>
  <c r="R48" i="2" l="1"/>
  <c r="R51" i="2" s="1"/>
  <c r="R49" i="2"/>
  <c r="R52" i="2" s="1"/>
  <c r="R53" i="2" s="1"/>
  <c r="R55" i="2" s="1"/>
</calcChain>
</file>

<file path=xl/sharedStrings.xml><?xml version="1.0" encoding="utf-8"?>
<sst xmlns="http://schemas.openxmlformats.org/spreadsheetml/2006/main" count="227" uniqueCount="96">
  <si>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</si>
  <si>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</si>
  <si>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</si>
  <si>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</si>
  <si>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</si>
  <si>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</si>
  <si>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</si>
  <si>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</si>
  <si>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</si>
  <si>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</si>
  <si>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Máquinas</t>
  </si>
  <si>
    <t>Aprovechamiento</t>
  </si>
  <si>
    <t>Componente o producto</t>
  </si>
  <si>
    <t>Vi</t>
  </si>
  <si>
    <t>X</t>
  </si>
  <si>
    <t>Y</t>
  </si>
  <si>
    <t>Z</t>
  </si>
  <si>
    <t>P</t>
  </si>
  <si>
    <t>Q</t>
  </si>
  <si>
    <t>S</t>
  </si>
  <si>
    <t>Si se tiene que entregar para mañana a primera hora un lote de 1000 piezas del componente Z y se tienen 500 piezas en proceso antes de la máquina 5, cuántas piezas hay que fabricar hoy?</t>
  </si>
  <si>
    <t>Ayer</t>
  </si>
  <si>
    <t>Terminadas</t>
  </si>
  <si>
    <t>Hoy</t>
  </si>
  <si>
    <t>Despacho</t>
  </si>
  <si>
    <t>2 pts</t>
  </si>
  <si>
    <t>1 punto cada una</t>
  </si>
  <si>
    <t>Precio</t>
  </si>
  <si>
    <t>CMP</t>
  </si>
  <si>
    <t>Demanda</t>
  </si>
  <si>
    <t>Lista de Materiales</t>
  </si>
  <si>
    <t>Maquinas</t>
  </si>
  <si>
    <t>Tstd en min/und</t>
  </si>
  <si>
    <t>Carga</t>
  </si>
  <si>
    <t>T disponible</t>
  </si>
  <si>
    <t>% de Carga</t>
  </si>
  <si>
    <t>CB</t>
  </si>
  <si>
    <t>Productos</t>
  </si>
  <si>
    <t>Precio venta</t>
  </si>
  <si>
    <t>MC</t>
  </si>
  <si>
    <t>Tcb</t>
  </si>
  <si>
    <t>Throughput</t>
  </si>
  <si>
    <t>Mezcla de producción</t>
  </si>
  <si>
    <t xml:space="preserve"> =</t>
  </si>
  <si>
    <t>P =</t>
  </si>
  <si>
    <t>Q =</t>
  </si>
  <si>
    <t>Ingresos</t>
  </si>
  <si>
    <t>G de op</t>
  </si>
  <si>
    <t>Ganancia</t>
  </si>
  <si>
    <t>Prueba de la Mezcla en el recurso de capacidad restringida M6</t>
  </si>
  <si>
    <t>&lt; =</t>
  </si>
  <si>
    <t>Recorte en M6</t>
  </si>
  <si>
    <t>X =</t>
  </si>
  <si>
    <t>Máquina M3</t>
  </si>
  <si>
    <t>Prueba de la Mezcla en el recurso de capacidad restringida M3</t>
  </si>
  <si>
    <t>Máquina M6</t>
  </si>
  <si>
    <t>R/ fabricar 140 unidades de P y 420 unidades de Q con una ganacia de $57.500</t>
  </si>
  <si>
    <t>Diámetro</t>
  </si>
  <si>
    <t>Probabilidad</t>
  </si>
  <si>
    <t>Especificación</t>
  </si>
  <si>
    <t>Ls</t>
  </si>
  <si>
    <t>Lc</t>
  </si>
  <si>
    <t>Longitud</t>
  </si>
  <si>
    <t>Fo</t>
  </si>
  <si>
    <t>ppm =</t>
  </si>
  <si>
    <t>Li</t>
  </si>
  <si>
    <t>nivel sigma=</t>
  </si>
  <si>
    <t>Por encima de especificación</t>
  </si>
  <si>
    <t>Por debajo de especificación</t>
  </si>
  <si>
    <t>Total</t>
  </si>
  <si>
    <t>El nivle sigma es de 2,14</t>
  </si>
  <si>
    <t>No es un nivel adecuado ya que equivale a un Cp de 0,71, el proceso no es capaz para cumplir con especificaciones</t>
  </si>
  <si>
    <t>A1</t>
  </si>
  <si>
    <t>Op1</t>
  </si>
  <si>
    <t>A2</t>
  </si>
  <si>
    <t>Op2</t>
  </si>
  <si>
    <t>A3</t>
  </si>
  <si>
    <t>Op3</t>
  </si>
  <si>
    <t>Ff</t>
  </si>
  <si>
    <t xml:space="preserve"> --</t>
  </si>
  <si>
    <t xml:space="preserve"> </t>
  </si>
  <si>
    <t>R/</t>
  </si>
  <si>
    <t>2,5 pts</t>
  </si>
  <si>
    <t>* Sí hacen la prueba y recorte sin calcular la utilidad sin recorte y tienen correcta la utilidad después del recorte se le dan todos los puntos</t>
  </si>
  <si>
    <t>8 pts</t>
  </si>
  <si>
    <t>El índice de capacidad es de 0,71</t>
  </si>
  <si>
    <t>3 pts</t>
  </si>
  <si>
    <t>4 pts</t>
  </si>
  <si>
    <t>Buffer</t>
  </si>
  <si>
    <t>Lcb =</t>
  </si>
  <si>
    <t>Producto</t>
  </si>
  <si>
    <t>F entrega</t>
  </si>
  <si>
    <t>DBR/MINDD</t>
  </si>
  <si>
    <t>Alistos</t>
  </si>
  <si>
    <t>BUFFER</t>
  </si>
  <si>
    <t>R/ Ninguna orden se atrasaría, el retraso promedio sería de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</si>
</sst>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$-409]#,##0.00"/>
    <numFmt numFmtId="166" formatCode="0.0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16"/>
      <color theme="1"/>
      <name val="Aptos Narrow"/>
      <scheme val="minor"/>
    </font>
    <font>
      <b/>
      <sz val="12"/>
      <color rgb="FFFF0000"/>
      <name val="Aptos Narrow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  <font>
      <b/>
      <sz val="20"/>
      <color theme="1"/>
      <name val="Aptos Narrow"/>
      <scheme val="minor"/>
    </font>
    <font>
      <sz val="10"/>
      <name val="Verdana"/>
      <family val="2"/>
    </font>
    <font>
      <sz val="12"/>
      <color rgb="FFFF0000"/>
      <name val="Aptos Narrow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6" xfId="0" applyBorder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0" xfId="0" applyFont="1"/>
    <xf numFmtId="0" fontId="0" fillId="0" borderId="5" xfId="0" applyBorder="1"/>
    <xf numFmtId="0" fontId="0" fillId="0" borderId="6" xfId="0" applyBorder="1" applyAlignment="1">
      <alignment horizontal="center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5" fillId="0" borderId="8" xfId="0" applyFont="1" applyBorder="1" applyAlignment="1">
      <alignment horizontal="center"/>
    </xf>
    <xf numFmtId="0" fontId="10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3">
    <cellStyle name="Normal" xfId="0" builtinId="0"/>
    <cellStyle name="Normal 2" xfId="2" xr:uid="{8B77F8E1-576A-6446-A2F0-FF74F5B9EF8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3</xdr:row>
      <xdr:rowOff>76200</xdr:rowOff>
    </xdr:from>
    <xdr:to>
      <xdr:col>13</xdr:col>
      <xdr:colOff>101600</xdr:colOff>
      <xdr:row>13</xdr:row>
      <xdr:rowOff>71155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2016DD-3B69-E6F7-DAE8-573AC8AD0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1300" y="838200"/>
          <a:ext cx="6286500" cy="2026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10</xdr:row>
      <xdr:rowOff>127001</xdr:rowOff>
    </xdr:from>
    <xdr:to>
      <xdr:col>8</xdr:col>
      <xdr:colOff>38100</xdr:colOff>
      <xdr:row>20</xdr:row>
      <xdr:rowOff>166551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016BFE-811A-8672-4B51-AEB96B1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2159001"/>
          <a:ext cx="6172200" cy="208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462643</xdr:colOff>
      <xdr:row>1</xdr:row>
      <xdr:rowOff>125430</xdr:rowOff>
    </xdr:from>
    <xdr:to>
      <xdr:col>16</xdr:col>
      <xdr:colOff>1</xdr:colOff>
      <xdr:row>7</xdr:row>
      <xdr:rowOff>73335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87867D-FE04-CE44-ABB0-56D716735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943" y="328630"/>
          <a:ext cx="6168572" cy="1167105"/>
        </a:xfrm>
        <a:prstGeom prst="rect">
          <a:avLst/>
        </a:prstGeom>
      </xdr:spPr>
    </xdr:pic>
    <xdr:clientData/>
  </xdr:twoCellAnchor>
  <xdr:twoCellAnchor editAs="oneCell">
    <xdr:from>
      <xdr:col>9</xdr:col>
      <xdr:colOff>480784</xdr:colOff>
      <xdr:row>7</xdr:row>
      <xdr:rowOff>88223</xdr:rowOff>
    </xdr:from>
    <xdr:to>
      <xdr:col>14</xdr:col>
      <xdr:colOff>203199</xdr:colOff>
      <xdr:row>13</xdr:row>
      <xdr:rowOff>70758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18C2FF-8818-8146-9F95-226E2BEB1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53084" y="1510623"/>
          <a:ext cx="4704443" cy="1201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9DF4-4735-AB42-9017-AA9B96B5B1B6}">
  <dimension ref="B2:L32"/>
  <sheetViews>
    <sheetView tabSelected="1" zoomScale="150" zoomScaleNormal="150" workbookViewId="0"/>
  </sheetViews>
  <sheetFormatPr baseColWidth="10" defaultRowHeight="16" x14ac:dyDescent="0.2"/>
  <cols>
    <col min="2" max="2" width="21" customWidth="1"/>
    <col min="3" max="12" width="10.83203125" style="1"/>
    <col min="2000" max="2001" width="2.5" customWidth="1"/>
  </cols>
  <sheetData>
    <row r="2" spans="2:12" ht="22" x14ac:dyDescent="0.3">
      <c r="B2" s="3" t="s">
        <v>10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</row>
    <row r="3" spans="2:12" ht="22" x14ac:dyDescent="0.3">
      <c r="B3" s="3" t="s">
        <v>11</v>
      </c>
      <c r="C3" s="5">
        <v>0.92400000000000004</v>
      </c>
      <c r="D3" s="5">
        <v>0.90100000000000002</v>
      </c>
      <c r="E3" s="5">
        <v>0.93799999999999994</v>
      </c>
      <c r="F3" s="5">
        <v>0.94099999999999995</v>
      </c>
      <c r="G3" s="5">
        <v>0.96299999999999997</v>
      </c>
      <c r="H3" s="5">
        <v>0.999</v>
      </c>
      <c r="I3" s="5">
        <v>0.94799999999999995</v>
      </c>
      <c r="J3" s="5">
        <v>0.97599999999999998</v>
      </c>
      <c r="K3" s="5">
        <v>0.90300000000000002</v>
      </c>
      <c r="L3" s="5">
        <v>0.97499999999999998</v>
      </c>
    </row>
    <row r="6" spans="2:12" x14ac:dyDescent="0.2">
      <c r="B6" s="2" t="s">
        <v>12</v>
      </c>
      <c r="C6" s="2" t="s">
        <v>13</v>
      </c>
    </row>
    <row r="7" spans="2:12" x14ac:dyDescent="0.2">
      <c r="B7" s="1" t="s">
        <v>14</v>
      </c>
      <c r="C7" s="6">
        <f>C3*D3*E3*F3</f>
        <v>0.73483396879199991</v>
      </c>
      <c r="D7" s="50" t="s">
        <v>26</v>
      </c>
    </row>
    <row r="8" spans="2:12" x14ac:dyDescent="0.2">
      <c r="B8" s="1" t="s">
        <v>15</v>
      </c>
      <c r="C8" s="6">
        <f>E3*C3*D3</f>
        <v>0.78090751200000008</v>
      </c>
      <c r="D8" s="50"/>
    </row>
    <row r="9" spans="2:12" x14ac:dyDescent="0.2">
      <c r="B9" s="1" t="s">
        <v>16</v>
      </c>
      <c r="C9" s="6">
        <f>F3*E3*G3*D3</f>
        <v>0.76584968825399991</v>
      </c>
      <c r="D9" s="50"/>
    </row>
    <row r="10" spans="2:12" x14ac:dyDescent="0.2">
      <c r="B10" s="1" t="s">
        <v>17</v>
      </c>
      <c r="C10" s="6">
        <f>H3*I3*J3</f>
        <v>0.92432275200000003</v>
      </c>
      <c r="D10" s="50"/>
    </row>
    <row r="11" spans="2:12" x14ac:dyDescent="0.2">
      <c r="B11" s="1" t="s">
        <v>18</v>
      </c>
      <c r="C11" s="6">
        <f>H3*I3*K3</f>
        <v>0.85518795600000008</v>
      </c>
      <c r="D11" s="50"/>
    </row>
    <row r="12" spans="2:12" x14ac:dyDescent="0.2">
      <c r="B12" s="1" t="s">
        <v>19</v>
      </c>
      <c r="C12" s="6">
        <f>H3*I3*L3</f>
        <v>0.92337570000000002</v>
      </c>
      <c r="D12" s="50"/>
    </row>
    <row r="13" spans="2:12" x14ac:dyDescent="0.2">
      <c r="B13" s="1"/>
    </row>
    <row r="14" spans="2:12" x14ac:dyDescent="0.2">
      <c r="B14" s="7" t="s">
        <v>20</v>
      </c>
    </row>
    <row r="15" spans="2:12" x14ac:dyDescent="0.2">
      <c r="B15" s="1"/>
    </row>
    <row r="16" spans="2:12" x14ac:dyDescent="0.2">
      <c r="B16" s="2" t="s">
        <v>21</v>
      </c>
      <c r="C16" s="2" t="s">
        <v>13</v>
      </c>
      <c r="D16" s="2" t="s">
        <v>22</v>
      </c>
    </row>
    <row r="17" spans="2:5" x14ac:dyDescent="0.2">
      <c r="B17" s="1">
        <v>500</v>
      </c>
      <c r="C17" s="6">
        <f>G3*D3</f>
        <v>0.86766299999999996</v>
      </c>
      <c r="D17" s="8">
        <f>B17*C17</f>
        <v>433.83150000000001</v>
      </c>
      <c r="E17" s="10" t="s">
        <v>25</v>
      </c>
    </row>
    <row r="18" spans="2:5" x14ac:dyDescent="0.2">
      <c r="B18" s="2" t="s">
        <v>23</v>
      </c>
    </row>
    <row r="19" spans="2:5" x14ac:dyDescent="0.2">
      <c r="B19" s="8">
        <f>(1000-D17)/C19</f>
        <v>739.26843437223658</v>
      </c>
      <c r="C19" s="9">
        <f>C9</f>
        <v>0.76584968825399991</v>
      </c>
      <c r="D19" s="8">
        <f>B19*C19</f>
        <v>566.16849999999999</v>
      </c>
      <c r="E19" s="10" t="s">
        <v>25</v>
      </c>
    </row>
    <row r="20" spans="2:5" x14ac:dyDescent="0.2">
      <c r="C20" s="2" t="s">
        <v>24</v>
      </c>
      <c r="D20" s="8">
        <f>D17+D19</f>
        <v>1000</v>
      </c>
    </row>
    <row r="23" spans="2:5" x14ac:dyDescent="0.2">
      <c r="D23"/>
    </row>
    <row r="24" spans="2:5" x14ac:dyDescent="0.2">
      <c r="D24"/>
    </row>
    <row r="25" spans="2:5" x14ac:dyDescent="0.2">
      <c r="D25"/>
    </row>
    <row r="26" spans="2:5" x14ac:dyDescent="0.2">
      <c r="D26"/>
    </row>
    <row r="27" spans="2:5" x14ac:dyDescent="0.2">
      <c r="D27"/>
    </row>
    <row r="28" spans="2:5" x14ac:dyDescent="0.2">
      <c r="D28"/>
    </row>
    <row r="29" spans="2:5" x14ac:dyDescent="0.2">
      <c r="D29"/>
    </row>
    <row r="30" spans="2:5" x14ac:dyDescent="0.2">
      <c r="D30"/>
    </row>
    <row r="31" spans="2:5" x14ac:dyDescent="0.2">
      <c r="D31"/>
    </row>
    <row r="32" spans="2:5" x14ac:dyDescent="0.2">
      <c r="D32"/>
    </row>
  </sheetData>
  <mergeCells count="1">
    <mergeCell ref="D7:D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72D7-931C-2D47-AE40-56511B1E79B7}">
  <dimension ref="A1:U58"/>
  <sheetViews>
    <sheetView zoomScale="90" zoomScaleNormal="90" workbookViewId="0">
      <selection activeCell="C32" sqref="C32"/>
    </sheetView>
  </sheetViews>
  <sheetFormatPr baseColWidth="10" defaultRowHeight="16" x14ac:dyDescent="0.2"/>
  <cols>
    <col min="2" max="2" width="14.1640625" customWidth="1"/>
    <col min="11" max="11" width="11.83203125" customWidth="1"/>
    <col min="19" max="19" width="12.1640625" customWidth="1"/>
  </cols>
  <sheetData>
    <row r="1" spans="1:21" x14ac:dyDescent="0.2">
      <c r="A1" s="11"/>
      <c r="B1" s="11"/>
      <c r="C1" s="11"/>
      <c r="D1" s="11"/>
      <c r="E1" s="11"/>
      <c r="F1" s="11"/>
      <c r="G1" s="11"/>
      <c r="H1" s="11"/>
      <c r="I1" s="11"/>
      <c r="K1" s="1"/>
      <c r="L1" s="2">
        <v>1000</v>
      </c>
      <c r="M1" s="2">
        <v>1000</v>
      </c>
      <c r="N1" s="1"/>
      <c r="O1" s="1"/>
      <c r="P1" s="1"/>
      <c r="Q1" s="1"/>
    </row>
    <row r="2" spans="1:21" x14ac:dyDescent="0.2">
      <c r="A2" s="11"/>
      <c r="B2" s="12"/>
      <c r="C2" s="12"/>
      <c r="D2" s="12"/>
      <c r="E2" s="12"/>
      <c r="F2" s="46" t="s">
        <v>30</v>
      </c>
      <c r="G2" s="46"/>
      <c r="H2" s="46"/>
      <c r="I2" s="11"/>
      <c r="K2" s="2" t="s">
        <v>10</v>
      </c>
      <c r="L2" s="2" t="s">
        <v>17</v>
      </c>
      <c r="M2" s="2" t="s">
        <v>18</v>
      </c>
      <c r="N2" s="2" t="s">
        <v>33</v>
      </c>
      <c r="O2" s="2" t="s">
        <v>34</v>
      </c>
      <c r="P2" s="2" t="s">
        <v>35</v>
      </c>
      <c r="Q2" s="1"/>
    </row>
    <row r="3" spans="1:21" x14ac:dyDescent="0.2">
      <c r="A3" s="11"/>
      <c r="B3" s="12"/>
      <c r="C3" s="13" t="s">
        <v>27</v>
      </c>
      <c r="D3" s="13" t="s">
        <v>28</v>
      </c>
      <c r="E3" s="13" t="s">
        <v>29</v>
      </c>
      <c r="F3" s="13" t="s">
        <v>14</v>
      </c>
      <c r="G3" s="13" t="s">
        <v>15</v>
      </c>
      <c r="H3" s="13" t="s">
        <v>16</v>
      </c>
      <c r="I3" s="11"/>
      <c r="K3" s="2" t="s">
        <v>0</v>
      </c>
      <c r="L3" s="1">
        <f>(F4*C8)</f>
        <v>9</v>
      </c>
      <c r="M3" s="1">
        <f>(F5*C8)</f>
        <v>6</v>
      </c>
      <c r="N3" s="1">
        <f>($L$1*L3)+($M$1*M3)</f>
        <v>15000</v>
      </c>
      <c r="O3" s="1">
        <f>(30*8*60*0.9)*1.3</f>
        <v>16848</v>
      </c>
      <c r="P3" s="17">
        <f>N3/O3</f>
        <v>0.8903133903133903</v>
      </c>
      <c r="Q3" s="1"/>
    </row>
    <row r="4" spans="1:21" x14ac:dyDescent="0.2">
      <c r="A4" s="11"/>
      <c r="B4" s="13" t="s">
        <v>17</v>
      </c>
      <c r="C4" s="14">
        <v>350</v>
      </c>
      <c r="D4" s="14">
        <v>125</v>
      </c>
      <c r="E4" s="14">
        <v>1000</v>
      </c>
      <c r="F4" s="14">
        <v>3</v>
      </c>
      <c r="G4" s="14">
        <v>5</v>
      </c>
      <c r="H4" s="14">
        <v>2</v>
      </c>
      <c r="I4" s="11"/>
      <c r="K4" s="2" t="s">
        <v>1</v>
      </c>
      <c r="L4" s="1">
        <f>(F4*D8)+(G4*D8)</f>
        <v>16</v>
      </c>
      <c r="M4" s="1">
        <f>(F5*D8)+(G5*D8)</f>
        <v>6</v>
      </c>
      <c r="N4" s="1">
        <f t="shared" ref="N4:N11" si="0">($L$1*L4)+($M$1*M4)</f>
        <v>22000</v>
      </c>
      <c r="O4" s="1">
        <f t="shared" ref="O4:O11" si="1">(30*8*60*0.9)*1.3</f>
        <v>16848</v>
      </c>
      <c r="P4" s="17">
        <f t="shared" ref="P4:P11" si="2">N4/O4</f>
        <v>1.3057929724596391</v>
      </c>
      <c r="Q4" s="1"/>
    </row>
    <row r="5" spans="1:21" x14ac:dyDescent="0.2">
      <c r="A5" s="11"/>
      <c r="B5" s="13" t="s">
        <v>18</v>
      </c>
      <c r="C5" s="14">
        <v>800</v>
      </c>
      <c r="D5" s="14">
        <v>500</v>
      </c>
      <c r="E5" s="14">
        <v>1000</v>
      </c>
      <c r="F5" s="14">
        <v>2</v>
      </c>
      <c r="G5" s="14">
        <v>1</v>
      </c>
      <c r="H5" s="14">
        <v>6</v>
      </c>
      <c r="I5" s="11"/>
      <c r="K5" s="18" t="s">
        <v>2</v>
      </c>
      <c r="L5" s="19">
        <f>(F4*E8)+(G4*E8)+(H4*E8)</f>
        <v>30</v>
      </c>
      <c r="M5" s="19">
        <f>(F5*E8)+(G5*E8)+(H5*E8)</f>
        <v>27</v>
      </c>
      <c r="N5" s="19">
        <f t="shared" si="0"/>
        <v>57000</v>
      </c>
      <c r="O5" s="19">
        <f t="shared" si="1"/>
        <v>16848</v>
      </c>
      <c r="P5" s="20">
        <f t="shared" si="2"/>
        <v>3.383190883190883</v>
      </c>
      <c r="Q5" s="19" t="s">
        <v>36</v>
      </c>
    </row>
    <row r="6" spans="1:21" x14ac:dyDescent="0.2">
      <c r="A6" s="11"/>
      <c r="B6" s="12"/>
      <c r="C6" s="12"/>
      <c r="D6" s="12"/>
      <c r="E6" s="12"/>
      <c r="F6" s="12"/>
      <c r="G6" s="12"/>
      <c r="H6" s="12"/>
      <c r="I6" s="11"/>
      <c r="K6" s="2" t="s">
        <v>3</v>
      </c>
      <c r="L6" s="1">
        <f>(F4*F8)</f>
        <v>12</v>
      </c>
      <c r="M6" s="1">
        <f>F5*F8</f>
        <v>8</v>
      </c>
      <c r="N6" s="1">
        <f t="shared" si="0"/>
        <v>20000</v>
      </c>
      <c r="O6" s="1">
        <f t="shared" si="1"/>
        <v>16848</v>
      </c>
      <c r="P6" s="17">
        <f t="shared" si="2"/>
        <v>1.1870845204178537</v>
      </c>
      <c r="Q6" s="1"/>
    </row>
    <row r="7" spans="1:21" x14ac:dyDescent="0.2">
      <c r="A7" s="11"/>
      <c r="B7" s="15" t="s">
        <v>31</v>
      </c>
      <c r="C7" s="13" t="s">
        <v>0</v>
      </c>
      <c r="D7" s="13" t="s">
        <v>1</v>
      </c>
      <c r="E7" s="13" t="s">
        <v>2</v>
      </c>
      <c r="F7" s="13" t="s">
        <v>3</v>
      </c>
      <c r="G7" s="13" t="s">
        <v>4</v>
      </c>
      <c r="H7" s="13" t="s">
        <v>5</v>
      </c>
      <c r="I7" s="11"/>
      <c r="K7" s="2" t="s">
        <v>4</v>
      </c>
      <c r="L7" s="1">
        <f>(H4*G8)</f>
        <v>4</v>
      </c>
      <c r="M7" s="1">
        <f>H5*G8</f>
        <v>12</v>
      </c>
      <c r="N7" s="1">
        <f t="shared" si="0"/>
        <v>16000</v>
      </c>
      <c r="O7" s="1">
        <f t="shared" si="1"/>
        <v>16848</v>
      </c>
      <c r="P7" s="17">
        <f t="shared" si="2"/>
        <v>0.94966761633428298</v>
      </c>
      <c r="Q7" s="1"/>
    </row>
    <row r="8" spans="1:21" x14ac:dyDescent="0.2">
      <c r="A8" s="11"/>
      <c r="B8" s="15" t="s">
        <v>32</v>
      </c>
      <c r="C8" s="14">
        <v>3</v>
      </c>
      <c r="D8" s="14">
        <v>2</v>
      </c>
      <c r="E8" s="14">
        <v>3</v>
      </c>
      <c r="F8" s="14">
        <v>4</v>
      </c>
      <c r="G8" s="14">
        <v>2</v>
      </c>
      <c r="H8" s="14">
        <v>6</v>
      </c>
      <c r="I8" s="11"/>
      <c r="K8" s="18" t="s">
        <v>5</v>
      </c>
      <c r="L8" s="19">
        <f>H4*H8</f>
        <v>12</v>
      </c>
      <c r="M8" s="19">
        <f>H5*H8</f>
        <v>36</v>
      </c>
      <c r="N8" s="19">
        <f t="shared" si="0"/>
        <v>48000</v>
      </c>
      <c r="O8" s="19">
        <f t="shared" si="1"/>
        <v>16848</v>
      </c>
      <c r="P8" s="20">
        <f t="shared" si="2"/>
        <v>2.8490028490028489</v>
      </c>
      <c r="Q8" s="19"/>
    </row>
    <row r="9" spans="1:21" x14ac:dyDescent="0.2">
      <c r="A9" s="11"/>
      <c r="B9" s="15" t="s">
        <v>31</v>
      </c>
      <c r="C9" s="13" t="s">
        <v>6</v>
      </c>
      <c r="D9" s="13" t="s">
        <v>7</v>
      </c>
      <c r="E9" s="13" t="s">
        <v>8</v>
      </c>
      <c r="F9" s="14">
        <v>500</v>
      </c>
      <c r="G9" s="14">
        <v>500</v>
      </c>
      <c r="H9" s="14">
        <v>500</v>
      </c>
      <c r="I9" s="11"/>
      <c r="K9" s="2" t="s">
        <v>6</v>
      </c>
      <c r="L9" s="1">
        <f>C10</f>
        <v>4</v>
      </c>
      <c r="M9" s="1">
        <f>C10</f>
        <v>4</v>
      </c>
      <c r="N9" s="1">
        <f t="shared" si="0"/>
        <v>8000</v>
      </c>
      <c r="O9" s="1">
        <f t="shared" si="1"/>
        <v>16848</v>
      </c>
      <c r="P9" s="17">
        <f t="shared" si="2"/>
        <v>0.47483380816714149</v>
      </c>
      <c r="Q9" s="1"/>
    </row>
    <row r="10" spans="1:21" x14ac:dyDescent="0.2">
      <c r="A10" s="11"/>
      <c r="B10" s="15" t="s">
        <v>32</v>
      </c>
      <c r="C10" s="14">
        <v>4</v>
      </c>
      <c r="D10" s="14">
        <v>5</v>
      </c>
      <c r="E10" s="14">
        <v>2</v>
      </c>
      <c r="F10" s="12"/>
      <c r="G10" s="12"/>
      <c r="H10" s="12"/>
      <c r="I10" s="11"/>
      <c r="K10" s="2" t="s">
        <v>7</v>
      </c>
      <c r="L10" s="1">
        <f>D10</f>
        <v>5</v>
      </c>
      <c r="M10" s="1">
        <f>0</f>
        <v>0</v>
      </c>
      <c r="N10" s="1">
        <f t="shared" si="0"/>
        <v>5000</v>
      </c>
      <c r="O10" s="1">
        <f t="shared" si="1"/>
        <v>16848</v>
      </c>
      <c r="P10" s="17">
        <f t="shared" si="2"/>
        <v>0.29677113010446343</v>
      </c>
      <c r="Q10" s="1"/>
    </row>
    <row r="11" spans="1:21" x14ac:dyDescent="0.2">
      <c r="A11" s="11"/>
      <c r="B11" s="11"/>
      <c r="C11" s="11"/>
      <c r="D11" s="11"/>
      <c r="E11" s="11"/>
      <c r="F11" s="12"/>
      <c r="G11" s="12"/>
      <c r="H11" s="12"/>
      <c r="I11" s="11"/>
      <c r="K11" s="2" t="s">
        <v>8</v>
      </c>
      <c r="L11" s="1">
        <v>0</v>
      </c>
      <c r="M11" s="1">
        <f>E10</f>
        <v>2</v>
      </c>
      <c r="N11" s="1">
        <f t="shared" si="0"/>
        <v>2000</v>
      </c>
      <c r="O11" s="1">
        <f t="shared" si="1"/>
        <v>16848</v>
      </c>
      <c r="P11" s="17">
        <f t="shared" si="2"/>
        <v>0.11870845204178537</v>
      </c>
      <c r="Q11" s="1"/>
    </row>
    <row r="12" spans="1:21" ht="17" thickBot="1" x14ac:dyDescent="0.25">
      <c r="A12" s="11"/>
      <c r="B12" s="11"/>
      <c r="C12" s="11"/>
      <c r="D12" s="11"/>
      <c r="E12" s="11"/>
      <c r="F12" s="12"/>
      <c r="G12" s="12"/>
      <c r="H12" s="12"/>
      <c r="I12" s="11"/>
      <c r="K12" s="2"/>
      <c r="L12" s="1"/>
      <c r="M12" s="1"/>
      <c r="N12" s="1"/>
      <c r="O12" s="1"/>
      <c r="P12" s="17"/>
      <c r="Q12" s="1"/>
    </row>
    <row r="13" spans="1:21" x14ac:dyDescent="0.2">
      <c r="A13" s="11"/>
      <c r="B13" s="11"/>
      <c r="C13" s="11"/>
      <c r="D13" s="11"/>
      <c r="E13" s="11"/>
      <c r="F13" s="12"/>
      <c r="G13" s="12"/>
      <c r="H13" s="12"/>
      <c r="I13" s="11"/>
      <c r="K13" s="47" t="s">
        <v>53</v>
      </c>
      <c r="L13" s="48"/>
      <c r="M13" s="48"/>
      <c r="N13" s="48"/>
      <c r="O13" s="49"/>
      <c r="Q13" s="47" t="s">
        <v>55</v>
      </c>
      <c r="R13" s="48"/>
      <c r="S13" s="48"/>
      <c r="T13" s="48"/>
      <c r="U13" s="49"/>
    </row>
    <row r="14" spans="1:21" x14ac:dyDescent="0.2">
      <c r="A14" s="11"/>
      <c r="B14" s="12"/>
      <c r="C14" s="12"/>
      <c r="D14" s="12"/>
      <c r="E14" s="12"/>
      <c r="F14" s="12"/>
      <c r="G14" s="12"/>
      <c r="H14" s="12"/>
      <c r="I14" s="11"/>
      <c r="K14" s="22" t="s">
        <v>37</v>
      </c>
      <c r="L14" s="2" t="s">
        <v>17</v>
      </c>
      <c r="M14" s="2" t="s">
        <v>18</v>
      </c>
      <c r="O14" s="23"/>
      <c r="Q14" s="22" t="s">
        <v>37</v>
      </c>
      <c r="R14" s="2" t="s">
        <v>17</v>
      </c>
      <c r="S14" s="2" t="s">
        <v>18</v>
      </c>
      <c r="U14" s="23"/>
    </row>
    <row r="15" spans="1:21" x14ac:dyDescent="0.2">
      <c r="A15" s="11"/>
      <c r="B15" s="12"/>
      <c r="C15" s="12"/>
      <c r="D15" s="12"/>
      <c r="E15" s="12"/>
      <c r="F15" s="12"/>
      <c r="G15" s="12"/>
      <c r="H15" s="12"/>
      <c r="I15" s="11"/>
      <c r="K15" s="22" t="s">
        <v>38</v>
      </c>
      <c r="L15" s="24">
        <f>C4</f>
        <v>350</v>
      </c>
      <c r="M15" s="24">
        <f>C5</f>
        <v>800</v>
      </c>
      <c r="O15" s="23"/>
      <c r="Q15" s="22" t="s">
        <v>38</v>
      </c>
      <c r="R15" s="24">
        <f>C4</f>
        <v>350</v>
      </c>
      <c r="S15" s="24">
        <f>C5</f>
        <v>800</v>
      </c>
      <c r="U15" s="23"/>
    </row>
    <row r="16" spans="1:21" x14ac:dyDescent="0.2">
      <c r="A16" s="11"/>
      <c r="B16" s="12"/>
      <c r="C16" s="12"/>
      <c r="D16" s="12"/>
      <c r="E16" s="12"/>
      <c r="F16" s="12"/>
      <c r="G16" s="12"/>
      <c r="H16" s="12"/>
      <c r="I16" s="11"/>
      <c r="K16" s="22" t="s">
        <v>28</v>
      </c>
      <c r="L16" s="24">
        <f>D4</f>
        <v>125</v>
      </c>
      <c r="M16" s="24">
        <f>D5</f>
        <v>500</v>
      </c>
      <c r="O16" s="23"/>
      <c r="Q16" s="22" t="s">
        <v>28</v>
      </c>
      <c r="R16" s="24">
        <f>D4</f>
        <v>125</v>
      </c>
      <c r="S16" s="24">
        <f>D5</f>
        <v>500</v>
      </c>
      <c r="U16" s="23"/>
    </row>
    <row r="17" spans="1:21" x14ac:dyDescent="0.2">
      <c r="A17" s="11"/>
      <c r="B17" s="12"/>
      <c r="C17" s="12"/>
      <c r="D17" s="12"/>
      <c r="E17" s="12"/>
      <c r="F17" s="12"/>
      <c r="G17" s="12"/>
      <c r="H17" s="12"/>
      <c r="I17" s="11"/>
      <c r="K17" s="22" t="s">
        <v>39</v>
      </c>
      <c r="L17" s="24">
        <f>L15-L16</f>
        <v>225</v>
      </c>
      <c r="M17" s="24">
        <f>M15-M16</f>
        <v>300</v>
      </c>
      <c r="O17" s="23"/>
      <c r="Q17" s="22" t="s">
        <v>39</v>
      </c>
      <c r="R17" s="24">
        <f>R15-R16</f>
        <v>225</v>
      </c>
      <c r="S17" s="24">
        <f>S15-S16</f>
        <v>300</v>
      </c>
      <c r="U17" s="23"/>
    </row>
    <row r="18" spans="1:21" x14ac:dyDescent="0.2">
      <c r="A18" s="11"/>
      <c r="B18" s="11"/>
      <c r="C18" s="11"/>
      <c r="D18" s="11"/>
      <c r="E18" s="11"/>
      <c r="F18" s="11"/>
      <c r="G18" s="11"/>
      <c r="H18" s="11"/>
      <c r="I18" s="11"/>
      <c r="K18" s="22" t="s">
        <v>40</v>
      </c>
      <c r="L18" s="24">
        <f>L5</f>
        <v>30</v>
      </c>
      <c r="M18" s="24">
        <f>M5</f>
        <v>27</v>
      </c>
      <c r="O18" s="23"/>
      <c r="Q18" s="22" t="s">
        <v>40</v>
      </c>
      <c r="R18" s="24">
        <f>L8</f>
        <v>12</v>
      </c>
      <c r="S18" s="24">
        <f>M8</f>
        <v>36</v>
      </c>
      <c r="U18" s="23"/>
    </row>
    <row r="19" spans="1:21" x14ac:dyDescent="0.2">
      <c r="A19" s="11"/>
      <c r="B19" s="11"/>
      <c r="C19" s="11"/>
      <c r="D19" s="11"/>
      <c r="E19" s="11"/>
      <c r="F19" s="11"/>
      <c r="G19" s="11"/>
      <c r="H19" s="11"/>
      <c r="I19" s="11"/>
      <c r="K19" s="22" t="s">
        <v>41</v>
      </c>
      <c r="L19" s="25">
        <f>L17/L18</f>
        <v>7.5</v>
      </c>
      <c r="M19" s="25">
        <f>M17/M18</f>
        <v>11.111111111111111</v>
      </c>
      <c r="O19" s="23"/>
      <c r="Q19" s="22" t="s">
        <v>41</v>
      </c>
      <c r="R19" s="25">
        <f>R17/R18</f>
        <v>18.75</v>
      </c>
      <c r="S19" s="25">
        <f>S17/S18</f>
        <v>8.3333333333333339</v>
      </c>
      <c r="U19" s="23"/>
    </row>
    <row r="20" spans="1:21" x14ac:dyDescent="0.2">
      <c r="A20" s="11"/>
      <c r="B20" s="11"/>
      <c r="C20" s="11"/>
      <c r="D20" s="11"/>
      <c r="E20" s="11"/>
      <c r="F20" s="11"/>
      <c r="G20" s="11"/>
      <c r="H20" s="11"/>
      <c r="I20" s="11"/>
      <c r="K20" s="26"/>
      <c r="L20" s="24"/>
      <c r="M20" s="24"/>
      <c r="O20" s="23"/>
      <c r="Q20" s="28"/>
      <c r="U20" s="23"/>
    </row>
    <row r="21" spans="1:21" x14ac:dyDescent="0.2">
      <c r="A21" s="11"/>
      <c r="B21" s="11"/>
      <c r="C21" s="11"/>
      <c r="D21" s="11"/>
      <c r="E21" s="11"/>
      <c r="F21" s="11"/>
      <c r="G21" s="11"/>
      <c r="H21" s="11"/>
      <c r="I21" s="11"/>
      <c r="K21" s="22" t="s">
        <v>42</v>
      </c>
      <c r="L21" s="27"/>
      <c r="M21" s="27"/>
      <c r="O21" s="23"/>
      <c r="Q21" s="22" t="s">
        <v>42</v>
      </c>
      <c r="R21" s="27"/>
      <c r="S21" s="27"/>
      <c r="U21" s="23"/>
    </row>
    <row r="22" spans="1:21" x14ac:dyDescent="0.2">
      <c r="A22" s="11"/>
      <c r="B22" s="11"/>
      <c r="C22" s="11"/>
      <c r="D22" s="11"/>
      <c r="E22" s="11"/>
      <c r="F22" s="11"/>
      <c r="G22" s="11"/>
      <c r="H22" s="11"/>
      <c r="I22" s="11"/>
      <c r="K22" s="28"/>
      <c r="L22" s="24" t="s">
        <v>17</v>
      </c>
      <c r="M22" s="24" t="s">
        <v>18</v>
      </c>
      <c r="N22" s="1"/>
      <c r="O22" s="29"/>
      <c r="Q22" s="28"/>
      <c r="R22" s="24" t="s">
        <v>17</v>
      </c>
      <c r="S22" s="24" t="s">
        <v>18</v>
      </c>
      <c r="T22" s="1"/>
      <c r="U22" s="29"/>
    </row>
    <row r="23" spans="1:21" x14ac:dyDescent="0.2">
      <c r="A23" s="11"/>
      <c r="B23" s="11"/>
      <c r="C23" s="11"/>
      <c r="D23" s="11"/>
      <c r="E23" s="11"/>
      <c r="F23" s="11"/>
      <c r="G23" s="11"/>
      <c r="H23" s="11"/>
      <c r="I23" s="11"/>
      <c r="K23" s="28"/>
      <c r="L23" s="24">
        <v>1</v>
      </c>
      <c r="M23" s="24">
        <v>3</v>
      </c>
      <c r="N23" s="1"/>
      <c r="O23" s="29"/>
      <c r="Q23" s="28"/>
      <c r="R23" s="24">
        <v>3</v>
      </c>
      <c r="S23" s="24">
        <v>1</v>
      </c>
      <c r="T23" s="1"/>
      <c r="U23" s="29"/>
    </row>
    <row r="24" spans="1:21" x14ac:dyDescent="0.2">
      <c r="A24" s="11"/>
      <c r="B24" s="11"/>
      <c r="C24" s="11"/>
      <c r="D24" s="11"/>
      <c r="E24" s="11"/>
      <c r="F24" s="11"/>
      <c r="G24" s="11"/>
      <c r="H24" s="11"/>
      <c r="I24" s="11"/>
      <c r="K24" s="28"/>
      <c r="L24" s="24">
        <f>L5</f>
        <v>30</v>
      </c>
      <c r="M24" s="24">
        <f>M5</f>
        <v>27</v>
      </c>
      <c r="N24" s="1" t="s">
        <v>43</v>
      </c>
      <c r="O24" s="29">
        <f>O3</f>
        <v>16848</v>
      </c>
      <c r="Q24" s="28"/>
      <c r="R24" s="24">
        <f>R18</f>
        <v>12</v>
      </c>
      <c r="S24" s="24">
        <f>S18</f>
        <v>36</v>
      </c>
      <c r="T24" s="1" t="s">
        <v>43</v>
      </c>
      <c r="U24" s="29">
        <f>O3</f>
        <v>16848</v>
      </c>
    </row>
    <row r="25" spans="1:21" x14ac:dyDescent="0.2">
      <c r="A25" s="11"/>
      <c r="B25" s="11"/>
      <c r="C25" s="11"/>
      <c r="D25" s="11"/>
      <c r="E25" s="11"/>
      <c r="F25" s="11"/>
      <c r="G25" s="11"/>
      <c r="H25" s="11"/>
      <c r="I25" s="11"/>
      <c r="K25" s="28"/>
      <c r="L25" s="24"/>
      <c r="M25" s="24">
        <f>(L24*L23)+(M24*M23)</f>
        <v>111</v>
      </c>
      <c r="N25" s="1" t="s">
        <v>43</v>
      </c>
      <c r="O25" s="29">
        <f>O24</f>
        <v>16848</v>
      </c>
      <c r="Q25" s="28"/>
      <c r="R25" s="24"/>
      <c r="S25" s="24">
        <f>(R24*R23)+(S24*S23)</f>
        <v>72</v>
      </c>
      <c r="T25" s="1" t="s">
        <v>43</v>
      </c>
      <c r="U25" s="29">
        <f>U24</f>
        <v>16848</v>
      </c>
    </row>
    <row r="26" spans="1:21" x14ac:dyDescent="0.2">
      <c r="K26" s="28"/>
      <c r="L26" s="1"/>
      <c r="M26" s="1" t="s">
        <v>14</v>
      </c>
      <c r="N26" s="1" t="s">
        <v>43</v>
      </c>
      <c r="O26" s="29">
        <f>ROUNDDOWN(O25/M25,0)</f>
        <v>151</v>
      </c>
      <c r="Q26" s="28"/>
      <c r="R26" s="1"/>
      <c r="S26" s="1" t="s">
        <v>14</v>
      </c>
      <c r="T26" s="1" t="s">
        <v>43</v>
      </c>
      <c r="U26" s="29">
        <f>ROUNDDOWN(U25/S25,0)</f>
        <v>234</v>
      </c>
    </row>
    <row r="27" spans="1:21" x14ac:dyDescent="0.2">
      <c r="K27" s="28"/>
      <c r="L27" s="1" t="s">
        <v>44</v>
      </c>
      <c r="M27" s="1">
        <f>O26*L23</f>
        <v>151</v>
      </c>
      <c r="N27" s="1"/>
      <c r="O27" s="29"/>
      <c r="Q27" s="28"/>
      <c r="R27" s="1" t="s">
        <v>44</v>
      </c>
      <c r="S27" s="1">
        <f>U26*R23</f>
        <v>702</v>
      </c>
      <c r="T27" s="1"/>
      <c r="U27" s="29"/>
    </row>
    <row r="28" spans="1:21" x14ac:dyDescent="0.2">
      <c r="K28" s="28"/>
      <c r="L28" s="1" t="s">
        <v>45</v>
      </c>
      <c r="M28" s="1">
        <f>O26*M23</f>
        <v>453</v>
      </c>
      <c r="O28" s="23"/>
      <c r="Q28" s="28"/>
      <c r="R28" s="1" t="s">
        <v>45</v>
      </c>
      <c r="S28" s="1">
        <f>U26*S23</f>
        <v>234</v>
      </c>
      <c r="U28" s="23"/>
    </row>
    <row r="29" spans="1:21" x14ac:dyDescent="0.2">
      <c r="K29" s="28"/>
      <c r="O29" s="23"/>
      <c r="Q29" s="28"/>
      <c r="U29" s="23"/>
    </row>
    <row r="30" spans="1:21" x14ac:dyDescent="0.2">
      <c r="K30" s="28"/>
      <c r="L30" s="1" t="s">
        <v>17</v>
      </c>
      <c r="M30" s="30">
        <f>M27*L17</f>
        <v>33975</v>
      </c>
      <c r="N30" s="1"/>
      <c r="O30" s="23"/>
      <c r="Q30" s="28"/>
      <c r="R30" s="1" t="s">
        <v>17</v>
      </c>
      <c r="S30" s="30">
        <f>S27*R17</f>
        <v>157950</v>
      </c>
      <c r="T30" s="1"/>
      <c r="U30" s="23"/>
    </row>
    <row r="31" spans="1:21" x14ac:dyDescent="0.2">
      <c r="K31" s="28"/>
      <c r="L31" s="1" t="s">
        <v>18</v>
      </c>
      <c r="M31" s="30">
        <f>M28*M17</f>
        <v>135900</v>
      </c>
      <c r="N31" s="1"/>
      <c r="O31" s="23"/>
      <c r="Q31" s="28"/>
      <c r="R31" s="1" t="s">
        <v>18</v>
      </c>
      <c r="S31" s="30">
        <f>S28*S17</f>
        <v>70200</v>
      </c>
      <c r="T31" s="1"/>
      <c r="U31" s="23"/>
    </row>
    <row r="32" spans="1:21" x14ac:dyDescent="0.2">
      <c r="K32" s="28"/>
      <c r="L32" s="1" t="s">
        <v>46</v>
      </c>
      <c r="M32" s="30">
        <f>M30+M31</f>
        <v>169875</v>
      </c>
      <c r="N32" s="1"/>
      <c r="O32" s="23"/>
      <c r="Q32" s="28"/>
      <c r="R32" s="1" t="s">
        <v>46</v>
      </c>
      <c r="S32" s="30">
        <f>S30+S31</f>
        <v>228150</v>
      </c>
      <c r="T32" s="1"/>
      <c r="U32" s="23"/>
    </row>
    <row r="33" spans="11:21" x14ac:dyDescent="0.2">
      <c r="K33" s="28"/>
      <c r="L33" s="1" t="s">
        <v>47</v>
      </c>
      <c r="M33" s="30">
        <v>100000</v>
      </c>
      <c r="N33" s="1"/>
      <c r="O33" s="23"/>
      <c r="Q33" s="28"/>
      <c r="R33" s="1" t="s">
        <v>47</v>
      </c>
      <c r="S33" s="30">
        <v>100000</v>
      </c>
      <c r="T33" s="1"/>
      <c r="U33" s="23"/>
    </row>
    <row r="34" spans="11:21" x14ac:dyDescent="0.2">
      <c r="K34" s="28"/>
      <c r="L34" s="1" t="s">
        <v>48</v>
      </c>
      <c r="M34" s="31">
        <f>M32-M33</f>
        <v>69875</v>
      </c>
      <c r="N34" s="10" t="s">
        <v>82</v>
      </c>
      <c r="O34" s="23"/>
      <c r="Q34" s="28"/>
      <c r="R34" s="1" t="s">
        <v>48</v>
      </c>
      <c r="S34" s="31">
        <f>S32-S33</f>
        <v>128150</v>
      </c>
      <c r="T34" s="10" t="s">
        <v>82</v>
      </c>
      <c r="U34" s="23"/>
    </row>
    <row r="35" spans="11:21" x14ac:dyDescent="0.2">
      <c r="K35" s="28"/>
      <c r="L35" s="1"/>
      <c r="M35" s="1"/>
      <c r="N35" s="1"/>
      <c r="O35" s="23"/>
      <c r="Q35" s="28"/>
      <c r="R35" s="1"/>
      <c r="S35" s="1"/>
      <c r="T35" s="1"/>
      <c r="U35" s="23"/>
    </row>
    <row r="36" spans="11:21" x14ac:dyDescent="0.2">
      <c r="K36" s="28" t="s">
        <v>49</v>
      </c>
      <c r="O36" s="23"/>
      <c r="Q36" s="28" t="s">
        <v>54</v>
      </c>
      <c r="U36" s="23"/>
    </row>
    <row r="37" spans="11:21" x14ac:dyDescent="0.2">
      <c r="K37" s="28"/>
      <c r="O37" s="23"/>
      <c r="Q37" s="28"/>
      <c r="U37" s="23"/>
    </row>
    <row r="38" spans="11:21" x14ac:dyDescent="0.2">
      <c r="K38" s="32" t="s">
        <v>17</v>
      </c>
      <c r="L38" s="1" t="s">
        <v>18</v>
      </c>
      <c r="M38" s="1"/>
      <c r="N38" s="1"/>
      <c r="O38" s="23"/>
      <c r="Q38" s="32" t="s">
        <v>17</v>
      </c>
      <c r="R38" s="1" t="s">
        <v>18</v>
      </c>
      <c r="S38" s="1"/>
      <c r="T38" s="1"/>
      <c r="U38" s="23"/>
    </row>
    <row r="39" spans="11:21" x14ac:dyDescent="0.2">
      <c r="K39" s="32">
        <f>M27</f>
        <v>151</v>
      </c>
      <c r="L39" s="1">
        <f>M28</f>
        <v>453</v>
      </c>
      <c r="M39" s="1" t="s">
        <v>50</v>
      </c>
      <c r="N39" s="1">
        <f>O3</f>
        <v>16848</v>
      </c>
      <c r="O39" s="23"/>
      <c r="Q39" s="32">
        <f>S27</f>
        <v>702</v>
      </c>
      <c r="R39" s="1">
        <f>S28</f>
        <v>234</v>
      </c>
      <c r="S39" s="1" t="s">
        <v>50</v>
      </c>
      <c r="T39" s="1">
        <f>O3</f>
        <v>16848</v>
      </c>
      <c r="U39" s="23"/>
    </row>
    <row r="40" spans="11:21" x14ac:dyDescent="0.2">
      <c r="K40" s="32"/>
      <c r="L40" s="1">
        <f>(K39*L8)+(L39*M8)</f>
        <v>18120</v>
      </c>
      <c r="M40" s="1"/>
      <c r="N40" s="1"/>
      <c r="O40" s="23"/>
      <c r="Q40" s="32"/>
      <c r="R40" s="1">
        <f>(Q39*L5)+(R39*M5)</f>
        <v>27378</v>
      </c>
      <c r="S40" s="1"/>
      <c r="T40" s="1"/>
      <c r="U40" s="23"/>
    </row>
    <row r="41" spans="11:21" x14ac:dyDescent="0.2">
      <c r="K41" s="33" t="s">
        <v>51</v>
      </c>
      <c r="L41" s="1"/>
      <c r="M41" s="1"/>
      <c r="N41" s="1"/>
      <c r="O41" s="23"/>
      <c r="Q41" s="33" t="s">
        <v>51</v>
      </c>
      <c r="R41" s="1"/>
      <c r="S41" s="1"/>
      <c r="T41" s="1"/>
      <c r="U41" s="23"/>
    </row>
    <row r="42" spans="11:21" x14ac:dyDescent="0.2">
      <c r="K42" s="28"/>
      <c r="O42" s="23"/>
      <c r="Q42" s="28"/>
      <c r="U42" s="23"/>
    </row>
    <row r="43" spans="11:21" x14ac:dyDescent="0.2">
      <c r="K43" s="32" t="s">
        <v>17</v>
      </c>
      <c r="L43" s="1" t="s">
        <v>18</v>
      </c>
      <c r="M43" s="1"/>
      <c r="N43" s="1"/>
      <c r="O43" s="23"/>
      <c r="Q43" s="32" t="s">
        <v>17</v>
      </c>
      <c r="R43" s="1" t="s">
        <v>18</v>
      </c>
      <c r="S43" s="1"/>
      <c r="T43" s="1"/>
      <c r="U43" s="23"/>
    </row>
    <row r="44" spans="11:21" x14ac:dyDescent="0.2">
      <c r="K44" s="32">
        <v>1</v>
      </c>
      <c r="L44" s="1">
        <v>3</v>
      </c>
      <c r="O44" s="23"/>
      <c r="Q44" s="32">
        <v>3</v>
      </c>
      <c r="R44" s="1">
        <v>1</v>
      </c>
      <c r="U44" s="23"/>
    </row>
    <row r="45" spans="11:21" x14ac:dyDescent="0.2">
      <c r="K45" s="32">
        <f>L8</f>
        <v>12</v>
      </c>
      <c r="L45" s="1">
        <f>M8</f>
        <v>36</v>
      </c>
      <c r="M45" s="1" t="s">
        <v>50</v>
      </c>
      <c r="N45" s="1">
        <f>L40-N39</f>
        <v>1272</v>
      </c>
      <c r="O45" s="23"/>
      <c r="Q45" s="32">
        <f>L5</f>
        <v>30</v>
      </c>
      <c r="R45" s="1">
        <f>M5</f>
        <v>27</v>
      </c>
      <c r="S45" s="1" t="s">
        <v>50</v>
      </c>
      <c r="T45" s="1">
        <f>R40-T39</f>
        <v>10530</v>
      </c>
      <c r="U45" s="23"/>
    </row>
    <row r="46" spans="11:21" x14ac:dyDescent="0.2">
      <c r="K46" s="32"/>
      <c r="L46" s="1">
        <f>(K45*K44)+(L45*L44)</f>
        <v>120</v>
      </c>
      <c r="M46" s="1" t="s">
        <v>50</v>
      </c>
      <c r="N46" s="1">
        <f>N45</f>
        <v>1272</v>
      </c>
      <c r="O46" s="23"/>
      <c r="Q46" s="32"/>
      <c r="R46" s="1">
        <f>(Q45*Q44)+(R45*R44)</f>
        <v>117</v>
      </c>
      <c r="S46" s="1" t="s">
        <v>50</v>
      </c>
      <c r="T46" s="1">
        <f>T45</f>
        <v>10530</v>
      </c>
      <c r="U46" s="23"/>
    </row>
    <row r="47" spans="11:21" x14ac:dyDescent="0.2">
      <c r="K47" s="28"/>
      <c r="L47" s="1" t="s">
        <v>52</v>
      </c>
      <c r="M47" s="1">
        <f>ROUNDUP(N46/L46,0)</f>
        <v>11</v>
      </c>
      <c r="N47" s="1"/>
      <c r="O47" s="23"/>
      <c r="Q47" s="28"/>
      <c r="R47" s="1" t="s">
        <v>52</v>
      </c>
      <c r="S47" s="1">
        <f>ROUNDUP(T46/R46,0)</f>
        <v>90</v>
      </c>
      <c r="T47" s="1"/>
      <c r="U47" s="23"/>
    </row>
    <row r="48" spans="11:21" x14ac:dyDescent="0.2">
      <c r="K48" s="32" t="s">
        <v>17</v>
      </c>
      <c r="L48" s="1">
        <f>K39-(K44*M47)</f>
        <v>140</v>
      </c>
      <c r="M48" s="1"/>
      <c r="N48" s="1"/>
      <c r="O48" s="23"/>
      <c r="Q48" s="32" t="s">
        <v>17</v>
      </c>
      <c r="R48" s="1">
        <f>Q39-(Q44*S47)</f>
        <v>432</v>
      </c>
      <c r="S48" s="1"/>
      <c r="T48" s="1"/>
      <c r="U48" s="23"/>
    </row>
    <row r="49" spans="11:21" x14ac:dyDescent="0.2">
      <c r="K49" s="32" t="s">
        <v>18</v>
      </c>
      <c r="L49" s="1">
        <f>L39-(L44*M47)</f>
        <v>420</v>
      </c>
      <c r="M49" s="1"/>
      <c r="N49" s="1"/>
      <c r="O49" s="23"/>
      <c r="Q49" s="32" t="s">
        <v>18</v>
      </c>
      <c r="R49" s="1">
        <f>R39-(R44*S47)</f>
        <v>144</v>
      </c>
      <c r="S49" s="1"/>
      <c r="T49" s="1"/>
      <c r="U49" s="23"/>
    </row>
    <row r="50" spans="11:21" x14ac:dyDescent="0.2">
      <c r="K50" s="28"/>
      <c r="L50" s="1"/>
      <c r="M50" s="1"/>
      <c r="N50" s="1"/>
      <c r="O50" s="23"/>
      <c r="Q50" s="28"/>
      <c r="R50" s="1"/>
      <c r="S50" s="1"/>
      <c r="T50" s="1"/>
      <c r="U50" s="23"/>
    </row>
    <row r="51" spans="11:21" x14ac:dyDescent="0.2">
      <c r="K51" s="32" t="s">
        <v>17</v>
      </c>
      <c r="L51" s="30">
        <f>L48*L17</f>
        <v>31500</v>
      </c>
      <c r="O51" s="23"/>
      <c r="Q51" s="32" t="s">
        <v>17</v>
      </c>
      <c r="R51" s="30">
        <f>R48*R17</f>
        <v>97200</v>
      </c>
      <c r="U51" s="23"/>
    </row>
    <row r="52" spans="11:21" x14ac:dyDescent="0.2">
      <c r="K52" s="32" t="s">
        <v>18</v>
      </c>
      <c r="L52" s="30">
        <f>L49*M17</f>
        <v>126000</v>
      </c>
      <c r="O52" s="23"/>
      <c r="Q52" s="32" t="s">
        <v>18</v>
      </c>
      <c r="R52" s="30">
        <f>R49*S17</f>
        <v>43200</v>
      </c>
      <c r="U52" s="23"/>
    </row>
    <row r="53" spans="11:21" x14ac:dyDescent="0.2">
      <c r="K53" s="32" t="s">
        <v>46</v>
      </c>
      <c r="L53" s="30">
        <f>L51+L52</f>
        <v>157500</v>
      </c>
      <c r="O53" s="23"/>
      <c r="Q53" s="32" t="s">
        <v>46</v>
      </c>
      <c r="R53" s="30">
        <f>R51+R52</f>
        <v>140400</v>
      </c>
      <c r="U53" s="23"/>
    </row>
    <row r="54" spans="11:21" x14ac:dyDescent="0.2">
      <c r="K54" s="32" t="s">
        <v>47</v>
      </c>
      <c r="L54" s="30">
        <v>100000</v>
      </c>
      <c r="O54" s="23"/>
      <c r="Q54" s="32" t="s">
        <v>47</v>
      </c>
      <c r="R54" s="30">
        <v>100000</v>
      </c>
      <c r="U54" s="23"/>
    </row>
    <row r="55" spans="11:21" ht="17" thickBot="1" x14ac:dyDescent="0.25">
      <c r="K55" s="34" t="s">
        <v>48</v>
      </c>
      <c r="L55" s="35">
        <f>L53-L54</f>
        <v>57500</v>
      </c>
      <c r="M55" s="44" t="s">
        <v>82</v>
      </c>
      <c r="N55" s="36"/>
      <c r="O55" s="37"/>
      <c r="Q55" s="34" t="s">
        <v>48</v>
      </c>
      <c r="R55" s="35">
        <f>R53-R54</f>
        <v>40400</v>
      </c>
      <c r="S55" s="44" t="s">
        <v>82</v>
      </c>
      <c r="T55" s="36"/>
      <c r="U55" s="37"/>
    </row>
    <row r="56" spans="11:21" ht="27" x14ac:dyDescent="0.35">
      <c r="K56" s="38" t="s">
        <v>56</v>
      </c>
    </row>
    <row r="58" spans="11:21" x14ac:dyDescent="0.2">
      <c r="K58" s="45" t="s">
        <v>83</v>
      </c>
    </row>
  </sheetData>
  <mergeCells count="3">
    <mergeCell ref="F2:H2"/>
    <mergeCell ref="K13:O13"/>
    <mergeCell ref="Q13:U13"/>
  </mergeCells>
  <phoneticPr fontId="6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9827-76DA-9D42-9CA4-0D55EA6E7294}">
  <dimension ref="B2:M66"/>
  <sheetViews>
    <sheetView zoomScale="140" zoomScaleNormal="140" workbookViewId="0">
      <selection activeCell="F20" sqref="F20"/>
    </sheetView>
  </sheetViews>
  <sheetFormatPr baseColWidth="10" defaultRowHeight="16" x14ac:dyDescent="0.2"/>
  <cols>
    <col min="1" max="1" width="3.5" customWidth="1"/>
    <col min="2" max="2" width="11.83203125" customWidth="1"/>
    <col min="3" max="3" width="11.1640625" customWidth="1"/>
    <col min="11" max="11" width="14.6640625" bestFit="1" customWidth="1"/>
    <col min="12" max="12" width="18.1640625" customWidth="1"/>
    <col min="2000" max="2000" width="2.5" customWidth="1"/>
  </cols>
  <sheetData>
    <row r="2" spans="2:9" x14ac:dyDescent="0.2">
      <c r="B2" s="39" t="s">
        <v>57</v>
      </c>
      <c r="C2" s="39" t="s">
        <v>58</v>
      </c>
      <c r="E2" s="39">
        <f>B17</f>
        <v>49</v>
      </c>
      <c r="F2" s="39">
        <f>B27</f>
        <v>51</v>
      </c>
      <c r="G2" s="39">
        <f>B37</f>
        <v>50</v>
      </c>
      <c r="H2" s="39">
        <f>B47</f>
        <v>50</v>
      </c>
      <c r="I2" s="39">
        <f>B57</f>
        <v>49</v>
      </c>
    </row>
    <row r="3" spans="2:9" x14ac:dyDescent="0.2">
      <c r="B3" s="39">
        <v>47</v>
      </c>
      <c r="C3" s="40">
        <v>2.5000000000000001E-2</v>
      </c>
      <c r="E3" s="39">
        <f t="shared" ref="E3:E11" si="0">B18</f>
        <v>47</v>
      </c>
      <c r="F3" s="39">
        <f t="shared" ref="F3:F11" si="1">B28</f>
        <v>51</v>
      </c>
      <c r="G3" s="39">
        <f t="shared" ref="G3:G11" si="2">B38</f>
        <v>51</v>
      </c>
      <c r="H3" s="39">
        <f t="shared" ref="H3:H11" si="3">B48</f>
        <v>50</v>
      </c>
      <c r="I3" s="39">
        <f t="shared" ref="I3:I11" si="4">B58</f>
        <v>50</v>
      </c>
    </row>
    <row r="4" spans="2:9" x14ac:dyDescent="0.2">
      <c r="B4" s="39">
        <v>48</v>
      </c>
      <c r="C4" s="40">
        <v>0.03</v>
      </c>
      <c r="E4" s="39">
        <f t="shared" si="0"/>
        <v>50</v>
      </c>
      <c r="F4" s="39">
        <f t="shared" si="1"/>
        <v>50</v>
      </c>
      <c r="G4" s="39">
        <f t="shared" si="2"/>
        <v>49</v>
      </c>
      <c r="H4" s="39">
        <f t="shared" si="3"/>
        <v>48</v>
      </c>
      <c r="I4" s="39">
        <f t="shared" si="4"/>
        <v>50</v>
      </c>
    </row>
    <row r="5" spans="2:9" x14ac:dyDescent="0.2">
      <c r="B5" s="39">
        <v>49</v>
      </c>
      <c r="C5" s="40">
        <v>0.3</v>
      </c>
      <c r="E5" s="39">
        <f t="shared" si="0"/>
        <v>50</v>
      </c>
      <c r="F5" s="39">
        <f t="shared" si="1"/>
        <v>50</v>
      </c>
      <c r="G5" s="39">
        <f t="shared" si="2"/>
        <v>49</v>
      </c>
      <c r="H5" s="39">
        <f t="shared" si="3"/>
        <v>52</v>
      </c>
      <c r="I5" s="39">
        <f t="shared" si="4"/>
        <v>52</v>
      </c>
    </row>
    <row r="6" spans="2:9" x14ac:dyDescent="0.2">
      <c r="B6" s="39">
        <v>50</v>
      </c>
      <c r="C6" s="40">
        <v>0.5</v>
      </c>
      <c r="E6" s="39">
        <f t="shared" si="0"/>
        <v>49</v>
      </c>
      <c r="F6" s="39">
        <f t="shared" si="1"/>
        <v>50</v>
      </c>
      <c r="G6" s="39">
        <f t="shared" si="2"/>
        <v>50</v>
      </c>
      <c r="H6" s="39">
        <f t="shared" si="3"/>
        <v>49</v>
      </c>
      <c r="I6" s="39">
        <f t="shared" si="4"/>
        <v>50</v>
      </c>
    </row>
    <row r="7" spans="2:9" x14ac:dyDescent="0.2">
      <c r="B7" s="39">
        <v>51</v>
      </c>
      <c r="C7" s="40">
        <v>0.1</v>
      </c>
      <c r="E7" s="39">
        <f t="shared" si="0"/>
        <v>52</v>
      </c>
      <c r="F7" s="39">
        <f t="shared" si="1"/>
        <v>49</v>
      </c>
      <c r="G7" s="39">
        <f t="shared" si="2"/>
        <v>50</v>
      </c>
      <c r="H7" s="39">
        <f t="shared" si="3"/>
        <v>51</v>
      </c>
      <c r="I7" s="39">
        <f t="shared" si="4"/>
        <v>49</v>
      </c>
    </row>
    <row r="8" spans="2:9" x14ac:dyDescent="0.2">
      <c r="B8" s="39">
        <v>52</v>
      </c>
      <c r="C8" s="40">
        <v>4.4999999999999998E-2</v>
      </c>
      <c r="E8" s="39">
        <f t="shared" si="0"/>
        <v>50</v>
      </c>
      <c r="F8" s="39">
        <f t="shared" si="1"/>
        <v>50</v>
      </c>
      <c r="G8" s="39">
        <f t="shared" si="2"/>
        <v>47</v>
      </c>
      <c r="H8" s="39">
        <f t="shared" si="3"/>
        <v>49</v>
      </c>
      <c r="I8" s="39">
        <f t="shared" si="4"/>
        <v>52</v>
      </c>
    </row>
    <row r="9" spans="2:9" x14ac:dyDescent="0.2">
      <c r="C9" s="16">
        <f>SUM(C3:C8)</f>
        <v>1</v>
      </c>
      <c r="E9" s="39">
        <f t="shared" si="0"/>
        <v>50</v>
      </c>
      <c r="F9" s="39">
        <f t="shared" si="1"/>
        <v>49</v>
      </c>
      <c r="G9" s="39">
        <f t="shared" si="2"/>
        <v>52</v>
      </c>
      <c r="H9" s="39">
        <f t="shared" si="3"/>
        <v>50</v>
      </c>
      <c r="I9" s="39">
        <f t="shared" si="4"/>
        <v>50</v>
      </c>
    </row>
    <row r="10" spans="2:9" x14ac:dyDescent="0.2">
      <c r="E10" s="39">
        <f t="shared" si="0"/>
        <v>48</v>
      </c>
      <c r="F10" s="39">
        <f t="shared" si="1"/>
        <v>50</v>
      </c>
      <c r="G10" s="39">
        <f t="shared" si="2"/>
        <v>47</v>
      </c>
      <c r="H10" s="39">
        <f t="shared" si="3"/>
        <v>50</v>
      </c>
      <c r="I10" s="39">
        <f t="shared" si="4"/>
        <v>50</v>
      </c>
    </row>
    <row r="11" spans="2:9" x14ac:dyDescent="0.2">
      <c r="B11" s="51" t="s">
        <v>59</v>
      </c>
      <c r="C11" s="51"/>
      <c r="E11" s="39">
        <f t="shared" si="0"/>
        <v>48</v>
      </c>
      <c r="F11" s="39">
        <f t="shared" si="1"/>
        <v>50</v>
      </c>
      <c r="G11" s="39">
        <f t="shared" si="2"/>
        <v>50</v>
      </c>
      <c r="H11" s="39">
        <f t="shared" si="3"/>
        <v>52</v>
      </c>
      <c r="I11" s="39">
        <f t="shared" si="4"/>
        <v>48</v>
      </c>
    </row>
    <row r="12" spans="2:9" x14ac:dyDescent="0.2">
      <c r="B12" s="1" t="s">
        <v>60</v>
      </c>
      <c r="C12" s="1">
        <f>C13+1</f>
        <v>51</v>
      </c>
    </row>
    <row r="13" spans="2:9" x14ac:dyDescent="0.2">
      <c r="B13" s="1" t="s">
        <v>61</v>
      </c>
      <c r="C13" s="1">
        <v>50</v>
      </c>
      <c r="E13" s="1" t="s">
        <v>62</v>
      </c>
      <c r="F13" s="1" t="s">
        <v>63</v>
      </c>
      <c r="G13" s="1" t="s">
        <v>64</v>
      </c>
      <c r="H13" s="1">
        <f>(H24/F20)*1000000</f>
        <v>260000</v>
      </c>
      <c r="I13" s="1"/>
    </row>
    <row r="14" spans="2:9" x14ac:dyDescent="0.2">
      <c r="B14" s="1" t="s">
        <v>65</v>
      </c>
      <c r="C14" s="1">
        <f>C13-1</f>
        <v>49</v>
      </c>
      <c r="E14" s="1">
        <f>B3</f>
        <v>47</v>
      </c>
      <c r="F14" s="1">
        <f>COUNTIF($E$2:$I$11,"=47")</f>
        <v>3</v>
      </c>
      <c r="G14" s="1" t="s">
        <v>66</v>
      </c>
      <c r="H14" s="17">
        <f>0.8406+SQRT(29.37-(2.221*LN(H13)))</f>
        <v>2.1358226151882871</v>
      </c>
      <c r="I14" s="1"/>
    </row>
    <row r="15" spans="2:9" x14ac:dyDescent="0.2">
      <c r="E15" s="1">
        <f t="shared" ref="E15:E19" si="5">B4</f>
        <v>48</v>
      </c>
      <c r="F15" s="1">
        <f>COUNTIF($E$2:$I$11,"=48")</f>
        <v>4</v>
      </c>
      <c r="G15" s="1"/>
      <c r="H15" s="1"/>
      <c r="I15" s="1"/>
    </row>
    <row r="16" spans="2:9" x14ac:dyDescent="0.2">
      <c r="E16" s="1">
        <f t="shared" si="5"/>
        <v>49</v>
      </c>
      <c r="F16" s="1">
        <f>COUNTIF($E$2:$I$11,"=49")</f>
        <v>10</v>
      </c>
      <c r="G16" s="1"/>
      <c r="H16" s="1"/>
      <c r="I16" s="1"/>
    </row>
    <row r="17" spans="2:13" x14ac:dyDescent="0.2">
      <c r="B17">
        <v>49</v>
      </c>
      <c r="E17" s="1">
        <f t="shared" si="5"/>
        <v>50</v>
      </c>
      <c r="F17" s="1">
        <f>COUNTIF($E$2:$I$11,"=50")</f>
        <v>23</v>
      </c>
      <c r="G17" s="1"/>
      <c r="H17" s="1"/>
      <c r="I17" s="1"/>
    </row>
    <row r="18" spans="2:13" x14ac:dyDescent="0.2">
      <c r="B18">
        <v>47</v>
      </c>
      <c r="E18" s="1">
        <f t="shared" si="5"/>
        <v>51</v>
      </c>
      <c r="F18" s="1">
        <f>COUNTIF($E$2:$I$11,"=51")</f>
        <v>4</v>
      </c>
      <c r="G18" s="1"/>
      <c r="H18" s="1"/>
      <c r="I18" s="1"/>
    </row>
    <row r="19" spans="2:13" x14ac:dyDescent="0.2">
      <c r="B19">
        <v>50</v>
      </c>
      <c r="E19" s="1">
        <f t="shared" si="5"/>
        <v>52</v>
      </c>
      <c r="F19" s="1">
        <f>COUNTIF($E$2:$I$11,"=52")</f>
        <v>6</v>
      </c>
      <c r="G19" s="1"/>
      <c r="H19" s="1"/>
      <c r="I19" s="1"/>
    </row>
    <row r="20" spans="2:13" x14ac:dyDescent="0.2">
      <c r="B20">
        <v>50</v>
      </c>
      <c r="E20" s="1"/>
      <c r="F20" s="1">
        <f>SUM(F14:F19)</f>
        <v>50</v>
      </c>
      <c r="G20" s="1"/>
      <c r="H20" s="1"/>
      <c r="I20" s="1"/>
    </row>
    <row r="21" spans="2:13" x14ac:dyDescent="0.2">
      <c r="B21">
        <v>49</v>
      </c>
      <c r="E21" s="1"/>
      <c r="G21" s="1"/>
      <c r="H21" s="1"/>
      <c r="I21" s="1"/>
    </row>
    <row r="22" spans="2:13" x14ac:dyDescent="0.2">
      <c r="B22">
        <v>52</v>
      </c>
      <c r="E22" t="s">
        <v>67</v>
      </c>
      <c r="H22" s="1">
        <f>F19</f>
        <v>6</v>
      </c>
    </row>
    <row r="23" spans="2:13" x14ac:dyDescent="0.2">
      <c r="B23">
        <v>50</v>
      </c>
      <c r="E23" t="s">
        <v>68</v>
      </c>
      <c r="H23" s="1">
        <f>F14+F15</f>
        <v>7</v>
      </c>
    </row>
    <row r="24" spans="2:13" x14ac:dyDescent="0.2">
      <c r="B24">
        <v>50</v>
      </c>
      <c r="E24" t="s">
        <v>69</v>
      </c>
      <c r="H24" s="1">
        <f>H22+H23</f>
        <v>13</v>
      </c>
    </row>
    <row r="25" spans="2:13" x14ac:dyDescent="0.2">
      <c r="B25">
        <v>48</v>
      </c>
    </row>
    <row r="26" spans="2:13" x14ac:dyDescent="0.2">
      <c r="B26">
        <v>48</v>
      </c>
      <c r="D26" s="52" t="s">
        <v>81</v>
      </c>
      <c r="E26" s="43" t="s">
        <v>70</v>
      </c>
      <c r="G26" s="10" t="s">
        <v>86</v>
      </c>
    </row>
    <row r="27" spans="2:13" x14ac:dyDescent="0.2">
      <c r="B27">
        <v>51</v>
      </c>
      <c r="D27" s="52"/>
      <c r="E27" s="43" t="s">
        <v>85</v>
      </c>
      <c r="H27" s="10" t="s">
        <v>86</v>
      </c>
    </row>
    <row r="28" spans="2:13" x14ac:dyDescent="0.2">
      <c r="B28">
        <v>51</v>
      </c>
      <c r="E28" s="43" t="s">
        <v>71</v>
      </c>
      <c r="M28" s="10" t="s">
        <v>87</v>
      </c>
    </row>
    <row r="29" spans="2:13" x14ac:dyDescent="0.2">
      <c r="B29">
        <v>50</v>
      </c>
    </row>
    <row r="30" spans="2:13" x14ac:dyDescent="0.2">
      <c r="B30">
        <v>50</v>
      </c>
    </row>
    <row r="31" spans="2:13" x14ac:dyDescent="0.2">
      <c r="B31">
        <v>50</v>
      </c>
    </row>
    <row r="32" spans="2:13" x14ac:dyDescent="0.2">
      <c r="B32">
        <v>49</v>
      </c>
    </row>
    <row r="33" spans="2:2" x14ac:dyDescent="0.2">
      <c r="B33">
        <v>50</v>
      </c>
    </row>
    <row r="34" spans="2:2" x14ac:dyDescent="0.2">
      <c r="B34">
        <v>49</v>
      </c>
    </row>
    <row r="35" spans="2:2" x14ac:dyDescent="0.2">
      <c r="B35">
        <v>50</v>
      </c>
    </row>
    <row r="36" spans="2:2" x14ac:dyDescent="0.2">
      <c r="B36">
        <v>50</v>
      </c>
    </row>
    <row r="37" spans="2:2" x14ac:dyDescent="0.2">
      <c r="B37">
        <v>50</v>
      </c>
    </row>
    <row r="38" spans="2:2" x14ac:dyDescent="0.2">
      <c r="B38">
        <v>51</v>
      </c>
    </row>
    <row r="39" spans="2:2" x14ac:dyDescent="0.2">
      <c r="B39">
        <v>49</v>
      </c>
    </row>
    <row r="40" spans="2:2" x14ac:dyDescent="0.2">
      <c r="B40">
        <v>49</v>
      </c>
    </row>
    <row r="41" spans="2:2" x14ac:dyDescent="0.2">
      <c r="B41">
        <v>50</v>
      </c>
    </row>
    <row r="42" spans="2:2" x14ac:dyDescent="0.2">
      <c r="B42">
        <v>50</v>
      </c>
    </row>
    <row r="43" spans="2:2" x14ac:dyDescent="0.2">
      <c r="B43">
        <v>47</v>
      </c>
    </row>
    <row r="44" spans="2:2" x14ac:dyDescent="0.2">
      <c r="B44">
        <v>52</v>
      </c>
    </row>
    <row r="45" spans="2:2" x14ac:dyDescent="0.2">
      <c r="B45">
        <v>47</v>
      </c>
    </row>
    <row r="46" spans="2:2" x14ac:dyDescent="0.2">
      <c r="B46">
        <v>50</v>
      </c>
    </row>
    <row r="47" spans="2:2" x14ac:dyDescent="0.2">
      <c r="B47">
        <v>50</v>
      </c>
    </row>
    <row r="48" spans="2:2" x14ac:dyDescent="0.2">
      <c r="B48">
        <v>50</v>
      </c>
    </row>
    <row r="49" spans="2:2" x14ac:dyDescent="0.2">
      <c r="B49">
        <v>48</v>
      </c>
    </row>
    <row r="50" spans="2:2" x14ac:dyDescent="0.2">
      <c r="B50">
        <v>52</v>
      </c>
    </row>
    <row r="51" spans="2:2" x14ac:dyDescent="0.2">
      <c r="B51">
        <v>49</v>
      </c>
    </row>
    <row r="52" spans="2:2" x14ac:dyDescent="0.2">
      <c r="B52">
        <v>51</v>
      </c>
    </row>
    <row r="53" spans="2:2" x14ac:dyDescent="0.2">
      <c r="B53">
        <v>49</v>
      </c>
    </row>
    <row r="54" spans="2:2" x14ac:dyDescent="0.2">
      <c r="B54">
        <v>50</v>
      </c>
    </row>
    <row r="55" spans="2:2" x14ac:dyDescent="0.2">
      <c r="B55">
        <v>50</v>
      </c>
    </row>
    <row r="56" spans="2:2" x14ac:dyDescent="0.2">
      <c r="B56">
        <v>52</v>
      </c>
    </row>
    <row r="57" spans="2:2" x14ac:dyDescent="0.2">
      <c r="B57">
        <v>49</v>
      </c>
    </row>
    <row r="58" spans="2:2" x14ac:dyDescent="0.2">
      <c r="B58">
        <v>50</v>
      </c>
    </row>
    <row r="59" spans="2:2" x14ac:dyDescent="0.2">
      <c r="B59">
        <v>50</v>
      </c>
    </row>
    <row r="60" spans="2:2" x14ac:dyDescent="0.2">
      <c r="B60">
        <v>52</v>
      </c>
    </row>
    <row r="61" spans="2:2" x14ac:dyDescent="0.2">
      <c r="B61">
        <v>50</v>
      </c>
    </row>
    <row r="62" spans="2:2" x14ac:dyDescent="0.2">
      <c r="B62">
        <v>49</v>
      </c>
    </row>
    <row r="63" spans="2:2" x14ac:dyDescent="0.2">
      <c r="B63">
        <v>52</v>
      </c>
    </row>
    <row r="64" spans="2:2" x14ac:dyDescent="0.2">
      <c r="B64">
        <v>50</v>
      </c>
    </row>
    <row r="65" spans="2:2" x14ac:dyDescent="0.2">
      <c r="B65">
        <v>50</v>
      </c>
    </row>
    <row r="66" spans="2:2" x14ac:dyDescent="0.2">
      <c r="B66">
        <v>48</v>
      </c>
    </row>
  </sheetData>
  <mergeCells count="2">
    <mergeCell ref="B11:C11"/>
    <mergeCell ref="D26:D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BAD3-0CCA-7F48-B9D7-3664F5C59747}">
  <dimension ref="B2:R28"/>
  <sheetViews>
    <sheetView zoomScale="140" zoomScaleNormal="140" workbookViewId="0">
      <selection activeCell="A2" sqref="A2"/>
    </sheetView>
  </sheetViews>
  <sheetFormatPr baseColWidth="10" defaultRowHeight="16" x14ac:dyDescent="0.2"/>
  <cols>
    <col min="1" max="1" width="5.1640625" customWidth="1"/>
    <col min="2" max="2" width="8.6640625" bestFit="1" customWidth="1"/>
    <col min="3" max="17" width="10.83203125" style="1"/>
  </cols>
  <sheetData>
    <row r="2" spans="2:18" x14ac:dyDescent="0.2">
      <c r="C2" s="10" t="s">
        <v>92</v>
      </c>
    </row>
    <row r="3" spans="2:18" x14ac:dyDescent="0.2">
      <c r="G3" s="1">
        <v>30</v>
      </c>
      <c r="K3" s="1">
        <v>20</v>
      </c>
      <c r="P3" s="1">
        <v>6</v>
      </c>
    </row>
    <row r="4" spans="2:18" x14ac:dyDescent="0.2">
      <c r="B4" s="54" t="s">
        <v>90</v>
      </c>
      <c r="C4" s="42" t="s">
        <v>18</v>
      </c>
      <c r="D4" s="53" t="s">
        <v>72</v>
      </c>
      <c r="E4" s="53"/>
      <c r="F4" s="53" t="s">
        <v>73</v>
      </c>
      <c r="G4" s="53"/>
      <c r="H4" s="53" t="s">
        <v>74</v>
      </c>
      <c r="I4" s="53"/>
      <c r="J4" s="53" t="s">
        <v>75</v>
      </c>
      <c r="K4" s="53"/>
      <c r="L4" s="53" t="s">
        <v>76</v>
      </c>
      <c r="M4" s="53"/>
      <c r="N4" s="55" t="s">
        <v>94</v>
      </c>
      <c r="O4" s="53" t="s">
        <v>77</v>
      </c>
      <c r="P4" s="53"/>
      <c r="Q4" s="42" t="s">
        <v>78</v>
      </c>
      <c r="R4" s="1"/>
    </row>
    <row r="5" spans="2:18" x14ac:dyDescent="0.2">
      <c r="B5" s="56" t="s">
        <v>19</v>
      </c>
      <c r="C5" s="39">
        <v>30</v>
      </c>
      <c r="D5" s="39">
        <v>0</v>
      </c>
      <c r="E5" s="39">
        <f>E24</f>
        <v>1</v>
      </c>
      <c r="F5" s="39">
        <f>E5</f>
        <v>1</v>
      </c>
      <c r="G5" s="39">
        <f>F5+(C5/$G$3)</f>
        <v>2</v>
      </c>
      <c r="H5" s="39">
        <v>0</v>
      </c>
      <c r="I5" s="39">
        <f>H5+F24</f>
        <v>2</v>
      </c>
      <c r="J5" s="39">
        <f>I5</f>
        <v>2</v>
      </c>
      <c r="K5" s="39">
        <f>J5+(C5/$K$3)</f>
        <v>3.5</v>
      </c>
      <c r="L5" s="39">
        <f>K5-G24</f>
        <v>1.5</v>
      </c>
      <c r="M5" s="39">
        <f>L5+G24</f>
        <v>3.5</v>
      </c>
      <c r="N5" s="58">
        <f>C5/P3</f>
        <v>5</v>
      </c>
      <c r="O5" s="39">
        <f>M5</f>
        <v>3.5</v>
      </c>
      <c r="P5" s="39">
        <f>O5+(C5/$P$3)</f>
        <v>8.5</v>
      </c>
      <c r="Q5" s="41" t="s">
        <v>79</v>
      </c>
      <c r="R5" s="1" t="s">
        <v>80</v>
      </c>
    </row>
    <row r="6" spans="2:18" x14ac:dyDescent="0.2">
      <c r="B6" s="57"/>
      <c r="C6" s="39">
        <v>30</v>
      </c>
      <c r="D6" s="39" t="s">
        <v>79</v>
      </c>
      <c r="E6" s="39" t="s">
        <v>79</v>
      </c>
      <c r="F6" s="39">
        <v>5.5</v>
      </c>
      <c r="G6" s="39">
        <f>F6+(C6/$G$3)</f>
        <v>6.5</v>
      </c>
      <c r="H6" s="39" t="s">
        <v>79</v>
      </c>
      <c r="I6" s="39" t="s">
        <v>79</v>
      </c>
      <c r="J6" s="39">
        <f>G6</f>
        <v>6.5</v>
      </c>
      <c r="K6" s="39">
        <f>J6+(C6/$K$3)</f>
        <v>8</v>
      </c>
      <c r="L6" s="39" t="s">
        <v>79</v>
      </c>
      <c r="M6" s="39" t="s">
        <v>79</v>
      </c>
      <c r="N6" s="58">
        <f>(P5-K6)+(C6/$P$3)</f>
        <v>5.5</v>
      </c>
      <c r="O6" s="39">
        <f>P5</f>
        <v>8.5</v>
      </c>
      <c r="P6" s="39">
        <f>O6+(C6/$P$3)</f>
        <v>13.5</v>
      </c>
      <c r="Q6" s="41">
        <f>P6/8</f>
        <v>1.6875</v>
      </c>
      <c r="R6" s="1"/>
    </row>
    <row r="7" spans="2:18" x14ac:dyDescent="0.2">
      <c r="B7" s="56" t="s">
        <v>18</v>
      </c>
      <c r="C7" s="39">
        <v>30</v>
      </c>
      <c r="D7" s="39">
        <f>K6</f>
        <v>8</v>
      </c>
      <c r="E7" s="39">
        <f>D7+E23</f>
        <v>11</v>
      </c>
      <c r="F7" s="39">
        <f>E7</f>
        <v>11</v>
      </c>
      <c r="G7" s="39">
        <f>F7+(C7/$G$3)</f>
        <v>12</v>
      </c>
      <c r="H7" s="39">
        <f>G7-F23</f>
        <v>11</v>
      </c>
      <c r="I7" s="39">
        <f>H7+F23</f>
        <v>12</v>
      </c>
      <c r="J7" s="39">
        <f>G7</f>
        <v>12</v>
      </c>
      <c r="K7" s="39">
        <f>J7+(C7/$K$3)</f>
        <v>13.5</v>
      </c>
      <c r="L7" s="39">
        <f>P6</f>
        <v>13.5</v>
      </c>
      <c r="M7" s="39">
        <f>L7+G23</f>
        <v>15.5</v>
      </c>
      <c r="N7" s="58">
        <f>(P6-K7)+(C7/$P$3)</f>
        <v>5</v>
      </c>
      <c r="O7" s="39">
        <f>M7</f>
        <v>15.5</v>
      </c>
      <c r="P7" s="39">
        <f>O7+(C7/$P$3)</f>
        <v>20.5</v>
      </c>
      <c r="Q7" s="41" t="s">
        <v>79</v>
      </c>
      <c r="R7" s="10" t="s">
        <v>84</v>
      </c>
    </row>
    <row r="8" spans="2:18" x14ac:dyDescent="0.2">
      <c r="B8" s="57"/>
      <c r="C8" s="39">
        <v>30</v>
      </c>
      <c r="D8" s="39" t="s">
        <v>79</v>
      </c>
      <c r="E8" s="39" t="s">
        <v>79</v>
      </c>
      <c r="F8" s="39">
        <v>15.5</v>
      </c>
      <c r="G8" s="39">
        <f>F8+(C8/$G$3)</f>
        <v>16.5</v>
      </c>
      <c r="H8" s="39" t="s">
        <v>79</v>
      </c>
      <c r="I8" s="39" t="s">
        <v>79</v>
      </c>
      <c r="J8" s="39">
        <f>G8</f>
        <v>16.5</v>
      </c>
      <c r="K8" s="39">
        <f>J8+(C8/$K$3)</f>
        <v>18</v>
      </c>
      <c r="L8" s="39" t="s">
        <v>79</v>
      </c>
      <c r="M8" s="39" t="s">
        <v>79</v>
      </c>
      <c r="N8" s="58">
        <f>(P7-K8)+(C8/$P$3)</f>
        <v>7.5</v>
      </c>
      <c r="O8" s="39">
        <f>P7</f>
        <v>20.5</v>
      </c>
      <c r="P8" s="39">
        <f>O8+(C8/$P$3)</f>
        <v>25.5</v>
      </c>
      <c r="Q8" s="41">
        <f>P8/8</f>
        <v>3.1875</v>
      </c>
    </row>
    <row r="9" spans="2:18" x14ac:dyDescent="0.2">
      <c r="B9" s="56" t="s">
        <v>17</v>
      </c>
      <c r="C9" s="39">
        <v>30</v>
      </c>
      <c r="D9" s="39">
        <v>20.5</v>
      </c>
      <c r="E9" s="39">
        <f>D9+E22</f>
        <v>22.5</v>
      </c>
      <c r="F9" s="39">
        <f>E9</f>
        <v>22.5</v>
      </c>
      <c r="G9" s="39">
        <f>F9+(C9/$G$3)</f>
        <v>23.5</v>
      </c>
      <c r="H9" s="39">
        <f>G9-F22</f>
        <v>21.5</v>
      </c>
      <c r="I9" s="39">
        <f>H9+F22</f>
        <v>23.5</v>
      </c>
      <c r="J9" s="39">
        <f>G9</f>
        <v>23.5</v>
      </c>
      <c r="K9" s="39">
        <f>J9+(C9/$K$3)</f>
        <v>25</v>
      </c>
      <c r="L9" s="39">
        <f>P8</f>
        <v>25.5</v>
      </c>
      <c r="M9" s="39">
        <f>L9+G22</f>
        <v>28.5</v>
      </c>
      <c r="N9" s="58">
        <f>(P8-K9)+(C9/$P$3)</f>
        <v>5.5</v>
      </c>
      <c r="O9" s="39">
        <f>M9</f>
        <v>28.5</v>
      </c>
      <c r="P9" s="39">
        <f>O9+(C9/$P$3)</f>
        <v>33.5</v>
      </c>
      <c r="Q9" s="41" t="s">
        <v>79</v>
      </c>
    </row>
    <row r="10" spans="2:18" x14ac:dyDescent="0.2">
      <c r="B10" s="57"/>
      <c r="C10" s="39">
        <v>30</v>
      </c>
      <c r="D10" s="39" t="s">
        <v>79</v>
      </c>
      <c r="E10" s="39" t="s">
        <v>79</v>
      </c>
      <c r="F10" s="39">
        <v>27.5</v>
      </c>
      <c r="G10" s="39">
        <f>F10+(C10/$G$3)</f>
        <v>28.5</v>
      </c>
      <c r="H10" s="39" t="s">
        <v>79</v>
      </c>
      <c r="I10" s="39" t="s">
        <v>79</v>
      </c>
      <c r="J10" s="39">
        <f>G10</f>
        <v>28.5</v>
      </c>
      <c r="K10" s="39">
        <f>J10+(C10/$K$3)</f>
        <v>30</v>
      </c>
      <c r="L10" s="39" t="s">
        <v>79</v>
      </c>
      <c r="M10" s="39" t="s">
        <v>79</v>
      </c>
      <c r="N10" s="58">
        <f>(P9-K10)+(C10/$P$3)</f>
        <v>8.5</v>
      </c>
      <c r="O10" s="39">
        <f>P9</f>
        <v>33.5</v>
      </c>
      <c r="P10" s="39">
        <f>O10+(C10/$P$3)</f>
        <v>38.5</v>
      </c>
      <c r="Q10" s="41">
        <f>P10/8</f>
        <v>4.8125</v>
      </c>
    </row>
    <row r="11" spans="2:18" x14ac:dyDescent="0.2">
      <c r="P11" s="7"/>
    </row>
    <row r="12" spans="2:18" x14ac:dyDescent="0.2">
      <c r="D12" s="1" t="s">
        <v>88</v>
      </c>
      <c r="E12" s="1">
        <v>0.5</v>
      </c>
      <c r="P12" s="7"/>
    </row>
    <row r="13" spans="2:18" x14ac:dyDescent="0.2">
      <c r="D13" s="1" t="s">
        <v>89</v>
      </c>
      <c r="E13" s="1">
        <f>(0+(C6/G3))+(C6/K3)+E12</f>
        <v>3</v>
      </c>
      <c r="P13" s="7"/>
    </row>
    <row r="14" spans="2:18" x14ac:dyDescent="0.2">
      <c r="D14" s="1" t="s">
        <v>89</v>
      </c>
      <c r="E14" s="1">
        <f>(E23+(C7/G3))+(C7/K3)+E12</f>
        <v>6</v>
      </c>
      <c r="P14" s="7"/>
    </row>
    <row r="15" spans="2:18" x14ac:dyDescent="0.2">
      <c r="D15" s="1" t="s">
        <v>89</v>
      </c>
      <c r="E15" s="1">
        <f>(0+(C8/G3))+(C8/K3)+E12</f>
        <v>3</v>
      </c>
      <c r="P15" s="7"/>
    </row>
    <row r="16" spans="2:18" x14ac:dyDescent="0.2">
      <c r="D16" s="1" t="s">
        <v>89</v>
      </c>
      <c r="E16" s="1">
        <f>(E22+(C9/G3))+(C9/K3)+E12</f>
        <v>5</v>
      </c>
      <c r="P16" s="7"/>
    </row>
    <row r="17" spans="2:16" x14ac:dyDescent="0.2">
      <c r="D17" s="1" t="s">
        <v>89</v>
      </c>
      <c r="E17" s="1">
        <f>(0+(C10/G3))+(C10/K3)+E12</f>
        <v>3</v>
      </c>
      <c r="P17" s="7"/>
    </row>
    <row r="18" spans="2:16" x14ac:dyDescent="0.2">
      <c r="D18" s="21" t="s">
        <v>95</v>
      </c>
      <c r="P18" s="7"/>
    </row>
    <row r="19" spans="2:16" x14ac:dyDescent="0.2">
      <c r="D19" s="59" t="s">
        <v>25</v>
      </c>
      <c r="J19" s="7"/>
      <c r="O19" s="7"/>
    </row>
    <row r="20" spans="2:16" x14ac:dyDescent="0.2">
      <c r="B20" s="65"/>
      <c r="C20" s="60"/>
      <c r="D20" s="60"/>
      <c r="E20" s="61" t="s">
        <v>93</v>
      </c>
      <c r="F20" s="61"/>
      <c r="G20" s="61"/>
      <c r="H20" s="62"/>
      <c r="I20" s="60"/>
      <c r="J20" s="60"/>
    </row>
    <row r="21" spans="2:16" x14ac:dyDescent="0.2">
      <c r="B21" s="65"/>
      <c r="C21" s="60"/>
      <c r="D21" s="63" t="s">
        <v>90</v>
      </c>
      <c r="E21" s="63" t="s">
        <v>73</v>
      </c>
      <c r="F21" s="63" t="s">
        <v>75</v>
      </c>
      <c r="G21" s="63" t="s">
        <v>77</v>
      </c>
      <c r="H21" s="63" t="s">
        <v>91</v>
      </c>
      <c r="I21" s="60"/>
      <c r="J21" s="60"/>
    </row>
    <row r="22" spans="2:16" x14ac:dyDescent="0.2">
      <c r="B22" s="65"/>
      <c r="C22" s="60"/>
      <c r="D22" s="63" t="s">
        <v>17</v>
      </c>
      <c r="E22" s="64">
        <v>2</v>
      </c>
      <c r="F22" s="64">
        <v>2</v>
      </c>
      <c r="G22" s="64">
        <v>3</v>
      </c>
      <c r="H22" s="64">
        <v>6</v>
      </c>
      <c r="I22" s="60"/>
      <c r="J22" s="60"/>
    </row>
    <row r="23" spans="2:16" x14ac:dyDescent="0.2">
      <c r="B23" s="65"/>
      <c r="C23" s="60"/>
      <c r="D23" s="63" t="s">
        <v>18</v>
      </c>
      <c r="E23" s="64">
        <v>3</v>
      </c>
      <c r="F23" s="64">
        <v>1</v>
      </c>
      <c r="G23" s="64">
        <v>2</v>
      </c>
      <c r="H23" s="64">
        <v>4</v>
      </c>
      <c r="I23" s="60"/>
      <c r="J23" s="60"/>
    </row>
    <row r="24" spans="2:16" x14ac:dyDescent="0.2">
      <c r="B24" s="65"/>
      <c r="C24" s="60"/>
      <c r="D24" s="63" t="s">
        <v>19</v>
      </c>
      <c r="E24" s="64">
        <v>1</v>
      </c>
      <c r="F24" s="64">
        <v>2</v>
      </c>
      <c r="G24" s="64">
        <v>2</v>
      </c>
      <c r="H24" s="64">
        <v>2</v>
      </c>
      <c r="I24" s="60"/>
      <c r="J24" s="60"/>
    </row>
    <row r="25" spans="2:16" x14ac:dyDescent="0.2">
      <c r="B25" s="65"/>
      <c r="C25" s="60"/>
      <c r="D25" s="60"/>
      <c r="E25" s="60"/>
      <c r="F25" s="60"/>
      <c r="G25" s="60"/>
      <c r="H25" s="60"/>
      <c r="I25" s="60"/>
      <c r="J25" s="60"/>
    </row>
    <row r="26" spans="2:16" x14ac:dyDescent="0.2">
      <c r="B26" s="65"/>
      <c r="C26" s="60"/>
      <c r="D26" s="60"/>
      <c r="E26" s="60"/>
      <c r="F26" s="60"/>
      <c r="G26" s="60"/>
      <c r="H26" s="60"/>
      <c r="I26" s="60"/>
      <c r="J26" s="60"/>
    </row>
    <row r="27" spans="2:16" x14ac:dyDescent="0.2">
      <c r="B27" s="65"/>
      <c r="C27" s="60"/>
      <c r="D27" s="60"/>
      <c r="E27" s="60"/>
      <c r="F27" s="60"/>
      <c r="G27" s="60"/>
      <c r="H27" s="60"/>
      <c r="I27" s="60"/>
      <c r="J27" s="60"/>
    </row>
    <row r="28" spans="2:16" x14ac:dyDescent="0.2">
      <c r="B28" s="65"/>
      <c r="C28" s="60"/>
      <c r="D28" s="60"/>
      <c r="E28" s="60"/>
      <c r="F28" s="60"/>
      <c r="G28" s="60"/>
      <c r="H28" s="60"/>
      <c r="I28" s="60"/>
      <c r="J28" s="60"/>
    </row>
  </sheetData>
  <mergeCells count="10">
    <mergeCell ref="B5:B6"/>
    <mergeCell ref="B7:B8"/>
    <mergeCell ref="B9:B10"/>
    <mergeCell ref="E20:G20"/>
    <mergeCell ref="O4:P4"/>
    <mergeCell ref="H4:I4"/>
    <mergeCell ref="D4:E4"/>
    <mergeCell ref="F4:G4"/>
    <mergeCell ref="J4:K4"/>
    <mergeCell ref="L4:M4"/>
  </mergeCells>
  <pageMargins left="0.7" right="0.7" top="0.75" bottom="0.75" header="0.3" footer="0.3"/>
  <ignoredErrors>
    <ignoredError sqref="O6:O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Primera pregunta</vt:lpstr>
      <vt:lpstr>Segunda pregunta</vt:lpstr>
      <vt:lpstr>Tercera pregunta</vt:lpstr>
      <vt:lpstr>Cuarta pregunta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León</dc:creator>
  <cp:lastModifiedBy>Enrique León</cp:lastModifiedBy>
  <dcterms:created xsi:type="dcterms:W3CDTF">2025-09-08T21:38:09Z</dcterms:created>
  <dcterms:modified xsi:type="dcterms:W3CDTF">2026-04-16T21:32:15Z</dcterms:modified>
</cp:coreProperties>
</file>