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Volumes/Enrique Leó/UCR/Docencia/Exámenes/Exámenes de GO/Banco de preguntas/Ampliación/"/>
    </mc:Choice>
  </mc:AlternateContent>
  <xr:revisionPtr revIDLastSave="0" documentId="8_{AAD9825B-E712-DC4D-9414-59A03AFD452E}" xr6:coauthVersionLast="47" xr6:coauthVersionMax="47" xr10:uidLastSave="{00000000-0000-0000-0000-000000000000}"/>
  <bookViews>
    <workbookView xWindow="0" yWindow="760" windowWidth="29480" windowHeight="18740" tabRatio="500" xr2:uid="{00000000-000D-0000-FFFF-FFFF00000000}"/>
  </bookViews>
  <sheets>
    <sheet name="Primera pregunta" sheetId="1" r:id="rId1"/>
    <sheet name="Segunda pregunta" sheetId="4" r:id="rId2"/>
    <sheet name="Tercera pregunta" sheetId="2" r:id="rId3"/>
    <sheet name="Cuarta pregunta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8" i="2" l="1"/>
  <c r="C18" i="2"/>
  <c r="D18" i="2"/>
  <c r="C12" i="2" s="1"/>
  <c r="H22" i="1"/>
  <c r="H7" i="1" s="1"/>
  <c r="H10" i="1"/>
  <c r="I10" i="1"/>
  <c r="B28" i="1"/>
  <c r="C28" i="1"/>
  <c r="C25" i="1" s="1"/>
  <c r="B14" i="1"/>
  <c r="F25" i="1"/>
  <c r="C14" i="1"/>
  <c r="C22" i="1" s="1"/>
  <c r="H2" i="4"/>
  <c r="I2" i="4"/>
  <c r="J2" i="4" s="1"/>
  <c r="H3" i="4"/>
  <c r="I3" i="4" s="1"/>
  <c r="J3" i="4" s="1"/>
  <c r="H4" i="4"/>
  <c r="I4" i="4"/>
  <c r="J4" i="4"/>
  <c r="H5" i="4"/>
  <c r="I5" i="4"/>
  <c r="J5" i="4" s="1"/>
  <c r="D14" i="1"/>
  <c r="J10" i="1"/>
  <c r="K12" i="5"/>
  <c r="B3" i="5"/>
  <c r="E3" i="5" s="1"/>
  <c r="C3" i="5"/>
  <c r="I6" i="5"/>
  <c r="I11" i="5"/>
  <c r="D3" i="5"/>
  <c r="J6" i="5"/>
  <c r="J11" i="5"/>
  <c r="H4" i="5"/>
  <c r="H5" i="5"/>
  <c r="I4" i="5"/>
  <c r="I5" i="5"/>
  <c r="I7" i="5" s="1"/>
  <c r="J4" i="5"/>
  <c r="J5" i="5"/>
  <c r="J7" i="5"/>
  <c r="B4" i="5"/>
  <c r="E4" i="5" s="1"/>
  <c r="C4" i="5"/>
  <c r="D4" i="5"/>
  <c r="B5" i="5"/>
  <c r="C5" i="5"/>
  <c r="D5" i="5"/>
  <c r="E5" i="5"/>
  <c r="B6" i="5"/>
  <c r="C6" i="5"/>
  <c r="D6" i="5"/>
  <c r="E6" i="5"/>
  <c r="B25" i="2"/>
  <c r="C25" i="2"/>
  <c r="D25" i="2"/>
  <c r="E12" i="2" s="1"/>
  <c r="B21" i="2"/>
  <c r="C21" i="2"/>
  <c r="D21" i="2"/>
  <c r="D12" i="2" s="1"/>
  <c r="H25" i="1" l="1"/>
  <c r="H8" i="1"/>
  <c r="H9" i="1" s="1"/>
  <c r="B19" i="1"/>
  <c r="B21" i="1"/>
  <c r="G30" i="1"/>
  <c r="J6" i="4"/>
  <c r="D10" i="1"/>
  <c r="D12" i="1" s="1"/>
  <c r="B10" i="1"/>
  <c r="B19" i="2"/>
  <c r="C19" i="2" s="1"/>
  <c r="B14" i="2" s="1"/>
  <c r="H6" i="5"/>
  <c r="C10" i="1"/>
  <c r="H11" i="1" l="1"/>
  <c r="I6" i="1" s="1"/>
  <c r="H14" i="1"/>
  <c r="H18" i="2"/>
  <c r="C9" i="2"/>
  <c r="B12" i="1"/>
  <c r="B13" i="1" s="1"/>
  <c r="G32" i="1"/>
  <c r="G31" i="1"/>
  <c r="D21" i="1"/>
  <c r="C21" i="1"/>
  <c r="H11" i="5"/>
  <c r="J12" i="5" s="1"/>
  <c r="J13" i="5" s="1"/>
  <c r="H7" i="5"/>
  <c r="H15" i="1"/>
  <c r="H17" i="1"/>
  <c r="B15" i="1" l="1"/>
  <c r="C9" i="1" s="1"/>
  <c r="B18" i="1"/>
  <c r="B23" i="1" s="1"/>
  <c r="I12" i="2"/>
  <c r="H19" i="2"/>
  <c r="I19" i="2" s="1"/>
  <c r="H14" i="2" s="1"/>
  <c r="I9" i="2" s="1"/>
  <c r="I17" i="5"/>
  <c r="L18" i="5" s="1"/>
  <c r="I15" i="5"/>
  <c r="L16" i="5" s="1"/>
  <c r="L19" i="5" s="1"/>
  <c r="L21" i="5" s="1"/>
  <c r="I16" i="5"/>
  <c r="L17" i="5" s="1"/>
  <c r="H19" i="1"/>
  <c r="C10" i="2"/>
  <c r="C11" i="2"/>
  <c r="C13" i="2" s="1"/>
  <c r="D8" i="2" s="1"/>
  <c r="H23" i="1"/>
  <c r="I7" i="1" s="1"/>
  <c r="I8" i="1" l="1"/>
  <c r="I9" i="1" s="1"/>
  <c r="I25" i="1"/>
  <c r="I10" i="2"/>
  <c r="I11" i="2"/>
  <c r="I13" i="2" s="1"/>
  <c r="J8" i="2" s="1"/>
  <c r="B22" i="2"/>
  <c r="C22" i="2" s="1"/>
  <c r="C14" i="2" s="1"/>
  <c r="F26" i="1"/>
  <c r="F27" i="1" s="1"/>
  <c r="F28" i="1" s="1"/>
  <c r="C11" i="1" s="1"/>
  <c r="H21" i="2" l="1"/>
  <c r="D9" i="2"/>
  <c r="C20" i="1"/>
  <c r="C12" i="1"/>
  <c r="C13" i="1" s="1"/>
  <c r="I15" i="1"/>
  <c r="I17" i="1"/>
  <c r="I11" i="1"/>
  <c r="J6" i="1" s="1"/>
  <c r="I14" i="1"/>
  <c r="I19" i="1" s="1"/>
  <c r="C18" i="1" l="1"/>
  <c r="C23" i="1" s="1"/>
  <c r="C15" i="1"/>
  <c r="D9" i="1" s="1"/>
  <c r="D13" i="1" s="1"/>
  <c r="H24" i="1"/>
  <c r="J7" i="1" s="1"/>
  <c r="D10" i="2"/>
  <c r="D11" i="2"/>
  <c r="D13" i="2" s="1"/>
  <c r="E8" i="2" s="1"/>
  <c r="J12" i="2"/>
  <c r="H22" i="2"/>
  <c r="I22" i="2" s="1"/>
  <c r="I14" i="2" s="1"/>
  <c r="J9" i="2" s="1"/>
  <c r="B26" i="2" l="1"/>
  <c r="C26" i="2" s="1"/>
  <c r="D14" i="2" s="1"/>
  <c r="J25" i="1"/>
  <c r="J8" i="1"/>
  <c r="J10" i="2"/>
  <c r="J11" i="2" s="1"/>
  <c r="J13" i="2" s="1"/>
  <c r="K8" i="2" s="1"/>
  <c r="D18" i="1"/>
  <c r="D23" i="1" s="1"/>
  <c r="D15" i="1"/>
  <c r="J9" i="1"/>
  <c r="E23" i="1"/>
  <c r="J11" i="1" l="1"/>
  <c r="J14" i="1"/>
  <c r="J19" i="1" s="1"/>
  <c r="K19" i="1" s="1"/>
  <c r="J17" i="1"/>
  <c r="J15" i="1"/>
  <c r="E9" i="2"/>
  <c r="H24" i="2"/>
  <c r="K12" i="2" l="1"/>
  <c r="H25" i="2"/>
  <c r="I25" i="2" s="1"/>
  <c r="J14" i="2" s="1"/>
  <c r="K9" i="2" s="1"/>
  <c r="E10" i="2"/>
  <c r="E11" i="2"/>
  <c r="E13" i="2" s="1"/>
  <c r="K10" i="2" l="1"/>
  <c r="K11" i="2" s="1"/>
  <c r="K13" i="2" s="1"/>
</calcChain>
</file>

<file path=xl/sharedStrings.xml><?xml version="1.0" encoding="utf-8"?>
<sst xmlns="http://schemas.openxmlformats.org/spreadsheetml/2006/main" count="188" uniqueCount="129">
  <si>
    <t>Formulación del pedido</t>
    <phoneticPr fontId="2" type="noConversion"/>
  </si>
  <si>
    <t>Q</t>
    <phoneticPr fontId="2" type="noConversion"/>
  </si>
  <si>
    <r>
      <t>Necesidad de B</t>
    </r>
    <r>
      <rPr>
        <vertAlign val="subscript"/>
        <sz val="10"/>
        <rFont val="Verdana"/>
      </rPr>
      <t>1</t>
    </r>
    <r>
      <rPr>
        <sz val="10"/>
        <rFont val="Verdana"/>
      </rPr>
      <t xml:space="preserve">  =</t>
    </r>
    <phoneticPr fontId="2" type="noConversion"/>
  </si>
  <si>
    <r>
      <t>PP</t>
    </r>
    <r>
      <rPr>
        <vertAlign val="subscript"/>
        <sz val="10"/>
        <rFont val="Verdana"/>
      </rPr>
      <t>0</t>
    </r>
    <r>
      <rPr>
        <sz val="10"/>
        <rFont val="Verdana"/>
      </rPr>
      <t xml:space="preserve"> =</t>
    </r>
    <phoneticPr fontId="2" type="noConversion"/>
  </si>
  <si>
    <t>AQL =</t>
    <phoneticPr fontId="2" type="noConversion"/>
  </si>
  <si>
    <t>PNCT =</t>
    <phoneticPr fontId="2" type="noConversion"/>
  </si>
  <si>
    <t>Merma =</t>
    <phoneticPr fontId="2" type="noConversion"/>
  </si>
  <si>
    <r>
      <t>Necesidad de B</t>
    </r>
    <r>
      <rPr>
        <vertAlign val="subscript"/>
        <sz val="10"/>
        <rFont val="Verdana"/>
      </rPr>
      <t>2</t>
    </r>
    <r>
      <rPr>
        <sz val="10"/>
        <rFont val="Verdana"/>
      </rPr>
      <t xml:space="preserve">  =</t>
    </r>
    <phoneticPr fontId="2" type="noConversion"/>
  </si>
  <si>
    <r>
      <t>PP</t>
    </r>
    <r>
      <rPr>
        <vertAlign val="subscript"/>
        <sz val="10"/>
        <rFont val="Verdana"/>
      </rPr>
      <t>1</t>
    </r>
    <r>
      <rPr>
        <sz val="10"/>
        <rFont val="Verdana"/>
      </rPr>
      <t xml:space="preserve"> =</t>
    </r>
    <phoneticPr fontId="2" type="noConversion"/>
  </si>
  <si>
    <r>
      <t>Necesidad de B</t>
    </r>
    <r>
      <rPr>
        <vertAlign val="subscript"/>
        <sz val="10"/>
        <rFont val="Verdana"/>
      </rPr>
      <t>3</t>
    </r>
    <r>
      <rPr>
        <sz val="10"/>
        <rFont val="Verdana"/>
      </rPr>
      <t xml:space="preserve">  =</t>
    </r>
    <phoneticPr fontId="2" type="noConversion"/>
  </si>
  <si>
    <r>
      <t>PP</t>
    </r>
    <r>
      <rPr>
        <vertAlign val="subscript"/>
        <sz val="10"/>
        <rFont val="Verdana"/>
      </rPr>
      <t>2</t>
    </r>
    <r>
      <rPr>
        <sz val="10"/>
        <rFont val="Verdana"/>
      </rPr>
      <t xml:space="preserve"> =</t>
    </r>
    <phoneticPr fontId="2" type="noConversion"/>
  </si>
  <si>
    <t>MRP de B</t>
    <phoneticPr fontId="2" type="noConversion"/>
  </si>
  <si>
    <t>MRP de D</t>
    <phoneticPr fontId="2" type="noConversion"/>
  </si>
  <si>
    <t>Invenatrio inical</t>
    <phoneticPr fontId="2" type="noConversion"/>
  </si>
  <si>
    <t>Plan de compras</t>
    <phoneticPr fontId="2" type="noConversion"/>
  </si>
  <si>
    <t>PNM</t>
    <phoneticPr fontId="2" type="noConversion"/>
  </si>
  <si>
    <t>Inventario final</t>
    <phoneticPr fontId="2" type="noConversion"/>
  </si>
  <si>
    <t xml:space="preserve"> --</t>
    <phoneticPr fontId="2" type="noConversion"/>
  </si>
  <si>
    <t>MPS y  CRP Global con Persecución y contratación y despido</t>
    <phoneticPr fontId="2" type="noConversion"/>
  </si>
  <si>
    <t>Capacidad en tiempo extra</t>
    <phoneticPr fontId="6" type="noConversion"/>
  </si>
  <si>
    <t>Costo tiempo normal</t>
    <phoneticPr fontId="6" type="noConversion"/>
  </si>
  <si>
    <t>Capacidad total</t>
    <phoneticPr fontId="6" type="noConversion"/>
  </si>
  <si>
    <t>Costo tiempo extra</t>
    <phoneticPr fontId="6" type="noConversion"/>
  </si>
  <si>
    <t>Costo pedidos no servidos</t>
    <phoneticPr fontId="6" type="noConversion"/>
  </si>
  <si>
    <t>Desperdicio</t>
    <phoneticPr fontId="2" type="noConversion"/>
  </si>
  <si>
    <t>Desperdicio</t>
    <phoneticPr fontId="2" type="noConversion"/>
  </si>
  <si>
    <t>MPS y  CRP Global con Nivelación con Horas Extras</t>
    <phoneticPr fontId="2" type="noConversion"/>
  </si>
  <si>
    <t>Aumento transitorio</t>
    <phoneticPr fontId="2" type="noConversion"/>
  </si>
  <si>
    <t>Planes de producción en MPS</t>
    <phoneticPr fontId="2" type="noConversion"/>
  </si>
  <si>
    <t>Enero</t>
    <phoneticPr fontId="2" type="noConversion"/>
  </si>
  <si>
    <t>Febrero</t>
    <phoneticPr fontId="2" type="noConversion"/>
  </si>
  <si>
    <t>Marzo</t>
    <phoneticPr fontId="2" type="noConversion"/>
  </si>
  <si>
    <t>P</t>
    <phoneticPr fontId="2" type="noConversion"/>
  </si>
  <si>
    <t>Q</t>
    <phoneticPr fontId="2" type="noConversion"/>
  </si>
  <si>
    <t>Inventario inicial</t>
    <phoneticPr fontId="2" type="noConversion"/>
  </si>
  <si>
    <t>Plan de producción</t>
    <phoneticPr fontId="2" type="noConversion"/>
  </si>
  <si>
    <t>Disponible</t>
    <phoneticPr fontId="2" type="noConversion"/>
  </si>
  <si>
    <t>PNM</t>
    <phoneticPr fontId="2" type="noConversion"/>
  </si>
  <si>
    <t>UNIVERSIDAD DE COSTA RICA</t>
  </si>
  <si>
    <t>FACULTAD DE CIENCIAS ECONÓMICAS</t>
  </si>
  <si>
    <t>ESCUELA DE ADMINISTRACIÓN DE NEGOCIOS</t>
  </si>
  <si>
    <t>Producto A</t>
    <phoneticPr fontId="6" type="noConversion"/>
  </si>
  <si>
    <t>Mes</t>
  </si>
  <si>
    <t>Enero</t>
  </si>
  <si>
    <t>Febrero</t>
  </si>
  <si>
    <t>Marzo</t>
  </si>
  <si>
    <t>Demanda</t>
  </si>
  <si>
    <t>Inventario Inicial</t>
  </si>
  <si>
    <t>Plan de Producción</t>
  </si>
  <si>
    <t>Disponible</t>
  </si>
  <si>
    <t>Costo de conservación</t>
    <phoneticPr fontId="6" type="noConversion"/>
  </si>
  <si>
    <t>Costo despido-contratación</t>
    <phoneticPr fontId="6" type="noConversion"/>
  </si>
  <si>
    <t>B</t>
    <phoneticPr fontId="2" type="noConversion"/>
  </si>
  <si>
    <r>
      <t>Necesidad de D</t>
    </r>
    <r>
      <rPr>
        <vertAlign val="subscript"/>
        <sz val="10"/>
        <rFont val="Verdana"/>
      </rPr>
      <t>0</t>
    </r>
    <r>
      <rPr>
        <sz val="10"/>
        <rFont val="Verdana"/>
      </rPr>
      <t xml:space="preserve"> =</t>
    </r>
    <phoneticPr fontId="2" type="noConversion"/>
  </si>
  <si>
    <r>
      <t>PC</t>
    </r>
    <r>
      <rPr>
        <vertAlign val="subscript"/>
        <sz val="10"/>
        <rFont val="Verdana"/>
      </rPr>
      <t>-1</t>
    </r>
    <r>
      <rPr>
        <sz val="10"/>
        <rFont val="Verdana"/>
      </rPr>
      <t xml:space="preserve"> =</t>
    </r>
    <phoneticPr fontId="2" type="noConversion"/>
  </si>
  <si>
    <t>Merma</t>
    <phoneticPr fontId="2" type="noConversion"/>
  </si>
  <si>
    <r>
      <t>Necesidad de D</t>
    </r>
    <r>
      <rPr>
        <vertAlign val="subscript"/>
        <sz val="10"/>
        <rFont val="Verdana"/>
      </rPr>
      <t>1</t>
    </r>
    <r>
      <rPr>
        <sz val="10"/>
        <rFont val="Verdana"/>
      </rPr>
      <t xml:space="preserve"> =</t>
    </r>
    <phoneticPr fontId="2" type="noConversion"/>
  </si>
  <si>
    <r>
      <t>PC</t>
    </r>
    <r>
      <rPr>
        <vertAlign val="subscript"/>
        <sz val="10"/>
        <rFont val="Verdana"/>
      </rPr>
      <t>0</t>
    </r>
    <r>
      <rPr>
        <sz val="10"/>
        <rFont val="Verdana"/>
      </rPr>
      <t xml:space="preserve"> =</t>
    </r>
    <phoneticPr fontId="2" type="noConversion"/>
  </si>
  <si>
    <r>
      <t>Necesidad de D</t>
    </r>
    <r>
      <rPr>
        <vertAlign val="subscript"/>
        <sz val="10"/>
        <rFont val="Verdana"/>
      </rPr>
      <t>2</t>
    </r>
    <r>
      <rPr>
        <sz val="10"/>
        <rFont val="Verdana"/>
      </rPr>
      <t xml:space="preserve"> =</t>
    </r>
    <phoneticPr fontId="2" type="noConversion"/>
  </si>
  <si>
    <r>
      <t>PC</t>
    </r>
    <r>
      <rPr>
        <vertAlign val="subscript"/>
        <sz val="10"/>
        <rFont val="Verdana"/>
      </rPr>
      <t>1</t>
    </r>
    <r>
      <rPr>
        <sz val="10"/>
        <rFont val="Verdana"/>
      </rPr>
      <t xml:space="preserve"> =</t>
    </r>
    <phoneticPr fontId="2" type="noConversion"/>
  </si>
  <si>
    <t>Inventario final</t>
    <phoneticPr fontId="2" type="noConversion"/>
  </si>
  <si>
    <t>Preparar los reportes diarios</t>
    <phoneticPr fontId="2" type="noConversion"/>
  </si>
  <si>
    <t>Resultados de las fotocopias</t>
    <phoneticPr fontId="2" type="noConversion"/>
  </si>
  <si>
    <t>Etiquetar y empacar los reportes</t>
    <phoneticPr fontId="2" type="noConversion"/>
  </si>
  <si>
    <t>Distribuír los reportes</t>
    <phoneticPr fontId="2" type="noConversion"/>
  </si>
  <si>
    <t>Desempeño</t>
    <phoneticPr fontId="2" type="noConversion"/>
  </si>
  <si>
    <t>Elemento</t>
    <phoneticPr fontId="2" type="noConversion"/>
  </si>
  <si>
    <t>Tiempo normal</t>
    <phoneticPr fontId="2" type="noConversion"/>
  </si>
  <si>
    <t>Tiempo de ciclo</t>
    <phoneticPr fontId="2" type="noConversion"/>
  </si>
  <si>
    <t>Tiempo estándar</t>
    <phoneticPr fontId="2" type="noConversion"/>
  </si>
  <si>
    <t>Q</t>
  </si>
  <si>
    <t>Q</t>
    <phoneticPr fontId="2" type="noConversion"/>
  </si>
  <si>
    <t>W</t>
  </si>
  <si>
    <t>W</t>
    <phoneticPr fontId="2" type="noConversion"/>
  </si>
  <si>
    <t>Z</t>
  </si>
  <si>
    <t>Z</t>
    <phoneticPr fontId="2" type="noConversion"/>
  </si>
  <si>
    <t>M1</t>
  </si>
  <si>
    <t>M1</t>
    <phoneticPr fontId="2" type="noConversion"/>
  </si>
  <si>
    <t>M2</t>
  </si>
  <si>
    <t>M2</t>
    <phoneticPr fontId="2" type="noConversion"/>
  </si>
  <si>
    <t>M3</t>
  </si>
  <si>
    <t>M3</t>
    <phoneticPr fontId="2" type="noConversion"/>
  </si>
  <si>
    <t>M4</t>
  </si>
  <si>
    <t>M4</t>
    <phoneticPr fontId="2" type="noConversion"/>
  </si>
  <si>
    <t>--</t>
  </si>
  <si>
    <t>M</t>
  </si>
  <si>
    <t xml:space="preserve"> --</t>
  </si>
  <si>
    <t>N</t>
  </si>
  <si>
    <t>Q</t>
    <phoneticPr fontId="2" type="noConversion"/>
  </si>
  <si>
    <t>Q</t>
    <phoneticPr fontId="2" type="noConversion"/>
  </si>
  <si>
    <t>M</t>
    <phoneticPr fontId="2" type="noConversion"/>
  </si>
  <si>
    <t>N</t>
    <phoneticPr fontId="2" type="noConversion"/>
  </si>
  <si>
    <t>% Carga</t>
    <phoneticPr fontId="2" type="noConversion"/>
  </si>
  <si>
    <t>W</t>
    <phoneticPr fontId="2" type="noConversion"/>
  </si>
  <si>
    <t>Z</t>
    <phoneticPr fontId="2" type="noConversion"/>
  </si>
  <si>
    <t>P VENTA</t>
    <phoneticPr fontId="2" type="noConversion"/>
  </si>
  <si>
    <t>CMP</t>
    <phoneticPr fontId="2" type="noConversion"/>
  </si>
  <si>
    <t>N</t>
    <phoneticPr fontId="2" type="noConversion"/>
  </si>
  <si>
    <t>MC</t>
    <phoneticPr fontId="2" type="noConversion"/>
  </si>
  <si>
    <t>TCb</t>
    <phoneticPr fontId="2" type="noConversion"/>
  </si>
  <si>
    <t>Throughput</t>
    <phoneticPr fontId="2" type="noConversion"/>
  </si>
  <si>
    <t>Disponible</t>
    <phoneticPr fontId="2" type="noConversion"/>
  </si>
  <si>
    <t>X =</t>
    <phoneticPr fontId="2" type="noConversion"/>
  </si>
  <si>
    <t>Q</t>
    <phoneticPr fontId="2" type="noConversion"/>
  </si>
  <si>
    <t>W</t>
    <phoneticPr fontId="2" type="noConversion"/>
  </si>
  <si>
    <t>Z</t>
    <phoneticPr fontId="2" type="noConversion"/>
  </si>
  <si>
    <t>Ingresos</t>
    <phoneticPr fontId="2" type="noConversion"/>
  </si>
  <si>
    <t>U Bruta</t>
    <phoneticPr fontId="2" type="noConversion"/>
  </si>
  <si>
    <t>G operación</t>
    <phoneticPr fontId="2" type="noConversion"/>
  </si>
  <si>
    <t>UAII</t>
    <phoneticPr fontId="2" type="noConversion"/>
  </si>
  <si>
    <t>Despacho</t>
  </si>
  <si>
    <t>Inventario Final</t>
  </si>
  <si>
    <t>Costos</t>
  </si>
  <si>
    <t>Mantenimiento del inventario</t>
  </si>
  <si>
    <t>Contratación - Despido</t>
  </si>
  <si>
    <t>Tiempo extra</t>
  </si>
  <si>
    <t>Planilla</t>
  </si>
  <si>
    <t>Pedidos no Servidos</t>
  </si>
  <si>
    <t>Costo Total con PUSH</t>
  </si>
  <si>
    <t>Planilla actual</t>
  </si>
  <si>
    <t>Plan de producción promedio</t>
    <phoneticPr fontId="6" type="noConversion"/>
  </si>
  <si>
    <t>Capacidad</t>
    <phoneticPr fontId="6" type="noConversion"/>
  </si>
  <si>
    <t>Inv seguridad</t>
  </si>
  <si>
    <t>Capacidad t normal</t>
  </si>
  <si>
    <t>Producción por empleado</t>
  </si>
  <si>
    <t>Buenas ocupan</t>
  </si>
  <si>
    <t>Buenas tienen</t>
  </si>
  <si>
    <t>Buenas faltan</t>
  </si>
  <si>
    <t>A transitorio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</si>
</sst>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$-409]#,##0.00"/>
    <numFmt numFmtId="165" formatCode="0.0"/>
    <numFmt numFmtId="166" formatCode="[$$-409]#,##0"/>
  </numFmts>
  <fonts count="13">
    <font>
      <sz val="10"/>
      <name val="Verdana"/>
    </font>
    <font>
      <b/>
      <sz val="10"/>
      <name val="Verdana"/>
    </font>
    <font>
      <sz val="8"/>
      <name val="Verdana"/>
    </font>
    <font>
      <b/>
      <sz val="12"/>
      <name val="Times New Roman"/>
      <family val="1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</font>
    <font>
      <sz val="10"/>
      <color indexed="12"/>
      <name val="Arial"/>
      <family val="2"/>
    </font>
    <font>
      <vertAlign val="subscript"/>
      <sz val="10"/>
      <name val="Verdana"/>
    </font>
    <font>
      <b/>
      <sz val="10"/>
      <color indexed="10"/>
      <name val="Verdana"/>
    </font>
    <font>
      <sz val="12"/>
      <name val="Times"/>
    </font>
    <font>
      <u/>
      <sz val="10"/>
      <color theme="10"/>
      <name val="Verdana"/>
    </font>
    <font>
      <u/>
      <sz val="10"/>
      <color theme="11"/>
      <name val="Verdana"/>
    </font>
  </fonts>
  <fills count="4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7">
    <xf numFmtId="0" fontId="0" fillId="0" borderId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33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0" fillId="0" borderId="1" xfId="0" applyBorder="1"/>
    <xf numFmtId="0" fontId="7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/>
    <xf numFmtId="1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0" fontId="5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9" fontId="0" fillId="0" borderId="0" xfId="0" applyNumberFormat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0" xfId="0" applyNumberFormat="1"/>
    <xf numFmtId="0" fontId="0" fillId="0" borderId="0" xfId="0" applyAlignment="1">
      <alignment horizontal="right"/>
    </xf>
    <xf numFmtId="0" fontId="9" fillId="0" borderId="0" xfId="0" applyFont="1"/>
    <xf numFmtId="1" fontId="0" fillId="0" borderId="0" xfId="0" applyNumberFormat="1"/>
    <xf numFmtId="0" fontId="0" fillId="0" borderId="2" xfId="0" applyBorder="1"/>
    <xf numFmtId="0" fontId="1" fillId="0" borderId="0" xfId="0" applyFont="1" applyAlignment="1">
      <alignment horizontal="center"/>
    </xf>
    <xf numFmtId="0" fontId="1" fillId="0" borderId="0" xfId="0" applyFont="1"/>
    <xf numFmtId="0" fontId="10" fillId="0" borderId="0" xfId="0" applyFont="1" applyAlignment="1">
      <alignment horizontal="center" vertical="top" wrapText="1"/>
    </xf>
    <xf numFmtId="0" fontId="0" fillId="3" borderId="0" xfId="0" applyFill="1" applyAlignment="1">
      <alignment horizontal="center"/>
    </xf>
    <xf numFmtId="166" fontId="0" fillId="0" borderId="0" xfId="0" applyNumberFormat="1" applyAlignment="1">
      <alignment horizontal="center"/>
    </xf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25" zoomScaleNormal="125" zoomScalePageLayoutView="125" workbookViewId="0">
      <selection activeCell="C41" sqref="C41"/>
    </sheetView>
  </sheetViews>
  <sheetFormatPr baseColWidth="10" defaultRowHeight="13"/>
  <cols>
    <col min="1" max="1" width="26.1640625" customWidth="1"/>
    <col min="2" max="2" width="10.6640625" customWidth="1"/>
    <col min="5" max="5" width="12.5" customWidth="1"/>
    <col min="6" max="6" width="8.5" customWidth="1"/>
    <col min="7" max="7" width="23.5" customWidth="1"/>
  </cols>
  <sheetData>
    <row r="1" spans="1:10" ht="16">
      <c r="A1" s="1" t="s">
        <v>38</v>
      </c>
      <c r="G1" s="3" t="s">
        <v>18</v>
      </c>
    </row>
    <row r="2" spans="1:10" ht="16">
      <c r="A2" s="2" t="s">
        <v>39</v>
      </c>
    </row>
    <row r="3" spans="1:10" ht="16">
      <c r="A3" s="2" t="s">
        <v>40</v>
      </c>
      <c r="G3" s="4" t="s">
        <v>41</v>
      </c>
    </row>
    <row r="4" spans="1:10">
      <c r="A4" s="3" t="s">
        <v>26</v>
      </c>
      <c r="G4" s="5" t="s">
        <v>42</v>
      </c>
      <c r="H4" s="16" t="s">
        <v>43</v>
      </c>
      <c r="I4" s="16" t="s">
        <v>44</v>
      </c>
      <c r="J4" s="16" t="s">
        <v>45</v>
      </c>
    </row>
    <row r="5" spans="1:10">
      <c r="G5" s="6" t="s">
        <v>46</v>
      </c>
      <c r="H5" s="8">
        <v>600</v>
      </c>
      <c r="I5" s="8">
        <v>1800</v>
      </c>
      <c r="J5" s="8">
        <v>900</v>
      </c>
    </row>
    <row r="6" spans="1:10">
      <c r="A6" s="4" t="s">
        <v>41</v>
      </c>
      <c r="G6" s="6" t="s">
        <v>47</v>
      </c>
      <c r="H6" s="8">
        <v>20</v>
      </c>
      <c r="I6" s="19">
        <f>H11</f>
        <v>50</v>
      </c>
      <c r="J6" s="19">
        <f>I11</f>
        <v>50</v>
      </c>
    </row>
    <row r="7" spans="1:10">
      <c r="A7" s="5" t="s">
        <v>42</v>
      </c>
      <c r="B7" s="16" t="s">
        <v>43</v>
      </c>
      <c r="C7" s="16" t="s">
        <v>44</v>
      </c>
      <c r="D7" s="16" t="s">
        <v>45</v>
      </c>
      <c r="G7" s="6" t="s">
        <v>48</v>
      </c>
      <c r="H7" s="19">
        <f>H22</f>
        <v>656.25</v>
      </c>
      <c r="I7" s="19">
        <f>H23</f>
        <v>1875</v>
      </c>
      <c r="J7" s="19">
        <f>H24</f>
        <v>937.5</v>
      </c>
    </row>
    <row r="8" spans="1:10">
      <c r="A8" s="6" t="s">
        <v>46</v>
      </c>
      <c r="B8" s="8">
        <v>600</v>
      </c>
      <c r="C8" s="8">
        <v>1800</v>
      </c>
      <c r="D8" s="8">
        <v>900</v>
      </c>
      <c r="G8" s="6" t="s">
        <v>25</v>
      </c>
      <c r="H8" s="19">
        <f>H7*(1-$D$33)</f>
        <v>26.250000000000025</v>
      </c>
      <c r="I8" s="19">
        <f t="shared" ref="I8:J8" si="0">I7*(1-$D$33)</f>
        <v>75.000000000000071</v>
      </c>
      <c r="J8" s="19">
        <f t="shared" si="0"/>
        <v>37.500000000000036</v>
      </c>
    </row>
    <row r="9" spans="1:10">
      <c r="A9" s="6" t="s">
        <v>47</v>
      </c>
      <c r="B9" s="8">
        <v>20</v>
      </c>
      <c r="C9" s="19">
        <f>B15</f>
        <v>530</v>
      </c>
      <c r="D9" s="19">
        <f>C15</f>
        <v>50</v>
      </c>
      <c r="G9" s="6" t="s">
        <v>49</v>
      </c>
      <c r="H9" s="19">
        <f>H6+H7-H8</f>
        <v>650</v>
      </c>
      <c r="I9" s="19">
        <f t="shared" ref="I9:J9" si="1">I6+I7-I8</f>
        <v>1850</v>
      </c>
      <c r="J9" s="19">
        <f t="shared" si="1"/>
        <v>950</v>
      </c>
    </row>
    <row r="10" spans="1:10">
      <c r="A10" s="6" t="s">
        <v>48</v>
      </c>
      <c r="B10" s="19">
        <f>C28</f>
        <v>1156.25</v>
      </c>
      <c r="C10" s="19">
        <f>C28</f>
        <v>1156.25</v>
      </c>
      <c r="D10" s="19">
        <f>C28</f>
        <v>1156.25</v>
      </c>
      <c r="G10" s="6" t="s">
        <v>110</v>
      </c>
      <c r="H10" s="8">
        <f>H5</f>
        <v>600</v>
      </c>
      <c r="I10" s="8">
        <f t="shared" ref="I10:J10" si="2">I5</f>
        <v>1800</v>
      </c>
      <c r="J10" s="8">
        <f t="shared" si="2"/>
        <v>900</v>
      </c>
    </row>
    <row r="11" spans="1:10">
      <c r="A11" s="6" t="s">
        <v>27</v>
      </c>
      <c r="B11" s="19">
        <v>0</v>
      </c>
      <c r="C11" s="19">
        <f>F28</f>
        <v>218.75</v>
      </c>
      <c r="D11" s="19">
        <v>0</v>
      </c>
      <c r="G11" s="6" t="s">
        <v>111</v>
      </c>
      <c r="H11" s="19">
        <f>H9-H10</f>
        <v>50</v>
      </c>
      <c r="I11" s="19">
        <f t="shared" ref="I11:J11" si="3">I9-I10</f>
        <v>50</v>
      </c>
      <c r="J11" s="19">
        <f t="shared" si="3"/>
        <v>50</v>
      </c>
    </row>
    <row r="12" spans="1:10">
      <c r="A12" s="6" t="s">
        <v>25</v>
      </c>
      <c r="B12" s="19">
        <f>B10*(1-$D$33)</f>
        <v>46.250000000000043</v>
      </c>
      <c r="C12" s="19">
        <f>(C10+C11)*(1-D33)</f>
        <v>55.00000000000005</v>
      </c>
      <c r="D12" s="19">
        <f>D10*(1-D33)</f>
        <v>46.250000000000043</v>
      </c>
      <c r="G12" s="7"/>
      <c r="H12" s="17"/>
      <c r="I12" s="17"/>
      <c r="J12" s="17"/>
    </row>
    <row r="13" spans="1:10">
      <c r="A13" s="6" t="s">
        <v>49</v>
      </c>
      <c r="B13" s="19">
        <f>B9+B10+B11-B12</f>
        <v>1130</v>
      </c>
      <c r="C13" s="19">
        <f>C9+C10+C11-C12</f>
        <v>1850</v>
      </c>
      <c r="D13" s="19">
        <f>D9+D10+D11-D12</f>
        <v>1160</v>
      </c>
      <c r="G13" s="6" t="s">
        <v>112</v>
      </c>
      <c r="H13" s="8"/>
      <c r="I13" s="8"/>
      <c r="J13" s="8"/>
    </row>
    <row r="14" spans="1:10">
      <c r="A14" s="6" t="s">
        <v>110</v>
      </c>
      <c r="B14" s="8">
        <f>B8</f>
        <v>600</v>
      </c>
      <c r="C14" s="8">
        <f t="shared" ref="C14:D14" si="4">C8</f>
        <v>1800</v>
      </c>
      <c r="D14" s="8">
        <f t="shared" si="4"/>
        <v>900</v>
      </c>
      <c r="G14" s="6" t="s">
        <v>113</v>
      </c>
      <c r="H14" s="21">
        <f>(H9/2)*$B$30</f>
        <v>1625</v>
      </c>
      <c r="I14" s="21">
        <f t="shared" ref="I14:J14" si="5">(I9/2)*$B$30</f>
        <v>4625</v>
      </c>
      <c r="J14" s="21">
        <f t="shared" si="5"/>
        <v>2375</v>
      </c>
    </row>
    <row r="15" spans="1:10">
      <c r="A15" s="6" t="s">
        <v>111</v>
      </c>
      <c r="B15" s="19">
        <f>B13-B14</f>
        <v>530</v>
      </c>
      <c r="C15" s="19">
        <f>C13-C14</f>
        <v>50</v>
      </c>
      <c r="D15" s="19">
        <f>D13-D14</f>
        <v>260</v>
      </c>
      <c r="G15" s="6" t="s">
        <v>114</v>
      </c>
      <c r="H15" s="21">
        <f>(H25-B25)*B31</f>
        <v>1625</v>
      </c>
      <c r="I15" s="21">
        <f>(I25-H25)*B31</f>
        <v>4875</v>
      </c>
      <c r="J15" s="21">
        <f>(I25-J25)*B31</f>
        <v>3750</v>
      </c>
    </row>
    <row r="16" spans="1:10">
      <c r="A16" s="7"/>
      <c r="B16" s="17"/>
      <c r="C16" s="17"/>
      <c r="D16" s="17"/>
      <c r="G16" s="6" t="s">
        <v>115</v>
      </c>
      <c r="H16" s="21" t="s">
        <v>17</v>
      </c>
      <c r="I16" s="21" t="s">
        <v>17</v>
      </c>
      <c r="J16" s="21"/>
    </row>
    <row r="17" spans="1:11">
      <c r="A17" s="6" t="s">
        <v>112</v>
      </c>
      <c r="B17" s="8"/>
      <c r="C17" s="8"/>
      <c r="D17" s="8"/>
      <c r="G17" s="6" t="s">
        <v>116</v>
      </c>
      <c r="H17" s="21">
        <f>H25*B32</f>
        <v>5250</v>
      </c>
      <c r="I17" s="21">
        <f>I25*B32</f>
        <v>15000</v>
      </c>
      <c r="J17" s="21">
        <f>J25*B32</f>
        <v>7500</v>
      </c>
    </row>
    <row r="18" spans="1:11">
      <c r="A18" s="6" t="s">
        <v>113</v>
      </c>
      <c r="B18" s="21">
        <f>(B13/2)*$B$30</f>
        <v>2825</v>
      </c>
      <c r="C18" s="21">
        <f t="shared" ref="C18:D18" si="6">(C13/2)*$B$30</f>
        <v>4625</v>
      </c>
      <c r="D18" s="21">
        <f t="shared" si="6"/>
        <v>2900</v>
      </c>
      <c r="G18" s="6" t="s">
        <v>117</v>
      </c>
      <c r="H18" s="21" t="s">
        <v>17</v>
      </c>
      <c r="I18" s="21" t="s">
        <v>17</v>
      </c>
      <c r="J18" s="21" t="s">
        <v>17</v>
      </c>
    </row>
    <row r="19" spans="1:11">
      <c r="A19" s="6" t="s">
        <v>114</v>
      </c>
      <c r="B19" s="21">
        <f>(C25-B25)*B31</f>
        <v>3800</v>
      </c>
      <c r="C19" s="8" t="s">
        <v>17</v>
      </c>
      <c r="D19" s="8" t="s">
        <v>17</v>
      </c>
      <c r="G19" s="6" t="s">
        <v>118</v>
      </c>
      <c r="H19" s="21">
        <f>SUM(H14:H18)</f>
        <v>8500</v>
      </c>
      <c r="I19" s="21">
        <f t="shared" ref="I19:J19" si="7">SUM(I14:I18)</f>
        <v>24500</v>
      </c>
      <c r="J19" s="21">
        <f t="shared" si="7"/>
        <v>13625</v>
      </c>
      <c r="K19" s="22">
        <f>SUM(H19:J19)</f>
        <v>46625</v>
      </c>
    </row>
    <row r="20" spans="1:11">
      <c r="A20" s="6" t="s">
        <v>115</v>
      </c>
      <c r="B20" s="8" t="s">
        <v>17</v>
      </c>
      <c r="C20" s="21">
        <f>(C11/B26)*B33</f>
        <v>2625</v>
      </c>
      <c r="D20" s="8" t="s">
        <v>17</v>
      </c>
      <c r="G20" s="27"/>
      <c r="H20" s="15"/>
      <c r="I20" s="15"/>
      <c r="J20" s="15"/>
      <c r="K20" s="23"/>
    </row>
    <row r="21" spans="1:11">
      <c r="A21" s="6" t="s">
        <v>116</v>
      </c>
      <c r="B21" s="21">
        <f>C25*B32</f>
        <v>9600</v>
      </c>
      <c r="C21" s="21">
        <f>B21</f>
        <v>9600</v>
      </c>
      <c r="D21" s="21">
        <f>B21</f>
        <v>9600</v>
      </c>
    </row>
    <row r="22" spans="1:11">
      <c r="A22" s="6" t="s">
        <v>117</v>
      </c>
      <c r="B22" s="8" t="s">
        <v>17</v>
      </c>
      <c r="C22" s="19">
        <f>C8-C14</f>
        <v>0</v>
      </c>
      <c r="D22" s="8" t="s">
        <v>17</v>
      </c>
      <c r="G22" t="s">
        <v>43</v>
      </c>
      <c r="H22" s="26">
        <f>((H5+B27)-H6)/D33</f>
        <v>656.25</v>
      </c>
    </row>
    <row r="23" spans="1:11">
      <c r="A23" s="6" t="s">
        <v>118</v>
      </c>
      <c r="B23" s="21">
        <f>SUM(B18:B22)</f>
        <v>16225</v>
      </c>
      <c r="C23" s="21">
        <f t="shared" ref="C23:D23" si="8">SUM(C18:C22)</f>
        <v>16850</v>
      </c>
      <c r="D23" s="21">
        <f t="shared" si="8"/>
        <v>12500</v>
      </c>
      <c r="E23" s="22">
        <f>SUM(B23:D23)</f>
        <v>45575</v>
      </c>
      <c r="G23" t="s">
        <v>44</v>
      </c>
      <c r="H23">
        <f>((I5+B27)-I6)/D33</f>
        <v>1875</v>
      </c>
    </row>
    <row r="24" spans="1:11">
      <c r="B24" s="9"/>
      <c r="C24" s="10"/>
      <c r="D24" s="9"/>
      <c r="E24" s="10"/>
      <c r="G24" t="s">
        <v>45</v>
      </c>
      <c r="H24" s="26">
        <f>((J5+B27)-J6)/D33</f>
        <v>937.5</v>
      </c>
    </row>
    <row r="25" spans="1:11">
      <c r="A25" t="s">
        <v>119</v>
      </c>
      <c r="B25" s="9">
        <v>5</v>
      </c>
      <c r="C25" s="9">
        <f>ROUNDUP(C28/B26,0)</f>
        <v>24</v>
      </c>
      <c r="D25" s="9"/>
      <c r="E25" s="12" t="s">
        <v>125</v>
      </c>
      <c r="F25" s="9">
        <f>C8+B27</f>
        <v>1850</v>
      </c>
      <c r="G25" t="s">
        <v>116</v>
      </c>
      <c r="H25" s="26">
        <f>H7/$B$26</f>
        <v>13.125</v>
      </c>
      <c r="I25" s="26">
        <f t="shared" ref="I25:J25" si="9">I7/$B$26</f>
        <v>37.5</v>
      </c>
      <c r="J25" s="26">
        <f t="shared" si="9"/>
        <v>18.75</v>
      </c>
    </row>
    <row r="26" spans="1:11">
      <c r="A26" t="s">
        <v>124</v>
      </c>
      <c r="B26" s="9">
        <v>50</v>
      </c>
      <c r="E26" t="s">
        <v>126</v>
      </c>
      <c r="F26" s="12">
        <f>C9+(B10-B12)</f>
        <v>1640</v>
      </c>
    </row>
    <row r="27" spans="1:11">
      <c r="A27" t="s">
        <v>122</v>
      </c>
      <c r="B27" s="9">
        <v>50</v>
      </c>
      <c r="C27" s="9"/>
      <c r="D27" s="9"/>
      <c r="E27" s="9" t="s">
        <v>127</v>
      </c>
      <c r="F27" s="12">
        <f>F25-F26</f>
        <v>210</v>
      </c>
    </row>
    <row r="28" spans="1:11">
      <c r="A28" t="s">
        <v>120</v>
      </c>
      <c r="B28" s="12">
        <f>((B8+C8+D8-B9+50)/3)</f>
        <v>1110</v>
      </c>
      <c r="C28" s="12">
        <f>B28/D33</f>
        <v>1156.25</v>
      </c>
      <c r="D28" s="12"/>
      <c r="E28" t="s">
        <v>128</v>
      </c>
      <c r="F28" s="12">
        <f>F27/D33</f>
        <v>218.75</v>
      </c>
    </row>
    <row r="29" spans="1:11">
      <c r="A29" t="s">
        <v>121</v>
      </c>
      <c r="B29" s="12"/>
      <c r="C29" s="13"/>
      <c r="D29" s="14"/>
      <c r="E29" s="9"/>
    </row>
    <row r="30" spans="1:11">
      <c r="A30" t="s">
        <v>50</v>
      </c>
      <c r="B30" s="15">
        <v>5</v>
      </c>
      <c r="C30" s="9"/>
      <c r="D30" s="9"/>
      <c r="E30" t="s">
        <v>123</v>
      </c>
      <c r="G30">
        <f>C25*B26</f>
        <v>1200</v>
      </c>
    </row>
    <row r="31" spans="1:11">
      <c r="A31" t="s">
        <v>51</v>
      </c>
      <c r="B31" s="15">
        <v>200</v>
      </c>
      <c r="C31" s="9"/>
      <c r="D31" s="9"/>
      <c r="E31" t="s">
        <v>19</v>
      </c>
      <c r="G31">
        <f>G30*0.5</f>
        <v>600</v>
      </c>
    </row>
    <row r="32" spans="1:11">
      <c r="A32" t="s">
        <v>20</v>
      </c>
      <c r="B32" s="15">
        <v>400</v>
      </c>
      <c r="C32" s="9"/>
      <c r="D32" s="9"/>
      <c r="E32" t="s">
        <v>21</v>
      </c>
      <c r="G32">
        <f>SUM(G30:G31)</f>
        <v>1800</v>
      </c>
    </row>
    <row r="33" spans="1:4">
      <c r="A33" t="s">
        <v>22</v>
      </c>
      <c r="B33" s="15">
        <v>600</v>
      </c>
      <c r="C33" s="9" t="s">
        <v>24</v>
      </c>
      <c r="D33" s="18">
        <v>0.96</v>
      </c>
    </row>
    <row r="34" spans="1:4">
      <c r="A34" t="s">
        <v>23</v>
      </c>
      <c r="B34" s="15">
        <v>3</v>
      </c>
      <c r="C34" s="9"/>
      <c r="D34" s="18"/>
    </row>
    <row r="35" spans="1:4">
      <c r="B35" s="9"/>
      <c r="C35" s="9"/>
      <c r="D35" s="9"/>
    </row>
    <row r="36" spans="1:4">
      <c r="B36" s="9"/>
      <c r="C36" s="9"/>
      <c r="D36" s="9"/>
    </row>
    <row r="37" spans="1:4" ht="16">
      <c r="A37" s="1"/>
    </row>
    <row r="38" spans="1:4" ht="16">
      <c r="A38" s="2"/>
    </row>
    <row r="39" spans="1:4" ht="16">
      <c r="A39" s="2"/>
    </row>
    <row r="40" spans="1:4" ht="16" customHeight="1"/>
    <row r="60" spans="8:8">
      <c r="H60" s="11"/>
    </row>
    <row r="61" spans="8:8">
      <c r="H61" s="11"/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"/>
  <sheetViews>
    <sheetView zoomScale="150" zoomScaleNormal="150" zoomScalePageLayoutView="150" workbookViewId="0">
      <selection activeCell="F22" sqref="F22"/>
    </sheetView>
  </sheetViews>
  <sheetFormatPr baseColWidth="10" defaultRowHeight="13"/>
  <cols>
    <col min="1" max="1" width="25.33203125" customWidth="1"/>
    <col min="2" max="6" width="3.33203125" customWidth="1"/>
    <col min="8" max="8" width="12.5" customWidth="1"/>
    <col min="9" max="9" width="13" customWidth="1"/>
    <col min="10" max="10" width="13.5" customWidth="1"/>
  </cols>
  <sheetData>
    <row r="1" spans="1:10">
      <c r="A1" s="29" t="s">
        <v>66</v>
      </c>
      <c r="B1" s="28">
        <v>1</v>
      </c>
      <c r="C1" s="28">
        <v>2</v>
      </c>
      <c r="D1" s="28">
        <v>3</v>
      </c>
      <c r="E1" s="28">
        <v>4</v>
      </c>
      <c r="F1" s="28">
        <v>5</v>
      </c>
      <c r="G1" s="29" t="s">
        <v>65</v>
      </c>
      <c r="H1" s="9" t="s">
        <v>68</v>
      </c>
      <c r="I1" s="9" t="s">
        <v>67</v>
      </c>
      <c r="J1" s="9" t="s">
        <v>69</v>
      </c>
    </row>
    <row r="2" spans="1:10">
      <c r="A2" t="s">
        <v>61</v>
      </c>
      <c r="B2" s="9">
        <v>30</v>
      </c>
      <c r="C2" s="9">
        <v>35</v>
      </c>
      <c r="D2" s="9">
        <v>33</v>
      </c>
      <c r="E2" s="9">
        <v>38</v>
      </c>
      <c r="F2" s="9">
        <v>29</v>
      </c>
      <c r="G2" s="18">
        <v>1.2</v>
      </c>
      <c r="H2" s="9">
        <f>AVERAGE(B2:F2)</f>
        <v>33</v>
      </c>
      <c r="I2" s="9">
        <f>H2*G2</f>
        <v>39.6</v>
      </c>
      <c r="J2" s="13">
        <f>I2/(1-0.15)</f>
        <v>46.588235294117652</v>
      </c>
    </row>
    <row r="3" spans="1:10">
      <c r="A3" t="s">
        <v>62</v>
      </c>
      <c r="B3" s="9">
        <v>10</v>
      </c>
      <c r="C3" s="9">
        <v>8</v>
      </c>
      <c r="D3" s="9">
        <v>12</v>
      </c>
      <c r="E3" s="9">
        <v>11</v>
      </c>
      <c r="F3" s="9">
        <v>9</v>
      </c>
      <c r="G3" s="18">
        <v>1.1000000000000001</v>
      </c>
      <c r="H3" s="9">
        <f t="shared" ref="H3:H5" si="0">AVERAGE(B3:F3)</f>
        <v>10</v>
      </c>
      <c r="I3" s="9">
        <f t="shared" ref="I3:I5" si="1">H3*G3</f>
        <v>11</v>
      </c>
      <c r="J3" s="13">
        <f t="shared" ref="J3:J5" si="2">I3/(1-0.15)</f>
        <v>12.941176470588236</v>
      </c>
    </row>
    <row r="4" spans="1:10">
      <c r="A4" t="s">
        <v>63</v>
      </c>
      <c r="B4" s="9">
        <v>5</v>
      </c>
      <c r="C4" s="9">
        <v>6</v>
      </c>
      <c r="D4" s="9">
        <v>7</v>
      </c>
      <c r="E4" s="9">
        <v>6</v>
      </c>
      <c r="F4" s="9">
        <v>4</v>
      </c>
      <c r="G4" s="18">
        <v>0.9</v>
      </c>
      <c r="H4" s="9">
        <f t="shared" si="0"/>
        <v>5.6</v>
      </c>
      <c r="I4" s="9">
        <f t="shared" si="1"/>
        <v>5.04</v>
      </c>
      <c r="J4" s="13">
        <f t="shared" si="2"/>
        <v>5.9294117647058826</v>
      </c>
    </row>
    <row r="5" spans="1:10">
      <c r="A5" t="s">
        <v>64</v>
      </c>
      <c r="B5" s="9">
        <v>15</v>
      </c>
      <c r="C5" s="9">
        <v>14</v>
      </c>
      <c r="D5" s="9">
        <v>17</v>
      </c>
      <c r="E5" s="9">
        <v>16</v>
      </c>
      <c r="F5" s="9">
        <v>18</v>
      </c>
      <c r="G5" s="18">
        <v>0.85</v>
      </c>
      <c r="H5" s="9">
        <f t="shared" si="0"/>
        <v>16</v>
      </c>
      <c r="I5" s="9">
        <f t="shared" si="1"/>
        <v>13.6</v>
      </c>
      <c r="J5" s="13">
        <f t="shared" si="2"/>
        <v>16</v>
      </c>
    </row>
    <row r="6" spans="1:10">
      <c r="I6" s="9"/>
      <c r="J6" s="13">
        <f>SUM(J2:J5)</f>
        <v>81.458823529411774</v>
      </c>
    </row>
  </sheetData>
  <phoneticPr fontId="2" type="noConversion"/>
  <pageMargins left="0.75" right="0.75" top="1" bottom="1" header="0.5" footer="0.5"/>
  <ignoredErrors>
    <ignoredError sqref="H2:H5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8"/>
  <sheetViews>
    <sheetView zoomScale="125" zoomScaleNormal="125" zoomScalePageLayoutView="125" workbookViewId="0">
      <selection activeCell="C28" sqref="C28"/>
    </sheetView>
  </sheetViews>
  <sheetFormatPr baseColWidth="10" defaultRowHeight="13"/>
  <cols>
    <col min="1" max="1" width="18.5" customWidth="1"/>
    <col min="6" max="6" width="7.5" customWidth="1"/>
    <col min="7" max="7" width="18.33203125" customWidth="1"/>
  </cols>
  <sheetData>
    <row r="1" spans="1:11">
      <c r="A1" t="s">
        <v>28</v>
      </c>
      <c r="F1" s="24" t="s">
        <v>5</v>
      </c>
      <c r="G1" s="20">
        <v>0.95</v>
      </c>
    </row>
    <row r="2" spans="1:11">
      <c r="F2" s="24" t="s">
        <v>6</v>
      </c>
      <c r="G2" s="20">
        <v>1</v>
      </c>
    </row>
    <row r="3" spans="1:11">
      <c r="B3" t="s">
        <v>29</v>
      </c>
      <c r="C3" t="s">
        <v>30</v>
      </c>
      <c r="D3" t="s">
        <v>31</v>
      </c>
      <c r="F3" s="24" t="s">
        <v>4</v>
      </c>
      <c r="G3" s="20">
        <v>0.93</v>
      </c>
    </row>
    <row r="4" spans="1:11">
      <c r="A4" t="s">
        <v>32</v>
      </c>
      <c r="B4">
        <v>5000</v>
      </c>
      <c r="C4">
        <v>6000</v>
      </c>
      <c r="D4">
        <v>13000</v>
      </c>
    </row>
    <row r="5" spans="1:11">
      <c r="A5" t="s">
        <v>33</v>
      </c>
      <c r="B5">
        <v>10000</v>
      </c>
      <c r="C5">
        <v>12000</v>
      </c>
      <c r="D5">
        <v>16000</v>
      </c>
    </row>
    <row r="7" spans="1:11">
      <c r="A7" s="25" t="s">
        <v>11</v>
      </c>
      <c r="B7">
        <v>0</v>
      </c>
      <c r="C7">
        <v>1</v>
      </c>
      <c r="D7">
        <v>2</v>
      </c>
      <c r="E7">
        <v>3</v>
      </c>
      <c r="G7" s="25" t="s">
        <v>12</v>
      </c>
      <c r="H7">
        <v>-1</v>
      </c>
      <c r="I7">
        <v>0</v>
      </c>
      <c r="J7">
        <v>1</v>
      </c>
      <c r="K7">
        <v>2</v>
      </c>
    </row>
    <row r="8" spans="1:11">
      <c r="A8" t="s">
        <v>34</v>
      </c>
      <c r="C8">
        <v>0</v>
      </c>
      <c r="D8">
        <f>C13</f>
        <v>3502</v>
      </c>
      <c r="E8">
        <f>D13</f>
        <v>4282</v>
      </c>
      <c r="G8" t="s">
        <v>13</v>
      </c>
      <c r="I8">
        <v>0</v>
      </c>
      <c r="J8" s="26">
        <f>I13</f>
        <v>8305</v>
      </c>
      <c r="K8" s="26">
        <f>J13</f>
        <v>9215</v>
      </c>
    </row>
    <row r="9" spans="1:11">
      <c r="A9" t="s">
        <v>35</v>
      </c>
      <c r="C9" s="26">
        <f>B14</f>
        <v>41400</v>
      </c>
      <c r="D9" s="26">
        <f>C14</f>
        <v>46000</v>
      </c>
      <c r="E9" s="26">
        <f>D14</f>
        <v>79400</v>
      </c>
      <c r="G9" t="s">
        <v>14</v>
      </c>
      <c r="I9">
        <f>H14*G1</f>
        <v>91105</v>
      </c>
      <c r="J9">
        <f>I14*G1</f>
        <v>92910</v>
      </c>
      <c r="K9">
        <f>J14*G1</f>
        <v>165490</v>
      </c>
    </row>
    <row r="10" spans="1:11">
      <c r="A10" t="s">
        <v>24</v>
      </c>
      <c r="C10" s="26">
        <f>C9*(1-$G$3)</f>
        <v>2897.9999999999982</v>
      </c>
      <c r="D10" s="26">
        <f t="shared" ref="D10:E10" si="0">D9*(1-$G$3)</f>
        <v>3219.9999999999977</v>
      </c>
      <c r="E10" s="26">
        <f t="shared" si="0"/>
        <v>5557.9999999999964</v>
      </c>
      <c r="G10" t="s">
        <v>55</v>
      </c>
      <c r="I10" s="26">
        <f>I9*(1-G2)</f>
        <v>0</v>
      </c>
      <c r="J10" s="26">
        <f>(J8+J9)*(1-G2)</f>
        <v>0</v>
      </c>
      <c r="K10" s="26">
        <f>(K8+K9)*(1-G2)</f>
        <v>0</v>
      </c>
    </row>
    <row r="11" spans="1:11">
      <c r="A11" t="s">
        <v>36</v>
      </c>
      <c r="C11">
        <f>C8+C9-C10</f>
        <v>38502</v>
      </c>
      <c r="D11">
        <f t="shared" ref="D11:E11" si="1">D8+D9-D10</f>
        <v>46282</v>
      </c>
      <c r="E11">
        <f t="shared" si="1"/>
        <v>78124</v>
      </c>
      <c r="G11" t="s">
        <v>36</v>
      </c>
      <c r="I11" s="26">
        <f>I8+I9-I10</f>
        <v>91105</v>
      </c>
      <c r="J11" s="26">
        <f>J8+J9-J10</f>
        <v>101215</v>
      </c>
      <c r="K11" s="26">
        <f>K8+K9-K10</f>
        <v>174705</v>
      </c>
    </row>
    <row r="12" spans="1:11">
      <c r="A12" t="s">
        <v>37</v>
      </c>
      <c r="C12">
        <f>D18</f>
        <v>35000</v>
      </c>
      <c r="D12">
        <f>D21</f>
        <v>42000</v>
      </c>
      <c r="E12">
        <f>D25</f>
        <v>71000</v>
      </c>
      <c r="G12" t="s">
        <v>15</v>
      </c>
      <c r="I12">
        <f>H18</f>
        <v>82800</v>
      </c>
      <c r="J12">
        <f>H21</f>
        <v>92000</v>
      </c>
      <c r="K12">
        <f>H24</f>
        <v>158800</v>
      </c>
    </row>
    <row r="13" spans="1:11">
      <c r="A13" t="s">
        <v>60</v>
      </c>
      <c r="C13">
        <f>C11-C12</f>
        <v>3502</v>
      </c>
      <c r="D13">
        <f t="shared" ref="D13:E13" si="2">D11-D12</f>
        <v>4282</v>
      </c>
      <c r="E13">
        <f t="shared" si="2"/>
        <v>7124</v>
      </c>
      <c r="G13" t="s">
        <v>16</v>
      </c>
      <c r="I13" s="26">
        <f>I11-I12</f>
        <v>8305</v>
      </c>
      <c r="J13" s="26">
        <f>J11-J12</f>
        <v>9215</v>
      </c>
      <c r="K13" s="26">
        <f>K11-K12</f>
        <v>15905</v>
      </c>
    </row>
    <row r="14" spans="1:11">
      <c r="A14" t="s">
        <v>0</v>
      </c>
      <c r="B14" s="26">
        <f>C19</f>
        <v>41400</v>
      </c>
      <c r="C14" s="26">
        <f>C22</f>
        <v>46000</v>
      </c>
      <c r="D14" s="26">
        <f>C26</f>
        <v>79400</v>
      </c>
      <c r="E14" s="24" t="s">
        <v>17</v>
      </c>
      <c r="G14" t="s">
        <v>0</v>
      </c>
      <c r="H14">
        <f>I19</f>
        <v>95900</v>
      </c>
      <c r="I14">
        <f>I22</f>
        <v>97800</v>
      </c>
      <c r="J14">
        <f>I25</f>
        <v>174200</v>
      </c>
    </row>
    <row r="16" spans="1:11">
      <c r="B16" s="9" t="s">
        <v>32</v>
      </c>
      <c r="C16" s="9" t="s">
        <v>1</v>
      </c>
      <c r="H16" s="9" t="s">
        <v>52</v>
      </c>
    </row>
    <row r="17" spans="1:9" ht="15">
      <c r="A17" t="s">
        <v>2</v>
      </c>
      <c r="B17" s="9">
        <v>3</v>
      </c>
      <c r="C17" s="9">
        <v>2</v>
      </c>
      <c r="G17" t="s">
        <v>53</v>
      </c>
      <c r="H17" s="9">
        <v>2</v>
      </c>
    </row>
    <row r="18" spans="1:9" ht="15">
      <c r="A18" t="s">
        <v>2</v>
      </c>
      <c r="B18" s="9">
        <f>B4*B17</f>
        <v>15000</v>
      </c>
      <c r="C18" s="9">
        <f>B5*C17</f>
        <v>20000</v>
      </c>
      <c r="D18">
        <f>SUM(B18:C18)</f>
        <v>35000</v>
      </c>
      <c r="G18" t="s">
        <v>53</v>
      </c>
      <c r="H18">
        <f>B14*H17</f>
        <v>82800</v>
      </c>
    </row>
    <row r="19" spans="1:9" ht="15">
      <c r="A19" t="s">
        <v>3</v>
      </c>
      <c r="B19" s="12">
        <f>((D18*1.1)-C8)/$G$3</f>
        <v>41397.849462365586</v>
      </c>
      <c r="C19" s="12">
        <f>CEILING(B19,100)</f>
        <v>41400</v>
      </c>
      <c r="G19" t="s">
        <v>54</v>
      </c>
      <c r="H19" s="26">
        <f>(((H18*1.1)-I8)/G2)/G1</f>
        <v>95873.684210526335</v>
      </c>
      <c r="I19">
        <f>CEILING(H19,50)</f>
        <v>95900</v>
      </c>
    </row>
    <row r="20" spans="1:9">
      <c r="B20" s="9"/>
      <c r="C20" s="9"/>
    </row>
    <row r="21" spans="1:9" ht="15">
      <c r="A21" t="s">
        <v>7</v>
      </c>
      <c r="B21" s="9">
        <f>C4*B17</f>
        <v>18000</v>
      </c>
      <c r="C21" s="9">
        <f>C5*C17</f>
        <v>24000</v>
      </c>
      <c r="D21">
        <f>SUM(B21:C21)</f>
        <v>42000</v>
      </c>
      <c r="G21" t="s">
        <v>56</v>
      </c>
      <c r="H21">
        <f>C14*H17</f>
        <v>92000</v>
      </c>
    </row>
    <row r="22" spans="1:9" ht="15">
      <c r="A22" t="s">
        <v>8</v>
      </c>
      <c r="B22" s="12">
        <f>((D21*1.1)-D8)/$G$3</f>
        <v>45911.827956989255</v>
      </c>
      <c r="C22" s="12">
        <f>CEILING(B22,100)</f>
        <v>46000</v>
      </c>
      <c r="G22" t="s">
        <v>57</v>
      </c>
      <c r="H22" s="26">
        <f>((((H21*1.1)-(J8*$G$2))/$G$2)/$G$1)</f>
        <v>97784.210526315816</v>
      </c>
      <c r="I22">
        <f>CEILING(H22,50)</f>
        <v>97800</v>
      </c>
    </row>
    <row r="23" spans="1:9">
      <c r="B23" s="9"/>
      <c r="C23" s="12"/>
    </row>
    <row r="24" spans="1:9" ht="15">
      <c r="G24" t="s">
        <v>58</v>
      </c>
      <c r="H24">
        <f>D14*H17</f>
        <v>158800</v>
      </c>
    </row>
    <row r="25" spans="1:9" ht="15">
      <c r="A25" t="s">
        <v>9</v>
      </c>
      <c r="B25" s="9">
        <f>D4*B17</f>
        <v>39000</v>
      </c>
      <c r="C25" s="9">
        <f>D5*C17</f>
        <v>32000</v>
      </c>
      <c r="D25">
        <f>SUM(B25:C25)</f>
        <v>71000</v>
      </c>
      <c r="G25" t="s">
        <v>59</v>
      </c>
      <c r="H25" s="26">
        <f>((((H24*1.1)-(K8*$G$2))/$G$2)/$G$1)</f>
        <v>174173.68421052632</v>
      </c>
      <c r="I25">
        <f>CEILING(H25,50)</f>
        <v>174200</v>
      </c>
    </row>
    <row r="26" spans="1:9" ht="15">
      <c r="A26" t="s">
        <v>10</v>
      </c>
      <c r="B26" s="12">
        <f>((D25*1.1)-E8)/$G$3</f>
        <v>79374.193548387091</v>
      </c>
      <c r="C26" s="12">
        <f>CEILING(B26,100)</f>
        <v>79400</v>
      </c>
    </row>
    <row r="27" spans="1:9">
      <c r="B27" s="9"/>
      <c r="C27" s="9"/>
    </row>
    <row r="28" spans="1:9">
      <c r="B28" s="12"/>
    </row>
    <row r="29" spans="1:9">
      <c r="B29" s="12"/>
      <c r="C29" s="9"/>
    </row>
    <row r="30" spans="1:9">
      <c r="B30" s="12"/>
      <c r="C30" s="9"/>
    </row>
    <row r="31" spans="1:9">
      <c r="B31" s="9"/>
      <c r="C31" s="9"/>
    </row>
    <row r="32" spans="1:9">
      <c r="B32" s="9"/>
      <c r="C32" s="9"/>
    </row>
    <row r="34" spans="2:3">
      <c r="B34" s="9"/>
      <c r="C34" s="9"/>
    </row>
    <row r="35" spans="2:3">
      <c r="B35" s="9"/>
      <c r="C35" s="9"/>
    </row>
    <row r="36" spans="2:3">
      <c r="B36" s="9"/>
      <c r="C36" s="9"/>
    </row>
    <row r="37" spans="2:3">
      <c r="B37" s="9"/>
      <c r="C37" s="9"/>
    </row>
    <row r="38" spans="2:3">
      <c r="B38" s="9"/>
      <c r="C38" s="9"/>
    </row>
  </sheetData>
  <phoneticPr fontId="2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3"/>
  <sheetViews>
    <sheetView zoomScale="150" zoomScaleNormal="150" zoomScalePageLayoutView="150" workbookViewId="0">
      <selection activeCell="I18" sqref="I18"/>
    </sheetView>
  </sheetViews>
  <sheetFormatPr baseColWidth="10" defaultRowHeight="13"/>
  <cols>
    <col min="1" max="1" width="10" customWidth="1"/>
    <col min="2" max="2" width="6.6640625" customWidth="1"/>
    <col min="3" max="4" width="6.1640625" customWidth="1"/>
    <col min="5" max="5" width="7.5" customWidth="1"/>
    <col min="6" max="6" width="6.1640625" customWidth="1"/>
    <col min="7" max="7" width="9.6640625" customWidth="1"/>
    <col min="8" max="8" width="6.1640625" customWidth="1"/>
    <col min="9" max="9" width="7.5" customWidth="1"/>
    <col min="10" max="10" width="6.1640625" customWidth="1"/>
    <col min="11" max="11" width="9.33203125" customWidth="1"/>
    <col min="12" max="12" width="11.6640625" customWidth="1"/>
    <col min="13" max="13" width="6.1640625" customWidth="1"/>
    <col min="14" max="15" width="7.33203125" bestFit="1" customWidth="1"/>
    <col min="16" max="16" width="6" customWidth="1"/>
    <col min="17" max="17" width="17.5" customWidth="1"/>
    <col min="18" max="18" width="12" customWidth="1"/>
    <col min="2000" max="2000" width="2.33203125" customWidth="1"/>
  </cols>
  <sheetData>
    <row r="1" spans="1:14">
      <c r="A1" s="9"/>
      <c r="B1" s="9"/>
      <c r="C1" s="9"/>
      <c r="D1" s="9"/>
    </row>
    <row r="2" spans="1:14">
      <c r="A2" s="9"/>
      <c r="B2" s="9" t="s">
        <v>71</v>
      </c>
      <c r="C2" s="9" t="s">
        <v>73</v>
      </c>
      <c r="D2" s="9" t="s">
        <v>75</v>
      </c>
      <c r="E2" s="9" t="s">
        <v>92</v>
      </c>
      <c r="F2" s="9"/>
      <c r="H2" s="9" t="s">
        <v>88</v>
      </c>
      <c r="I2" s="9" t="s">
        <v>93</v>
      </c>
      <c r="J2" s="9" t="s">
        <v>94</v>
      </c>
    </row>
    <row r="3" spans="1:14">
      <c r="A3" s="31" t="s">
        <v>77</v>
      </c>
      <c r="B3" s="31">
        <f>($B$12*$B16)+($B$13*$C16)</f>
        <v>52</v>
      </c>
      <c r="C3" s="31">
        <f>($B$12*$B17)+($B$13*$C17)</f>
        <v>37</v>
      </c>
      <c r="D3" s="31">
        <f>($B$12*$B18)+($B$13*$C18)</f>
        <v>39</v>
      </c>
      <c r="E3" s="31">
        <f>SUM(B3:D3)</f>
        <v>128</v>
      </c>
      <c r="F3" s="9"/>
      <c r="G3" t="s">
        <v>95</v>
      </c>
      <c r="H3" s="32">
        <v>450</v>
      </c>
      <c r="I3" s="32">
        <v>410</v>
      </c>
      <c r="J3" s="32">
        <v>350</v>
      </c>
    </row>
    <row r="4" spans="1:14">
      <c r="A4" s="9" t="s">
        <v>79</v>
      </c>
      <c r="B4" s="9">
        <f>($C$12*$B16)+($C$13*$C16)</f>
        <v>41</v>
      </c>
      <c r="C4" s="9">
        <f>($C$12*$B17)+($C$13*$C17)</f>
        <v>31</v>
      </c>
      <c r="D4" s="9">
        <f>($C$12*$B18)+($C$13*$C18)</f>
        <v>32</v>
      </c>
      <c r="E4" s="9">
        <f t="shared" ref="E4:E6" si="0">SUM(B4:D4)</f>
        <v>104</v>
      </c>
      <c r="F4" s="9"/>
      <c r="G4" t="s">
        <v>96</v>
      </c>
      <c r="H4" s="32">
        <f>(B16*B20)+(C16*B21)</f>
        <v>110</v>
      </c>
      <c r="I4" s="32">
        <f>(B17*B20)+(C17*B21)</f>
        <v>60</v>
      </c>
      <c r="J4" s="32">
        <f>(B18*B20)+(C18*B21)</f>
        <v>70</v>
      </c>
    </row>
    <row r="5" spans="1:14">
      <c r="A5" s="9" t="s">
        <v>81</v>
      </c>
      <c r="B5" s="9">
        <f>($D$13*$C16)</f>
        <v>50</v>
      </c>
      <c r="C5" s="9">
        <f>($D$13*$C17)</f>
        <v>10</v>
      </c>
      <c r="D5" s="9">
        <f>($D$13*$C18)</f>
        <v>20</v>
      </c>
      <c r="E5" s="9">
        <f t="shared" si="0"/>
        <v>80</v>
      </c>
      <c r="F5" s="9"/>
      <c r="G5" t="s">
        <v>98</v>
      </c>
      <c r="H5" s="32">
        <f>H3-H4</f>
        <v>340</v>
      </c>
      <c r="I5" s="32">
        <f t="shared" ref="I5:J5" si="1">I3-I4</f>
        <v>350</v>
      </c>
      <c r="J5" s="32">
        <f t="shared" si="1"/>
        <v>280</v>
      </c>
    </row>
    <row r="6" spans="1:14">
      <c r="A6" s="9" t="s">
        <v>83</v>
      </c>
      <c r="B6" s="9">
        <f>E9</f>
        <v>15</v>
      </c>
      <c r="C6" s="9">
        <f>E11</f>
        <v>10</v>
      </c>
      <c r="D6" s="9">
        <f>E10</f>
        <v>20</v>
      </c>
      <c r="E6" s="9">
        <f t="shared" si="0"/>
        <v>45</v>
      </c>
      <c r="F6" s="9"/>
      <c r="G6" t="s">
        <v>99</v>
      </c>
      <c r="H6" s="9">
        <f>B3</f>
        <v>52</v>
      </c>
      <c r="I6" s="9">
        <f t="shared" ref="I6:J6" si="2">C3</f>
        <v>37</v>
      </c>
      <c r="J6" s="9">
        <f t="shared" si="2"/>
        <v>39</v>
      </c>
    </row>
    <row r="7" spans="1:14">
      <c r="A7" s="9"/>
      <c r="B7" s="9"/>
      <c r="C7" s="9"/>
      <c r="D7" s="9"/>
      <c r="E7" s="9"/>
      <c r="F7" s="9"/>
      <c r="G7" t="s">
        <v>100</v>
      </c>
      <c r="H7" s="15">
        <f>H5/H6</f>
        <v>6.5384615384615383</v>
      </c>
      <c r="I7" s="15">
        <f t="shared" ref="I7:J7" si="3">I5/I6</f>
        <v>9.4594594594594597</v>
      </c>
      <c r="J7" s="15">
        <f t="shared" si="3"/>
        <v>7.1794871794871797</v>
      </c>
    </row>
    <row r="8" spans="1:14">
      <c r="A8" s="9"/>
      <c r="B8" s="9" t="s">
        <v>76</v>
      </c>
      <c r="C8" s="9" t="s">
        <v>78</v>
      </c>
      <c r="D8" s="9" t="s">
        <v>80</v>
      </c>
      <c r="E8" s="9" t="s">
        <v>82</v>
      </c>
    </row>
    <row r="9" spans="1:14">
      <c r="A9" s="9" t="s">
        <v>70</v>
      </c>
      <c r="B9" s="9" t="s">
        <v>84</v>
      </c>
      <c r="C9" s="9" t="s">
        <v>84</v>
      </c>
      <c r="D9" s="9" t="s">
        <v>84</v>
      </c>
      <c r="E9" s="9">
        <v>15</v>
      </c>
      <c r="H9" s="9" t="s">
        <v>88</v>
      </c>
      <c r="I9" s="9" t="s">
        <v>93</v>
      </c>
      <c r="J9" s="9" t="s">
        <v>94</v>
      </c>
    </row>
    <row r="10" spans="1:14">
      <c r="A10" s="9" t="s">
        <v>74</v>
      </c>
      <c r="B10" s="9" t="s">
        <v>84</v>
      </c>
      <c r="C10" s="9" t="s">
        <v>84</v>
      </c>
      <c r="D10" s="9" t="s">
        <v>84</v>
      </c>
      <c r="E10" s="9">
        <v>20</v>
      </c>
      <c r="H10" s="9">
        <v>1</v>
      </c>
      <c r="I10" s="9">
        <v>3</v>
      </c>
      <c r="J10" s="9">
        <v>2</v>
      </c>
      <c r="K10" s="9" t="s">
        <v>101</v>
      </c>
      <c r="L10" s="9"/>
      <c r="M10" s="9"/>
      <c r="N10" s="9"/>
    </row>
    <row r="11" spans="1:14">
      <c r="A11" s="9" t="s">
        <v>72</v>
      </c>
      <c r="B11" s="9" t="s">
        <v>84</v>
      </c>
      <c r="C11" s="9" t="s">
        <v>84</v>
      </c>
      <c r="D11" s="9" t="s">
        <v>84</v>
      </c>
      <c r="E11" s="9">
        <v>10</v>
      </c>
      <c r="H11" s="9">
        <f>H6</f>
        <v>52</v>
      </c>
      <c r="I11" s="9">
        <f t="shared" ref="I11:J11" si="4">I6</f>
        <v>37</v>
      </c>
      <c r="J11" s="9">
        <f t="shared" si="4"/>
        <v>39</v>
      </c>
      <c r="K11" s="9">
        <v>10000</v>
      </c>
      <c r="L11" s="9"/>
      <c r="M11" s="9"/>
      <c r="N11" s="9"/>
    </row>
    <row r="12" spans="1:14">
      <c r="A12" s="9" t="s">
        <v>85</v>
      </c>
      <c r="B12" s="9">
        <v>7</v>
      </c>
      <c r="C12" s="9">
        <v>6</v>
      </c>
      <c r="D12" s="9" t="s">
        <v>86</v>
      </c>
      <c r="E12" s="9" t="s">
        <v>84</v>
      </c>
      <c r="H12" s="9"/>
      <c r="I12" s="9"/>
      <c r="J12" s="9">
        <f>(H11*H10)+(I11*I10)+(J11*J10)</f>
        <v>241</v>
      </c>
      <c r="K12" s="9">
        <f>K11</f>
        <v>10000</v>
      </c>
      <c r="L12" s="9"/>
      <c r="M12" s="9"/>
      <c r="N12" s="9"/>
    </row>
    <row r="13" spans="1:14">
      <c r="A13" s="9" t="s">
        <v>87</v>
      </c>
      <c r="B13" s="9">
        <v>9</v>
      </c>
      <c r="C13" s="9">
        <v>7</v>
      </c>
      <c r="D13" s="9">
        <v>10</v>
      </c>
      <c r="E13" s="9" t="s">
        <v>84</v>
      </c>
      <c r="H13" s="9"/>
      <c r="I13" s="9" t="s">
        <v>102</v>
      </c>
      <c r="J13" s="12">
        <f>K12/J12</f>
        <v>41.49377593360996</v>
      </c>
      <c r="K13" s="9"/>
      <c r="L13" s="9"/>
      <c r="M13" s="9"/>
      <c r="N13" s="9"/>
    </row>
    <row r="14" spans="1:14">
      <c r="H14" s="9"/>
      <c r="I14" s="9"/>
      <c r="J14" s="9"/>
      <c r="K14" s="9"/>
      <c r="L14" s="9"/>
      <c r="M14" s="9"/>
      <c r="N14" s="9"/>
    </row>
    <row r="15" spans="1:14" ht="16">
      <c r="A15" s="30"/>
      <c r="B15" s="9" t="s">
        <v>90</v>
      </c>
      <c r="C15" s="9" t="s">
        <v>91</v>
      </c>
      <c r="H15" s="9" t="s">
        <v>103</v>
      </c>
      <c r="I15" s="12">
        <f>J13*H10</f>
        <v>41.49377593360996</v>
      </c>
      <c r="J15" s="9"/>
      <c r="K15" s="9"/>
      <c r="L15" s="9" t="s">
        <v>106</v>
      </c>
      <c r="M15" s="9"/>
      <c r="N15" s="9"/>
    </row>
    <row r="16" spans="1:14" ht="17">
      <c r="A16" s="30" t="s">
        <v>89</v>
      </c>
      <c r="B16" s="9">
        <v>1</v>
      </c>
      <c r="C16" s="9">
        <v>5</v>
      </c>
      <c r="H16" s="9" t="s">
        <v>104</v>
      </c>
      <c r="I16" s="12">
        <f>J13*I10</f>
        <v>124.48132780082989</v>
      </c>
      <c r="J16" s="9"/>
      <c r="K16" s="9" t="s">
        <v>103</v>
      </c>
      <c r="L16" s="15">
        <f>I15*H5</f>
        <v>14107.883817427386</v>
      </c>
      <c r="M16" s="9"/>
      <c r="N16" s="9"/>
    </row>
    <row r="17" spans="1:14" ht="17">
      <c r="A17" s="30" t="s">
        <v>73</v>
      </c>
      <c r="B17" s="9">
        <v>4</v>
      </c>
      <c r="C17" s="9">
        <v>1</v>
      </c>
      <c r="H17" s="9" t="s">
        <v>105</v>
      </c>
      <c r="I17" s="12">
        <f>J13*J10</f>
        <v>82.987551867219921</v>
      </c>
      <c r="J17" s="9"/>
      <c r="K17" s="9" t="s">
        <v>104</v>
      </c>
      <c r="L17" s="15">
        <f>I16*I5</f>
        <v>43568.464730290463</v>
      </c>
      <c r="M17" s="9"/>
      <c r="N17" s="9"/>
    </row>
    <row r="18" spans="1:14" ht="17">
      <c r="A18" s="30" t="s">
        <v>75</v>
      </c>
      <c r="B18" s="9">
        <v>3</v>
      </c>
      <c r="C18" s="9">
        <v>2</v>
      </c>
      <c r="H18" s="9"/>
      <c r="I18" s="9"/>
      <c r="J18" s="9"/>
      <c r="K18" s="9" t="s">
        <v>105</v>
      </c>
      <c r="L18" s="15">
        <f>I17*J5</f>
        <v>23236.514522821577</v>
      </c>
      <c r="M18" s="9"/>
      <c r="N18" s="9"/>
    </row>
    <row r="19" spans="1:14">
      <c r="J19" s="9"/>
      <c r="K19" s="9" t="s">
        <v>107</v>
      </c>
      <c r="L19" s="15">
        <f>SUM(L16:L18)</f>
        <v>80912.863070539432</v>
      </c>
      <c r="M19" s="9"/>
      <c r="N19" s="9"/>
    </row>
    <row r="20" spans="1:14" ht="17">
      <c r="A20" s="30" t="s">
        <v>90</v>
      </c>
      <c r="B20" s="32">
        <v>10</v>
      </c>
      <c r="J20" s="9"/>
      <c r="K20" s="9" t="s">
        <v>108</v>
      </c>
      <c r="L20" s="15">
        <v>50000</v>
      </c>
      <c r="M20" s="9"/>
      <c r="N20" s="9"/>
    </row>
    <row r="21" spans="1:14" ht="17">
      <c r="A21" s="30" t="s">
        <v>97</v>
      </c>
      <c r="B21" s="32">
        <v>20</v>
      </c>
      <c r="J21" s="9"/>
      <c r="K21" s="9" t="s">
        <v>109</v>
      </c>
      <c r="L21" s="15">
        <f>L19-L20</f>
        <v>30912.863070539432</v>
      </c>
      <c r="M21" s="9"/>
      <c r="N21" s="9"/>
    </row>
    <row r="22" spans="1:14">
      <c r="J22" s="9"/>
      <c r="K22" s="9"/>
      <c r="L22" s="9"/>
      <c r="M22" s="9"/>
      <c r="N22" s="9"/>
    </row>
    <row r="23" spans="1:14">
      <c r="H23" s="9"/>
      <c r="I23" s="9"/>
      <c r="J23" s="9"/>
      <c r="K23" s="9"/>
      <c r="L23" s="9"/>
      <c r="M23" s="9"/>
      <c r="N23" s="9"/>
    </row>
    <row r="24" spans="1:14">
      <c r="H24" s="9"/>
      <c r="I24" s="9"/>
      <c r="J24" s="9"/>
      <c r="K24" s="9"/>
      <c r="L24" s="9"/>
      <c r="M24" s="9"/>
      <c r="N24" s="9"/>
    </row>
    <row r="25" spans="1:14">
      <c r="H25" s="9"/>
      <c r="I25" s="9"/>
      <c r="J25" s="9"/>
      <c r="K25" s="9"/>
      <c r="L25" s="9"/>
      <c r="M25" s="9"/>
      <c r="N25" s="9"/>
    </row>
    <row r="26" spans="1:14">
      <c r="H26" s="9"/>
      <c r="I26" s="9"/>
      <c r="J26" s="9"/>
      <c r="K26" s="9"/>
      <c r="L26" s="9"/>
      <c r="M26" s="9"/>
      <c r="N26" s="9"/>
    </row>
    <row r="27" spans="1:14">
      <c r="H27" s="9"/>
      <c r="I27" s="9"/>
      <c r="J27" s="9"/>
      <c r="K27" s="9"/>
      <c r="L27" s="9"/>
      <c r="M27" s="9"/>
      <c r="N27" s="9"/>
    </row>
    <row r="28" spans="1:14">
      <c r="H28" s="9"/>
      <c r="I28" s="9"/>
      <c r="J28" s="9"/>
      <c r="K28" s="9"/>
      <c r="L28" s="9"/>
      <c r="M28" s="9"/>
      <c r="N28" s="9"/>
    </row>
    <row r="29" spans="1:14">
      <c r="H29" s="9"/>
      <c r="I29" s="9"/>
      <c r="J29" s="9"/>
      <c r="K29" s="9"/>
      <c r="L29" s="9"/>
      <c r="M29" s="9"/>
      <c r="N29" s="9"/>
    </row>
    <row r="30" spans="1:14">
      <c r="H30" s="9"/>
      <c r="I30" s="9"/>
      <c r="J30" s="9"/>
      <c r="K30" s="9"/>
      <c r="L30" s="9"/>
      <c r="M30" s="9"/>
      <c r="N30" s="9"/>
    </row>
    <row r="31" spans="1:14">
      <c r="H31" s="9"/>
      <c r="I31" s="9"/>
      <c r="J31" s="9"/>
      <c r="K31" s="9"/>
      <c r="L31" s="9"/>
      <c r="M31" s="9"/>
      <c r="N31" s="9"/>
    </row>
    <row r="32" spans="1:14">
      <c r="H32" s="9"/>
      <c r="I32" s="9"/>
      <c r="J32" s="9"/>
      <c r="K32" s="9"/>
      <c r="L32" s="9"/>
      <c r="M32" s="9"/>
      <c r="N32" s="9"/>
    </row>
    <row r="33" spans="8:14">
      <c r="H33" s="9"/>
      <c r="I33" s="9"/>
      <c r="J33" s="9"/>
      <c r="K33" s="9"/>
      <c r="L33" s="9"/>
      <c r="M33" s="9"/>
      <c r="N33" s="9"/>
    </row>
  </sheetData>
  <phoneticPr fontId="2" type="noConversion"/>
  <pageMargins left="0.75" right="0.75" top="1" bottom="1" header="0.5" footer="0.5"/>
  <ignoredErrors>
    <ignoredError sqref="C3:C5" formula="1"/>
  </ignoredErrors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Primera pregunta</vt:lpstr>
      <vt:lpstr>Segunda pregunta</vt:lpstr>
      <vt:lpstr>Tercera pregunta</vt:lpstr>
      <vt:lpstr>Cuarta pregunta</vt:lpstr>
    </vt:vector>
  </TitlesOfParts>
  <Company>Leon y Parra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 Leon</dc:creator>
  <cp:lastModifiedBy>Enrique León</cp:lastModifiedBy>
  <dcterms:created xsi:type="dcterms:W3CDTF">2008-12-11T17:27:27Z</dcterms:created>
  <dcterms:modified xsi:type="dcterms:W3CDTF">2025-07-14T17:33:06Z</dcterms:modified>
</cp:coreProperties>
</file>