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2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enrique/Desktop/"/>
    </mc:Choice>
  </mc:AlternateContent>
  <xr:revisionPtr revIDLastSave="6" documentId="13_ncr:1_{749688CF-47ED-4A42-A6DE-EFE07732C888}" xr6:coauthVersionLast="47" xr6:coauthVersionMax="47" xr10:uidLastSave="{804B38C7-7AFB-774B-947F-3FA01FCFF8B7}"/>
  <bookViews>
    <workbookView xWindow="0" yWindow="660" windowWidth="28800" windowHeight="16240" tabRatio="500" xr2:uid="{00000000-000D-0000-FFFF-FFFF00000000}"/>
  </bookViews>
  <sheets>
    <sheet name="Pregunta 1" sheetId="17" r:id="rId1"/>
    <sheet name="Pregunta 2" sheetId="16" r:id="rId2"/>
    <sheet name="Pregunta 3" sheetId="1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31" i="15" l="1"/>
  <c r="F30" i="15"/>
  <c r="F29" i="15"/>
  <c r="F28" i="15"/>
  <c r="G37" i="15"/>
  <c r="F37" i="15"/>
  <c r="F32" i="15" s="1"/>
  <c r="G27" i="15" s="1"/>
  <c r="G30" i="15" s="1"/>
  <c r="G32" i="15" s="1"/>
  <c r="H27" i="15" s="1"/>
  <c r="H30" i="15" s="1"/>
  <c r="H32" i="15" s="1"/>
  <c r="C37" i="15"/>
  <c r="E36" i="15"/>
  <c r="D36" i="15"/>
  <c r="C36" i="15"/>
  <c r="D15" i="15"/>
  <c r="K13" i="17"/>
  <c r="L13" i="17"/>
  <c r="M13" i="17"/>
  <c r="N13" i="17"/>
  <c r="R13" i="17"/>
  <c r="S13" i="17"/>
  <c r="T13" i="17"/>
  <c r="U13" i="17"/>
  <c r="K14" i="17"/>
  <c r="F21" i="17"/>
  <c r="K31" i="17"/>
  <c r="K15" i="17"/>
  <c r="K17" i="17"/>
  <c r="K18" i="17"/>
  <c r="K19" i="17"/>
  <c r="K20" i="17"/>
  <c r="L14" i="17"/>
  <c r="L15" i="17"/>
  <c r="L17" i="17"/>
  <c r="L18" i="17"/>
  <c r="L19" i="17"/>
  <c r="L20" i="17"/>
  <c r="M14" i="17"/>
  <c r="M15" i="17"/>
  <c r="K32" i="17"/>
  <c r="K33" i="17"/>
  <c r="K34" i="17"/>
  <c r="K35" i="17"/>
  <c r="M16" i="17"/>
  <c r="M17" i="17"/>
  <c r="M18" i="17"/>
  <c r="M19" i="17"/>
  <c r="M20" i="17"/>
  <c r="N14" i="17"/>
  <c r="R14" i="17"/>
  <c r="R15" i="17"/>
  <c r="R16" i="17"/>
  <c r="R17" i="17"/>
  <c r="R18" i="17"/>
  <c r="R19" i="17"/>
  <c r="S14" i="17"/>
  <c r="S15" i="17"/>
  <c r="S16" i="17"/>
  <c r="S17" i="17"/>
  <c r="S18" i="17"/>
  <c r="S19" i="17"/>
  <c r="T14" i="17"/>
  <c r="K37" i="17"/>
  <c r="N37" i="17"/>
  <c r="K40" i="17"/>
  <c r="N40" i="17"/>
  <c r="T33" i="17"/>
  <c r="T15" i="17"/>
  <c r="T16" i="17"/>
  <c r="T17" i="17"/>
  <c r="T18" i="17"/>
  <c r="T19" i="17"/>
  <c r="U14" i="17"/>
  <c r="N15" i="17"/>
  <c r="U15" i="17"/>
  <c r="U16" i="17"/>
  <c r="N17" i="17"/>
  <c r="U17" i="17"/>
  <c r="N18" i="17"/>
  <c r="U18" i="17"/>
  <c r="N19" i="17"/>
  <c r="U19" i="17"/>
  <c r="N20" i="17"/>
  <c r="R22" i="17"/>
  <c r="S22" i="17"/>
  <c r="T22" i="17"/>
  <c r="U22" i="17"/>
  <c r="V22" i="17"/>
  <c r="K23" i="17"/>
  <c r="L23" i="17"/>
  <c r="M23" i="17"/>
  <c r="N23" i="17"/>
  <c r="O23" i="17"/>
  <c r="R23" i="17"/>
  <c r="V23" i="17"/>
  <c r="K24" i="17"/>
  <c r="O24" i="17"/>
  <c r="R24" i="17"/>
  <c r="V24" i="17"/>
  <c r="O25" i="17"/>
  <c r="R25" i="17"/>
  <c r="S25" i="17"/>
  <c r="T25" i="17"/>
  <c r="U25" i="17"/>
  <c r="V25" i="17"/>
  <c r="K26" i="17"/>
  <c r="L26" i="17"/>
  <c r="M26" i="17"/>
  <c r="N26" i="17"/>
  <c r="O26" i="17"/>
  <c r="R26" i="17"/>
  <c r="S26" i="17"/>
  <c r="T26" i="17"/>
  <c r="U26" i="17"/>
  <c r="V26" i="17"/>
  <c r="K27" i="17"/>
  <c r="L27" i="17"/>
  <c r="M27" i="17"/>
  <c r="N27" i="17"/>
  <c r="O27" i="17"/>
  <c r="T27" i="17"/>
  <c r="V27" i="17"/>
  <c r="O28" i="17"/>
  <c r="V28" i="17"/>
  <c r="O29" i="17"/>
  <c r="L37" i="17"/>
  <c r="G5" i="16"/>
  <c r="M5" i="16"/>
  <c r="S5" i="16"/>
  <c r="Z5" i="16"/>
  <c r="C19" i="16"/>
  <c r="L6" i="16"/>
  <c r="R6" i="16"/>
  <c r="Y6" i="16"/>
  <c r="L7" i="16"/>
  <c r="R7" i="16"/>
  <c r="Y7" i="16"/>
  <c r="C20" i="16"/>
  <c r="L9" i="16"/>
  <c r="R9" i="16"/>
  <c r="Y9" i="16"/>
  <c r="L10" i="16"/>
  <c r="R10" i="16"/>
  <c r="Y10" i="16"/>
  <c r="C18" i="16"/>
  <c r="H18" i="16"/>
  <c r="I18" i="16"/>
  <c r="K18" i="16"/>
  <c r="J18" i="16"/>
  <c r="N18" i="16"/>
  <c r="O18" i="16"/>
  <c r="Q18" i="16"/>
  <c r="P18" i="16"/>
  <c r="T18" i="16"/>
  <c r="U18" i="16"/>
  <c r="K29" i="16"/>
  <c r="N29" i="16"/>
  <c r="I29" i="16"/>
  <c r="O29" i="16"/>
  <c r="Q29" i="16"/>
  <c r="T29" i="16"/>
  <c r="U29" i="16"/>
  <c r="X23" i="16"/>
  <c r="AA23" i="16"/>
  <c r="AB23" i="16"/>
  <c r="T19" i="16"/>
  <c r="N19" i="16"/>
  <c r="H19" i="16"/>
  <c r="E19" i="16"/>
  <c r="D19" i="16"/>
  <c r="I19" i="16"/>
  <c r="K19" i="16"/>
  <c r="J19" i="16"/>
  <c r="O19" i="16"/>
  <c r="Q19" i="16"/>
  <c r="P19" i="16"/>
  <c r="U19" i="16"/>
  <c r="K33" i="16"/>
  <c r="V29" i="16"/>
  <c r="L33" i="16"/>
  <c r="I30" i="16"/>
  <c r="I33" i="16"/>
  <c r="L34" i="16"/>
  <c r="K34" i="16"/>
  <c r="J30" i="16"/>
  <c r="K30" i="16"/>
  <c r="N30" i="16"/>
  <c r="O30" i="16"/>
  <c r="Q30" i="16"/>
  <c r="T30" i="16"/>
  <c r="U30" i="16"/>
  <c r="W24" i="16"/>
  <c r="X24" i="16"/>
  <c r="AA24" i="16"/>
  <c r="AB24" i="16"/>
  <c r="T20" i="16"/>
  <c r="N20" i="16"/>
  <c r="H20" i="16"/>
  <c r="E20" i="16"/>
  <c r="D20" i="16"/>
  <c r="I20" i="16"/>
  <c r="K20" i="16"/>
  <c r="J20" i="16"/>
  <c r="O20" i="16"/>
  <c r="Q20" i="16"/>
  <c r="P20" i="16"/>
  <c r="U20" i="16"/>
  <c r="W23" i="16"/>
  <c r="AD23" i="16"/>
  <c r="AD24" i="16"/>
  <c r="W25" i="16"/>
  <c r="X25" i="16"/>
  <c r="K37" i="16"/>
  <c r="V30" i="16"/>
  <c r="L37" i="16"/>
  <c r="I31" i="16"/>
  <c r="I37" i="16"/>
  <c r="L38" i="16"/>
  <c r="K38" i="16"/>
  <c r="K39" i="16"/>
  <c r="J31" i="16"/>
  <c r="K31" i="16"/>
  <c r="N31" i="16"/>
  <c r="O31" i="16"/>
  <c r="Q31" i="16"/>
  <c r="T31" i="16"/>
  <c r="U31" i="16"/>
  <c r="AA25" i="16"/>
  <c r="AB25" i="16"/>
  <c r="AD25" i="16"/>
  <c r="P29" i="16"/>
  <c r="P30" i="16"/>
  <c r="P31" i="16"/>
  <c r="V31" i="16"/>
  <c r="I7" i="15"/>
  <c r="E4" i="15"/>
  <c r="O36" i="15"/>
  <c r="Q32" i="15"/>
  <c r="H29" i="15"/>
  <c r="H22" i="15"/>
  <c r="I22" i="15"/>
  <c r="H14" i="15"/>
  <c r="C22" i="15"/>
  <c r="D22" i="15"/>
  <c r="C14" i="15"/>
  <c r="J18" i="15"/>
  <c r="I18" i="15"/>
  <c r="H18" i="15"/>
  <c r="E18" i="15"/>
  <c r="D18" i="15"/>
  <c r="C18" i="15"/>
  <c r="K14" i="15"/>
  <c r="K15" i="15"/>
  <c r="I15" i="15"/>
  <c r="C7" i="15"/>
  <c r="E7" i="15"/>
  <c r="C6" i="15"/>
  <c r="E6" i="15"/>
  <c r="J5" i="15"/>
  <c r="C5" i="15"/>
  <c r="E5" i="15"/>
  <c r="M36" i="15"/>
  <c r="C16" i="15"/>
  <c r="C17" i="15"/>
  <c r="C19" i="15"/>
  <c r="D13" i="15"/>
  <c r="D14" i="15"/>
  <c r="C35" i="15"/>
  <c r="C49" i="15"/>
  <c r="H16" i="15"/>
  <c r="H17" i="15"/>
  <c r="H19" i="15"/>
  <c r="I13" i="15"/>
  <c r="I14" i="15"/>
  <c r="D37" i="15"/>
  <c r="E37" i="15"/>
  <c r="G45" i="15"/>
  <c r="C51" i="15"/>
  <c r="D51" i="15"/>
  <c r="E51" i="15"/>
  <c r="N36" i="15"/>
  <c r="P32" i="15"/>
  <c r="D16" i="15"/>
  <c r="D17" i="15"/>
  <c r="D19" i="15"/>
  <c r="E13" i="15"/>
  <c r="E14" i="15"/>
  <c r="D35" i="15"/>
  <c r="G31" i="15"/>
  <c r="M38" i="15"/>
  <c r="N38" i="15"/>
  <c r="M37" i="15"/>
  <c r="N37" i="15"/>
  <c r="O37" i="15"/>
  <c r="O32" i="15"/>
  <c r="D49" i="15"/>
  <c r="H45" i="15"/>
  <c r="I16" i="15"/>
  <c r="I17" i="15"/>
  <c r="I19" i="15"/>
  <c r="J13" i="15"/>
  <c r="J14" i="15"/>
  <c r="C47" i="15"/>
  <c r="C33" i="15"/>
  <c r="M34" i="15"/>
  <c r="M39" i="15"/>
  <c r="E49" i="15"/>
  <c r="I45" i="15"/>
  <c r="J16" i="15"/>
  <c r="J17" i="15"/>
  <c r="J19" i="15"/>
  <c r="C50" i="15"/>
  <c r="D50" i="15"/>
  <c r="E50" i="15"/>
  <c r="O34" i="15"/>
  <c r="Q28" i="15"/>
  <c r="N34" i="15"/>
  <c r="P28" i="15"/>
  <c r="O28" i="15"/>
  <c r="E16" i="15"/>
  <c r="E17" i="15"/>
  <c r="E19" i="15"/>
  <c r="E35" i="15"/>
  <c r="H31" i="15"/>
  <c r="Q29" i="15"/>
  <c r="O29" i="15"/>
  <c r="G42" i="15"/>
  <c r="E47" i="15"/>
  <c r="D47" i="15"/>
  <c r="F51" i="15"/>
  <c r="G43" i="15"/>
  <c r="O30" i="15"/>
  <c r="O31" i="15"/>
  <c r="O33" i="15"/>
  <c r="P27" i="15"/>
  <c r="H42" i="15"/>
  <c r="I42" i="15"/>
  <c r="G44" i="15"/>
  <c r="G46" i="15"/>
  <c r="H41" i="15"/>
  <c r="H44" i="15"/>
  <c r="H46" i="15"/>
  <c r="I41" i="15"/>
  <c r="I44" i="15"/>
  <c r="I46" i="15"/>
  <c r="E33" i="15"/>
  <c r="D33" i="15"/>
  <c r="G28" i="15" s="1"/>
  <c r="H28" i="15" s="1"/>
  <c r="P30" i="15"/>
  <c r="P31" i="15"/>
  <c r="P33" i="15"/>
  <c r="Q27" i="15"/>
  <c r="Q30" i="15"/>
  <c r="Q31" i="15"/>
  <c r="Q33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tc={C0DB8801-2947-AE4D-8A7C-A9181340F85F}</author>
    <author>tc={A8444FBB-AE22-7F4A-9671-6C7BA7F4CC2E}</author>
    <author>tc={05342593-6C79-B645-BDD4-F931EAAB199D}</author>
    <author>tc={2D32CE86-B5A9-A248-8347-876A03CF56DA}</author>
  </authors>
  <commentList>
    <comment ref="T15" authorId="0" shapeId="0" xr:uid="{C0DB8801-2947-AE4D-8A7C-A9181340F85F}">
      <text>
        <t>[Threaded comment]
Your version of Excel allows you to read this threaded comment; however, any edits to it will get removed if the file is opened in a newer version of Excel. Learn more: https://go.microsoft.com/fwlink/?linkid=870924
Comment:
    Si se calcula el plan de producción con persecución se debería producir 5964, sin embargo, la capacidad ordinaria es de 3000 u/mes y como máximo se podría producir 50% más en tiempo extra, es decir, 1500 u/mes adicionales, por lo que lo máximo a producir es 4500 u/mes. Esto va a provocar que se queden productos sin servir (1105) y que haya stock out en el periodo.</t>
      </text>
    </comment>
    <comment ref="R23" authorId="1" shapeId="0" xr:uid="{A8444FBB-AE22-7F4A-9671-6C7BA7F4CC2E}">
      <text>
        <t>[Threaded comment]
Your version of Excel allows you to read this threaded comment; however, any edits to it will get removed if the file is opened in a newer version of Excel. Learn more: https://go.microsoft.com/fwlink/?linkid=870924
Comment:
    Se deben contratar 10 personas para mantener una fuerza laboral constante, apenas lo suficientemente grande para producir embarques para el mes promedio en tiempo ordinario. Es decir tener una planilla igual a la de nivelación.</t>
      </text>
    </comment>
    <comment ref="L37" authorId="2" shapeId="0" xr:uid="{05342593-6C79-B645-BDD4-F931EAAB199D}">
      <text>
        <t>[Threaded comment]
Your version of Excel allows you to read this threaded comment; however, any edits to it will get removed if the file is opened in a newer version of Excel. Learn more: https://go.microsoft.com/fwlink/?linkid=870924
Comment:
    Acá no se puede justificar contrarar una persona ya que se restringue a grupos de 5 personas por lo que entonces solo se pueden abrir 2 lineas adicionales es decir, 10 personas más</t>
      </text>
    </comment>
    <comment ref="N37" authorId="3" shapeId="0" xr:uid="{2D32CE86-B5A9-A248-8347-876A03CF56DA}">
      <text>
        <t>[Threaded comment]
Your version of Excel allows you to read this threaded comment; however, any edits to it will get removed if the file is opened in a newer version of Excel. Learn more: https://go.microsoft.com/fwlink/?linkid=870924
Comment:
    esta sería la planilla que se debe tener</t>
      </text>
    </comment>
  </commentList>
</comments>
</file>

<file path=xl/sharedStrings.xml><?xml version="1.0" encoding="utf-8"?>
<sst xmlns="http://schemas.openxmlformats.org/spreadsheetml/2006/main" count="222" uniqueCount="124">
  <si>
    <t>Demanda</t>
  </si>
  <si>
    <t>Orden</t>
  </si>
  <si>
    <t>A1</t>
  </si>
  <si>
    <t>O1</t>
  </si>
  <si>
    <t>A2</t>
  </si>
  <si>
    <t>O2</t>
  </si>
  <si>
    <t>A3</t>
  </si>
  <si>
    <t>O3</t>
  </si>
  <si>
    <t>A4</t>
  </si>
  <si>
    <t>O4</t>
  </si>
  <si>
    <t>Disponible</t>
  </si>
  <si>
    <t>TM</t>
  </si>
  <si>
    <t>Receta</t>
  </si>
  <si>
    <t>Lista de Materiales</t>
  </si>
  <si>
    <t>Unidad</t>
  </si>
  <si>
    <t>AQL</t>
  </si>
  <si>
    <t>Fruta</t>
  </si>
  <si>
    <t>Caja de 125 grs.</t>
  </si>
  <si>
    <t>Caja</t>
  </si>
  <si>
    <t>PNCT-USA</t>
  </si>
  <si>
    <t>Chocolate</t>
  </si>
  <si>
    <t>gramos</t>
  </si>
  <si>
    <t>PNCT-Brasil</t>
  </si>
  <si>
    <t>Jarabe</t>
  </si>
  <si>
    <t>ml</t>
  </si>
  <si>
    <t>Merma</t>
  </si>
  <si>
    <t>Azúcar</t>
  </si>
  <si>
    <t>Inv seg.</t>
  </si>
  <si>
    <t>Vainilla</t>
  </si>
  <si>
    <t>Peso por caja</t>
  </si>
  <si>
    <t>MPS por Nivelación</t>
  </si>
  <si>
    <t>Pasas cubiertas de chocolates</t>
  </si>
  <si>
    <t>Arándanos cubiertos de chocolates</t>
  </si>
  <si>
    <t>Mes</t>
  </si>
  <si>
    <t>AT</t>
  </si>
  <si>
    <t>Inventario Inicial</t>
  </si>
  <si>
    <t>Plan de Producción</t>
  </si>
  <si>
    <t>Aumento transitorio</t>
    <phoneticPr fontId="1" type="noConversion"/>
  </si>
  <si>
    <t>Desperdicio</t>
    <phoneticPr fontId="1" type="noConversion"/>
  </si>
  <si>
    <t>Despacho</t>
  </si>
  <si>
    <t>Inventario Final</t>
  </si>
  <si>
    <t>Fp promedio =</t>
  </si>
  <si>
    <t>MRP por nivelación</t>
  </si>
  <si>
    <t>Periodos</t>
  </si>
  <si>
    <t>Pasas</t>
  </si>
  <si>
    <t>Inventario inicial</t>
    <phoneticPr fontId="2" type="noConversion"/>
  </si>
  <si>
    <t>Plan de compras</t>
  </si>
  <si>
    <t>Aumento transitorio</t>
  </si>
  <si>
    <t>Pedido adicional</t>
  </si>
  <si>
    <t>Disponible</t>
    <phoneticPr fontId="2" type="noConversion"/>
  </si>
  <si>
    <t>PNM</t>
    <phoneticPr fontId="2" type="noConversion"/>
  </si>
  <si>
    <t>Inventario final</t>
    <phoneticPr fontId="2" type="noConversion"/>
  </si>
  <si>
    <t>Formulación del pedido</t>
    <phoneticPr fontId="2" type="noConversion"/>
  </si>
  <si>
    <t>PNM</t>
  </si>
  <si>
    <t>Fp promedio</t>
  </si>
  <si>
    <t>Fp periodo -2</t>
  </si>
  <si>
    <t>Fp periodo -1</t>
  </si>
  <si>
    <t>A transitorio</t>
  </si>
  <si>
    <t>Arándanos</t>
  </si>
  <si>
    <t>Fp periodo -3</t>
  </si>
  <si>
    <t>Lc S=</t>
  </si>
  <si>
    <t>Lc Q=</t>
  </si>
  <si>
    <t>S</t>
  </si>
  <si>
    <t>Q</t>
  </si>
  <si>
    <t>P</t>
  </si>
  <si>
    <t>TB</t>
  </si>
  <si>
    <t>O6</t>
  </si>
  <si>
    <t>Tcol</t>
  </si>
  <si>
    <t>A6</t>
  </si>
  <si>
    <t>O5</t>
  </si>
  <si>
    <t>A5</t>
  </si>
  <si>
    <t>F despacho</t>
  </si>
  <si>
    <t>Kanban/Mintpr</t>
  </si>
  <si>
    <t>hora y media</t>
  </si>
  <si>
    <t>Cuerda</t>
  </si>
  <si>
    <t>min</t>
  </si>
  <si>
    <t>Alisto</t>
  </si>
  <si>
    <t>En min=</t>
  </si>
  <si>
    <t>R =</t>
  </si>
  <si>
    <t>Producto</t>
  </si>
  <si>
    <t>Capacidad</t>
  </si>
  <si>
    <t>Puntos de re orden entre O4 y O3</t>
  </si>
  <si>
    <t>Puntos de re orden entre O3 y O2</t>
  </si>
  <si>
    <t>Puntos de re orden entre O2 y O1</t>
  </si>
  <si>
    <t>Costo pedidos no servidos</t>
    <phoneticPr fontId="3" type="noConversion"/>
  </si>
  <si>
    <t>Costo tiempo extra</t>
    <phoneticPr fontId="3" type="noConversion"/>
  </si>
  <si>
    <t>Costo tiempo normal</t>
    <phoneticPr fontId="3" type="noConversion"/>
  </si>
  <si>
    <t>Costo contratación</t>
  </si>
  <si>
    <t>Costo despido</t>
  </si>
  <si>
    <t>Costo de conservación</t>
    <phoneticPr fontId="3" type="noConversion"/>
  </si>
  <si>
    <t>Líneas</t>
  </si>
  <si>
    <t>Capacidad por empleado</t>
  </si>
  <si>
    <t>Capacidad instalada</t>
  </si>
  <si>
    <t>Empleados por línea</t>
  </si>
  <si>
    <t>Producción por línea</t>
  </si>
  <si>
    <t>Planilla</t>
  </si>
  <si>
    <t>Contratar</t>
  </si>
  <si>
    <t>Necesaria</t>
  </si>
  <si>
    <t>Actual</t>
  </si>
  <si>
    <t>Buenas que faltan</t>
  </si>
  <si>
    <t>Capacidad máxima adicional que se puede hacer con horas extra (50% del tiempo normal)</t>
  </si>
  <si>
    <t>Buenas que se tienen</t>
  </si>
  <si>
    <t>Buenas que se necesitan</t>
  </si>
  <si>
    <t>Plan de producción promedio</t>
    <phoneticPr fontId="3" type="noConversion"/>
  </si>
  <si>
    <t>Costo Total</t>
  </si>
  <si>
    <t>Pedidos no Servidos</t>
  </si>
  <si>
    <t>Presupuesto de Tiempo extra</t>
  </si>
  <si>
    <t>Despido</t>
  </si>
  <si>
    <t>Contratación</t>
  </si>
  <si>
    <t>Mantenimiento del inventario</t>
  </si>
  <si>
    <t>Costos</t>
  </si>
  <si>
    <t>Desperdicio</t>
  </si>
  <si>
    <t>IS (unidades)</t>
  </si>
  <si>
    <t>Desviación estándar</t>
  </si>
  <si>
    <t>Venta diaria</t>
  </si>
  <si>
    <t>Io</t>
  </si>
  <si>
    <t>IS (en días)</t>
  </si>
  <si>
    <t>Noviembre</t>
  </si>
  <si>
    <t>Octubre</t>
  </si>
  <si>
    <t>Setiembre</t>
  </si>
  <si>
    <t xml:space="preserve">Agosto </t>
  </si>
  <si>
    <t>TORTA CHOCOFRESA</t>
  </si>
  <si>
    <t>MPS por Persecución con horas extra</t>
  </si>
  <si>
    <t>MPS por Nivelación con horas extra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</si>
</sst>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₡&quot;* #,##0.00_);_(&quot;₡&quot;* \(#,##0.00\);_(&quot;₡&quot;* &quot;-&quot;??_);_(@_)"/>
    <numFmt numFmtId="43" formatCode="_(* #,##0.00_);_(* \(#,##0.00\);_(* &quot;-&quot;??_);_(@_)"/>
    <numFmt numFmtId="164" formatCode="_-&quot;₡&quot;* #,##0.00_-;\-&quot;₡&quot;* #,##0.00_-;_-&quot;₡&quot;* &quot;-&quot;??_-;_-@_-"/>
    <numFmt numFmtId="165" formatCode="0.000"/>
    <numFmt numFmtId="166" formatCode="_-* #,##0.00\ _€_-;\-* #,##0.00\ _€_-;_-* &quot;-&quot;??\ _€_-;_-@_-"/>
    <numFmt numFmtId="167" formatCode="[$$-409]#,##0.00"/>
    <numFmt numFmtId="168" formatCode="_-[$$-409]* #,##0.00_ ;_-[$$-409]* \-#,##0.00\ ;_-[$$-409]* &quot;-&quot;??_ ;_-@_ "/>
  </numFmts>
  <fonts count="1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134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Verdana"/>
      <family val="2"/>
    </font>
    <font>
      <b/>
      <sz val="10"/>
      <color indexed="10"/>
      <name val="Arial"/>
      <family val="2"/>
    </font>
    <font>
      <b/>
      <sz val="12"/>
      <color rgb="FFFF0000"/>
      <name val="Calibri"/>
      <family val="2"/>
      <scheme val="minor"/>
    </font>
    <font>
      <b/>
      <sz val="10"/>
      <color indexed="10"/>
      <name val="Verdana"/>
      <family val="2"/>
    </font>
    <font>
      <sz val="10"/>
      <color indexed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4" tint="0.79998168889431442"/>
        <bgColor theme="4" tint="0.79998168889431442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247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8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1" xfId="0" applyNumberFormat="1" applyBorder="1"/>
    <xf numFmtId="0" fontId="0" fillId="0" borderId="0" xfId="0" applyAlignment="1">
      <alignment horizontal="center"/>
    </xf>
    <xf numFmtId="0" fontId="0" fillId="0" borderId="13" xfId="0" applyBorder="1" applyAlignment="1">
      <alignment horizontal="center"/>
    </xf>
    <xf numFmtId="9" fontId="0" fillId="0" borderId="0" xfId="244" applyFont="1"/>
    <xf numFmtId="9" fontId="0" fillId="0" borderId="0" xfId="0" applyNumberFormat="1"/>
    <xf numFmtId="0" fontId="0" fillId="0" borderId="9" xfId="0" applyBorder="1"/>
    <xf numFmtId="0" fontId="0" fillId="0" borderId="6" xfId="0" applyBorder="1"/>
    <xf numFmtId="0" fontId="0" fillId="0" borderId="14" xfId="0" applyBorder="1" applyAlignment="1">
      <alignment horizontal="center"/>
    </xf>
    <xf numFmtId="2" fontId="0" fillId="0" borderId="2" xfId="0" applyNumberFormat="1" applyBorder="1"/>
    <xf numFmtId="165" fontId="0" fillId="0" borderId="2" xfId="0" applyNumberFormat="1" applyBorder="1"/>
    <xf numFmtId="0" fontId="0" fillId="0" borderId="8" xfId="0" applyBorder="1"/>
    <xf numFmtId="0" fontId="0" fillId="0" borderId="7" xfId="0" applyBorder="1"/>
    <xf numFmtId="165" fontId="0" fillId="0" borderId="15" xfId="0" applyNumberFormat="1" applyBorder="1"/>
    <xf numFmtId="0" fontId="0" fillId="0" borderId="16" xfId="0" applyBorder="1" applyAlignment="1">
      <alignment horizontal="center"/>
    </xf>
    <xf numFmtId="0" fontId="9" fillId="0" borderId="0" xfId="0" applyFont="1"/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/>
    <xf numFmtId="0" fontId="10" fillId="0" borderId="0" xfId="0" applyFont="1"/>
    <xf numFmtId="0" fontId="11" fillId="0" borderId="1" xfId="0" applyFont="1" applyBorder="1"/>
    <xf numFmtId="2" fontId="0" fillId="0" borderId="1" xfId="0" applyNumberFormat="1" applyBorder="1"/>
    <xf numFmtId="2" fontId="0" fillId="0" borderId="0" xfId="0" applyNumberFormat="1"/>
    <xf numFmtId="0" fontId="0" fillId="0" borderId="1" xfId="0" applyBorder="1" applyAlignment="1">
      <alignment horizontal="right"/>
    </xf>
    <xf numFmtId="0" fontId="10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44" fontId="0" fillId="0" borderId="0" xfId="245" applyFont="1"/>
    <xf numFmtId="167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 wrapText="1"/>
    </xf>
    <xf numFmtId="168" fontId="0" fillId="0" borderId="0" xfId="246" applyNumberFormat="1" applyFont="1"/>
    <xf numFmtId="1" fontId="0" fillId="3" borderId="1" xfId="0" applyNumberFormat="1" applyFill="1" applyBorder="1" applyAlignment="1">
      <alignment horizontal="center"/>
    </xf>
    <xf numFmtId="0" fontId="0" fillId="3" borderId="1" xfId="0" applyFill="1" applyBorder="1"/>
    <xf numFmtId="2" fontId="0" fillId="0" borderId="1" xfId="0" applyNumberFormat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3" fontId="0" fillId="3" borderId="1" xfId="0" applyNumberFormat="1" applyFill="1" applyBorder="1" applyAlignment="1">
      <alignment horizontal="center"/>
    </xf>
    <xf numFmtId="3" fontId="0" fillId="3" borderId="5" xfId="0" applyNumberFormat="1" applyFill="1" applyBorder="1" applyAlignment="1">
      <alignment horizontal="center"/>
    </xf>
    <xf numFmtId="0" fontId="0" fillId="3" borderId="5" xfId="0" applyFill="1" applyBorder="1"/>
    <xf numFmtId="3" fontId="0" fillId="0" borderId="1" xfId="0" applyNumberFormat="1" applyBorder="1" applyAlignment="1">
      <alignment horizontal="center"/>
    </xf>
    <xf numFmtId="0" fontId="0" fillId="0" borderId="5" xfId="0" applyBorder="1"/>
    <xf numFmtId="10" fontId="3" fillId="0" borderId="17" xfId="244" applyNumberFormat="1" applyFont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12" fillId="3" borderId="0" xfId="0" applyFont="1" applyFill="1" applyAlignment="1">
      <alignment horizontal="center"/>
    </xf>
    <xf numFmtId="0" fontId="12" fillId="3" borderId="0" xfId="0" applyFont="1" applyFill="1"/>
    <xf numFmtId="0" fontId="8" fillId="4" borderId="1" xfId="0" applyFont="1" applyFill="1" applyBorder="1"/>
    <xf numFmtId="1" fontId="3" fillId="5" borderId="18" xfId="0" applyNumberFormat="1" applyFont="1" applyFill="1" applyBorder="1" applyAlignment="1">
      <alignment horizontal="center" vertical="center"/>
    </xf>
    <xf numFmtId="1" fontId="3" fillId="5" borderId="18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/>
    <xf numFmtId="0" fontId="7" fillId="3" borderId="0" xfId="0" applyFont="1" applyFill="1" applyAlignment="1">
      <alignment horizontal="center"/>
    </xf>
    <xf numFmtId="0" fontId="3" fillId="5" borderId="17" xfId="0" applyFont="1" applyFill="1" applyBorder="1" applyAlignment="1">
      <alignment horizontal="center"/>
    </xf>
    <xf numFmtId="0" fontId="9" fillId="3" borderId="0" xfId="0" applyFont="1" applyFill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247">
    <cellStyle name="Comma 2" xfId="103" xr:uid="{00000000-0005-0000-0000-000000000000}"/>
    <cellStyle name="Comma 2 2" xfId="242" xr:uid="{46A279B1-3F77-DE45-A9F0-9190FB11A8D4}"/>
    <cellStyle name="Currency 2" xfId="245" xr:uid="{9E476F01-96A2-7B49-8F87-7FE43233652A}"/>
    <cellStyle name="Currency 3" xfId="246" xr:uid="{4633617D-5F73-E344-AA51-C61225AB9536}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Normal" xfId="0" builtinId="0"/>
    <cellStyle name="Normal 2" xfId="241" xr:uid="{403025AA-6D95-E643-9D74-BCC72EA39D8E}"/>
    <cellStyle name="Normal 3" xfId="243" xr:uid="{C2C6BC9B-3BBF-134E-8A46-E0348764566B}"/>
    <cellStyle name="Percent" xfId="244" builtinId="5"/>
    <cellStyle name="Percent 2" xfId="240" xr:uid="{00000000-0005-0000-0000-0000F1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Ronny Chaves" id="{EAFB32B6-8C64-F541-9CA6-82B2E7EEB026}" userId="8e95e54161f31a81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T15" dT="2025-07-03T15:51:02.93" personId="{EAFB32B6-8C64-F541-9CA6-82B2E7EEB026}" id="{C0DB8801-2947-AE4D-8A7C-A9181340F85F}">
    <text>Si se calcula el plan de producción con persecución se debería producir 5964, sin embargo, la capacidad ordinaria es de 3000 u/mes y como máximo se podría producir 50% más en tiempo extra, es decir, 1500 u/mes adicionales, por lo que lo máximo a producir es 4500 u/mes. Esto va a provocar que se queden productos sin servir (1105) y que haya stock out en el periodo.</text>
  </threadedComment>
  <threadedComment ref="R23" dT="2025-07-03T15:45:17.94" personId="{EAFB32B6-8C64-F541-9CA6-82B2E7EEB026}" id="{A8444FBB-AE22-7F4A-9671-6C7BA7F4CC2E}">
    <text>Se deben contratar 10 personas para mantener una fuerza laboral constante, apenas lo suficientemente grande para producir embarques para el mes promedio en tiempo ordinario. Es decir tener una planilla igual a la de nivelación.</text>
  </threadedComment>
  <threadedComment ref="L37" dT="2025-07-03T15:43:36.58" personId="{EAFB32B6-8C64-F541-9CA6-82B2E7EEB026}" id="{05342593-6C79-B645-BDD4-F931EAAB199D}">
    <text>Acá no se puede justificar contrarar una persona ya que se restringue a grupos de 5 personas por lo que entonces solo se pueden abrir 2 lineas adicionales es decir, 10 personas más</text>
  </threadedComment>
  <threadedComment ref="N37" dT="2025-07-03T15:43:59.64" personId="{EAFB32B6-8C64-F541-9CA6-82B2E7EEB026}" id="{2D32CE86-B5A9-A248-8347-876A03CF56DA}">
    <text>esta sería la planilla que se debe tener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D6C24-F74B-4A4A-B491-3E9C0E0A6C17}">
  <dimension ref="E11:V47"/>
  <sheetViews>
    <sheetView tabSelected="1" zoomScale="150" zoomScaleNormal="150" workbookViewId="0">
      <selection activeCell="A2" sqref="A2"/>
    </sheetView>
  </sheetViews>
  <sheetFormatPr baseColWidth="10" defaultRowHeight="16" x14ac:dyDescent="0.2"/>
  <cols>
    <col min="5" max="5" width="17.5" bestFit="1" customWidth="1"/>
    <col min="6" max="6" width="19" bestFit="1" customWidth="1"/>
    <col min="10" max="10" width="30.1640625" bestFit="1" customWidth="1"/>
    <col min="14" max="14" width="18" bestFit="1" customWidth="1"/>
    <col min="15" max="15" width="15.33203125" customWidth="1"/>
    <col min="17" max="17" width="25.1640625" bestFit="1" customWidth="1"/>
    <col min="21" max="21" width="11.6640625" bestFit="1" customWidth="1"/>
    <col min="22" max="22" width="12.6640625" bestFit="1" customWidth="1"/>
  </cols>
  <sheetData>
    <row r="11" spans="5:21" x14ac:dyDescent="0.2">
      <c r="J11" s="59" t="s">
        <v>123</v>
      </c>
      <c r="Q11" s="59" t="s">
        <v>122</v>
      </c>
    </row>
    <row r="12" spans="5:21" x14ac:dyDescent="0.2">
      <c r="E12" s="58" t="s">
        <v>33</v>
      </c>
      <c r="F12" s="58" t="s">
        <v>121</v>
      </c>
      <c r="J12" s="56" t="s">
        <v>33</v>
      </c>
      <c r="K12" s="55">
        <v>1</v>
      </c>
      <c r="L12" s="55">
        <v>2</v>
      </c>
      <c r="M12" s="55">
        <v>3</v>
      </c>
      <c r="N12" s="55">
        <v>4</v>
      </c>
      <c r="O12" s="57"/>
      <c r="Q12" s="56" t="s">
        <v>33</v>
      </c>
      <c r="R12" s="55">
        <v>1</v>
      </c>
      <c r="S12" s="55">
        <v>2</v>
      </c>
      <c r="T12" s="55">
        <v>3</v>
      </c>
      <c r="U12" s="55">
        <v>4</v>
      </c>
    </row>
    <row r="13" spans="5:21" x14ac:dyDescent="0.2">
      <c r="E13" s="5" t="s">
        <v>120</v>
      </c>
      <c r="F13" s="5">
        <v>1435</v>
      </c>
      <c r="J13" s="52" t="s">
        <v>0</v>
      </c>
      <c r="K13" s="2">
        <f>F13</f>
        <v>1435</v>
      </c>
      <c r="L13" s="2">
        <f>F14</f>
        <v>3011</v>
      </c>
      <c r="M13" s="2">
        <f>F15</f>
        <v>5785</v>
      </c>
      <c r="N13" s="2">
        <f>F16</f>
        <v>1567</v>
      </c>
      <c r="Q13" s="38" t="s">
        <v>0</v>
      </c>
      <c r="R13" s="41">
        <f>K13</f>
        <v>1435</v>
      </c>
      <c r="S13" s="41">
        <f>L13</f>
        <v>3011</v>
      </c>
      <c r="T13" s="41">
        <f>M13</f>
        <v>5785</v>
      </c>
      <c r="U13" s="41">
        <f>F16</f>
        <v>1567</v>
      </c>
    </row>
    <row r="14" spans="5:21" x14ac:dyDescent="0.2">
      <c r="E14" s="5" t="s">
        <v>119</v>
      </c>
      <c r="F14" s="5">
        <v>3011</v>
      </c>
      <c r="J14" s="52" t="s">
        <v>35</v>
      </c>
      <c r="K14" s="2">
        <f>F18</f>
        <v>252</v>
      </c>
      <c r="L14" s="3">
        <f>K20</f>
        <v>1782.1631944444443</v>
      </c>
      <c r="M14" s="3">
        <f>L20</f>
        <v>1736.3263888888887</v>
      </c>
      <c r="N14" s="3">
        <f>M20</f>
        <v>314.65277777777737</v>
      </c>
      <c r="Q14" s="38" t="s">
        <v>35</v>
      </c>
      <c r="R14" s="41">
        <f>K14</f>
        <v>252</v>
      </c>
      <c r="S14" s="37">
        <f>R19</f>
        <v>314.65277777777783</v>
      </c>
      <c r="T14" s="37">
        <f>S19</f>
        <v>314.65277777777783</v>
      </c>
      <c r="U14" s="37">
        <f>T19</f>
        <v>0</v>
      </c>
    </row>
    <row r="15" spans="5:21" x14ac:dyDescent="0.2">
      <c r="E15" s="5" t="s">
        <v>118</v>
      </c>
      <c r="F15" s="5">
        <v>5785</v>
      </c>
      <c r="J15" s="52" t="s">
        <v>36</v>
      </c>
      <c r="K15" s="3">
        <f>K31</f>
        <v>3056.8692726231384</v>
      </c>
      <c r="L15" s="3">
        <f>K31</f>
        <v>3056.8692726231384</v>
      </c>
      <c r="M15" s="3">
        <f>K31</f>
        <v>3056.8692726231384</v>
      </c>
      <c r="N15" s="3">
        <f>K31</f>
        <v>3056.8692726231384</v>
      </c>
      <c r="Q15" s="38" t="s">
        <v>36</v>
      </c>
      <c r="R15" s="37">
        <f>(R13-R14+$F$21)/(1-$F$22)</f>
        <v>1543.9719358533791</v>
      </c>
      <c r="S15" s="37">
        <f>(S13-S14+$F$21)/(1-$F$22)</f>
        <v>3104.1237113402062</v>
      </c>
      <c r="T15" s="37">
        <f>N40+T33</f>
        <v>4500</v>
      </c>
      <c r="U15" s="37">
        <f>(U13-U14+$F$21)/(1-$F$22)</f>
        <v>1939.8482245131731</v>
      </c>
    </row>
    <row r="16" spans="5:21" x14ac:dyDescent="0.2">
      <c r="E16" s="5" t="s">
        <v>117</v>
      </c>
      <c r="F16" s="5">
        <v>1567</v>
      </c>
      <c r="J16" s="52" t="s">
        <v>47</v>
      </c>
      <c r="K16" s="2">
        <v>0</v>
      </c>
      <c r="L16" s="3">
        <v>0</v>
      </c>
      <c r="M16" s="3">
        <f>K35</f>
        <v>1441.4053550973654</v>
      </c>
      <c r="N16" s="2">
        <v>0</v>
      </c>
      <c r="Q16" s="38" t="s">
        <v>38</v>
      </c>
      <c r="R16" s="37">
        <f>R15*$F$22</f>
        <v>46.319158075601372</v>
      </c>
      <c r="S16" s="37">
        <f>S15*$F$22</f>
        <v>93.123711340206185</v>
      </c>
      <c r="T16" s="37">
        <f>T15*$F$22</f>
        <v>135</v>
      </c>
      <c r="U16" s="37">
        <f>U15*$F$22</f>
        <v>58.195446735395194</v>
      </c>
    </row>
    <row r="17" spans="5:22" x14ac:dyDescent="0.2">
      <c r="E17" s="5" t="s">
        <v>116</v>
      </c>
      <c r="F17" s="5">
        <v>5</v>
      </c>
      <c r="J17" s="52" t="s">
        <v>111</v>
      </c>
      <c r="K17" s="3">
        <f>(K15+K16)*$F$22</f>
        <v>91.706078178694142</v>
      </c>
      <c r="L17" s="3">
        <f>(L15+L16)*$F$22</f>
        <v>91.706078178694142</v>
      </c>
      <c r="M17" s="3">
        <f>(M15+M16)*$F$22</f>
        <v>134.94823883161513</v>
      </c>
      <c r="N17" s="3">
        <f>(N15+N16)*$F$22</f>
        <v>91.706078178694142</v>
      </c>
      <c r="Q17" s="38" t="s">
        <v>10</v>
      </c>
      <c r="R17" s="37">
        <f>R14+R15-R16</f>
        <v>1749.6527777777778</v>
      </c>
      <c r="S17" s="37">
        <f>S14+S15-S16</f>
        <v>3325.6527777777778</v>
      </c>
      <c r="T17" s="37">
        <f>T14+T15-T16</f>
        <v>4679.6527777777774</v>
      </c>
      <c r="U17" s="37">
        <f>U14+U15-U16</f>
        <v>1881.6527777777778</v>
      </c>
    </row>
    <row r="18" spans="5:22" x14ac:dyDescent="0.2">
      <c r="E18" s="5" t="s">
        <v>115</v>
      </c>
      <c r="F18" s="5">
        <v>252</v>
      </c>
      <c r="J18" s="52" t="s">
        <v>10</v>
      </c>
      <c r="K18" s="3">
        <f>K14+K15+K16-K17</f>
        <v>3217.1631944444443</v>
      </c>
      <c r="L18" s="3">
        <f>L14+L15+L16-L17</f>
        <v>4747.3263888888887</v>
      </c>
      <c r="M18" s="3">
        <f>M14+M15+M16-M17</f>
        <v>6099.6527777777774</v>
      </c>
      <c r="N18" s="3">
        <f>N14+N15+N16-N17</f>
        <v>3279.8159722222217</v>
      </c>
      <c r="Q18" s="38" t="s">
        <v>39</v>
      </c>
      <c r="R18" s="37">
        <f>IF(R17-R13&gt;0,R13,R17)</f>
        <v>1435</v>
      </c>
      <c r="S18" s="37">
        <f>IF(S17-S13&gt;0,S13,S17)</f>
        <v>3011</v>
      </c>
      <c r="T18" s="37">
        <f>IF(T17-T13&gt;0,T13,T17)</f>
        <v>4679.6527777777774</v>
      </c>
      <c r="U18" s="37">
        <f>IF(U17-U13&gt;0,U13,U17)</f>
        <v>1567</v>
      </c>
    </row>
    <row r="19" spans="5:22" x14ac:dyDescent="0.2">
      <c r="E19" s="5" t="s">
        <v>114</v>
      </c>
      <c r="F19" s="54">
        <v>62.930555555555557</v>
      </c>
      <c r="J19" s="52" t="s">
        <v>39</v>
      </c>
      <c r="K19" s="37">
        <f>IF(K18-K13&gt;0,K13,K18)</f>
        <v>1435</v>
      </c>
      <c r="L19" s="37">
        <f>IF(L18-L13&gt;0,L13,L18)</f>
        <v>3011</v>
      </c>
      <c r="M19" s="37">
        <f>IF(M18-M13&gt;0,M13,M18)</f>
        <v>5785</v>
      </c>
      <c r="N19" s="37">
        <f>IF(N18-N13&gt;0,N13,N18)</f>
        <v>1567</v>
      </c>
      <c r="Q19" s="38" t="s">
        <v>40</v>
      </c>
      <c r="R19" s="37">
        <f>R17-R18</f>
        <v>314.65277777777783</v>
      </c>
      <c r="S19" s="37">
        <f>S17-S18</f>
        <v>314.65277777777783</v>
      </c>
      <c r="T19" s="37">
        <f>T17-T18</f>
        <v>0</v>
      </c>
      <c r="U19" s="37">
        <f>U17-U18</f>
        <v>314.65277777777783</v>
      </c>
    </row>
    <row r="20" spans="5:22" x14ac:dyDescent="0.2">
      <c r="E20" s="5" t="s">
        <v>113</v>
      </c>
      <c r="F20" s="53">
        <v>41.005779870471947</v>
      </c>
      <c r="J20" s="52" t="s">
        <v>40</v>
      </c>
      <c r="K20" s="3">
        <f>K18-K19</f>
        <v>1782.1631944444443</v>
      </c>
      <c r="L20" s="3">
        <f>L18-L19</f>
        <v>1736.3263888888887</v>
      </c>
      <c r="M20" s="3">
        <f>M18-M19</f>
        <v>314.65277777777737</v>
      </c>
      <c r="N20" s="3">
        <f>N18-N19</f>
        <v>1712.8159722222217</v>
      </c>
      <c r="Q20" s="51"/>
      <c r="R20" s="50"/>
      <c r="S20" s="50"/>
      <c r="T20" s="50"/>
      <c r="U20" s="50"/>
    </row>
    <row r="21" spans="5:22" x14ac:dyDescent="0.2">
      <c r="E21" s="5" t="s">
        <v>112</v>
      </c>
      <c r="F21" s="22">
        <f>F17*F19</f>
        <v>314.65277777777777</v>
      </c>
      <c r="Q21" s="49"/>
      <c r="R21" s="48"/>
      <c r="S21" s="48"/>
      <c r="T21" s="48"/>
      <c r="U21" s="48"/>
    </row>
    <row r="22" spans="5:22" x14ac:dyDescent="0.2">
      <c r="E22" s="5" t="s">
        <v>111</v>
      </c>
      <c r="F22" s="47">
        <v>0.03</v>
      </c>
      <c r="J22" s="1" t="s">
        <v>110</v>
      </c>
      <c r="Q22" s="38" t="s">
        <v>109</v>
      </c>
      <c r="R22" s="42">
        <f>(R17/2)</f>
        <v>874.82638888888891</v>
      </c>
      <c r="S22" s="42">
        <f>(S17/2)</f>
        <v>1662.8263888888889</v>
      </c>
      <c r="T22" s="42">
        <f>(T17/2)</f>
        <v>2339.8263888888887</v>
      </c>
      <c r="U22" s="42">
        <f>(U17/2)</f>
        <v>940.82638888888891</v>
      </c>
      <c r="V22" s="36">
        <f>SUM(R22:U22)*$K42</f>
        <v>58183.055555555547</v>
      </c>
    </row>
    <row r="23" spans="5:22" x14ac:dyDescent="0.2">
      <c r="J23" s="46" t="s">
        <v>109</v>
      </c>
      <c r="K23" s="45">
        <f>(K18/2)</f>
        <v>1608.5815972222222</v>
      </c>
      <c r="L23" s="45">
        <f>(L18/2)</f>
        <v>2373.6631944444443</v>
      </c>
      <c r="M23" s="45">
        <f>(M18/2)</f>
        <v>3049.8263888888887</v>
      </c>
      <c r="N23" s="45">
        <f>(N18/2)</f>
        <v>1639.9079861111109</v>
      </c>
      <c r="O23" s="36">
        <f>SUM(K23:N23)*$K42</f>
        <v>86719.791666666657</v>
      </c>
      <c r="Q23" s="44" t="s">
        <v>108</v>
      </c>
      <c r="R23" s="43">
        <f>M37</f>
        <v>10</v>
      </c>
      <c r="S23" s="43">
        <v>0</v>
      </c>
      <c r="T23" s="43">
        <v>0</v>
      </c>
      <c r="U23" s="43">
        <v>0</v>
      </c>
      <c r="V23" s="36">
        <f>SUM(R23:U23)*$K44</f>
        <v>2000</v>
      </c>
    </row>
    <row r="24" spans="5:22" x14ac:dyDescent="0.2">
      <c r="J24" s="1" t="s">
        <v>108</v>
      </c>
      <c r="K24" s="3">
        <f>M37</f>
        <v>10</v>
      </c>
      <c r="L24" s="3">
        <v>0</v>
      </c>
      <c r="M24" s="3">
        <v>0</v>
      </c>
      <c r="N24" s="3">
        <v>0</v>
      </c>
      <c r="O24" s="36">
        <f>SUM(K24:N24)*$K44</f>
        <v>2000</v>
      </c>
      <c r="Q24" s="38" t="s">
        <v>107</v>
      </c>
      <c r="R24" s="42">
        <f>K25</f>
        <v>0</v>
      </c>
      <c r="S24" s="41">
        <v>0</v>
      </c>
      <c r="T24" s="41">
        <v>0</v>
      </c>
      <c r="U24" s="41">
        <v>0</v>
      </c>
      <c r="V24" s="36">
        <f>SUM(R24:U24)*$K43</f>
        <v>0</v>
      </c>
    </row>
    <row r="25" spans="5:22" x14ac:dyDescent="0.2">
      <c r="J25" s="1" t="s">
        <v>107</v>
      </c>
      <c r="K25" s="3">
        <v>0</v>
      </c>
      <c r="L25" s="3">
        <v>0</v>
      </c>
      <c r="M25" s="3">
        <v>0</v>
      </c>
      <c r="N25" s="3">
        <v>0</v>
      </c>
      <c r="O25" s="36">
        <f>SUM(K25:N25)*$K43</f>
        <v>0</v>
      </c>
      <c r="Q25" s="38" t="s">
        <v>106</v>
      </c>
      <c r="R25" s="37">
        <f>IF($N$40-R15&gt;0,0,-($N$40-R15)/$K$40)</f>
        <v>0</v>
      </c>
      <c r="S25" s="40">
        <f>IF($N$40-S15&gt;0,0,-($N$40-S15)/$K$40)</f>
        <v>0.69415807560137488</v>
      </c>
      <c r="T25" s="40">
        <f>IF($N$40-T15&gt;0,0,-($N$40-T15)/$K$40)</f>
        <v>10</v>
      </c>
      <c r="U25" s="40">
        <f>IF($N$40-U15&gt;0,0,-($N$40-U15)/$K$40)</f>
        <v>0</v>
      </c>
      <c r="V25" s="36">
        <f>SUM(R25:U25)*$K46</f>
        <v>7485.910652920963</v>
      </c>
    </row>
    <row r="26" spans="5:22" x14ac:dyDescent="0.2">
      <c r="J26" s="1" t="s">
        <v>106</v>
      </c>
      <c r="K26" s="39">
        <f>((K15+K16)-(($N$37)*$K$40))/$K$40</f>
        <v>0.37912848415425593</v>
      </c>
      <c r="L26" s="39">
        <f>((L15+L16)-(($N$37)*$K$40))/$K$40</f>
        <v>0.37912848415425593</v>
      </c>
      <c r="M26" s="39">
        <f>((M15+M16)-(($N$37)*$K$40))/$K$40</f>
        <v>9.9884975181366951</v>
      </c>
      <c r="N26" s="39">
        <f>((N15+N16)-(($N$37)*$K$40))/$K$40</f>
        <v>0.37912848415425593</v>
      </c>
      <c r="O26" s="36">
        <f>SUM(K26:N26)*$K46</f>
        <v>7788.1180794196243</v>
      </c>
      <c r="Q26" s="38" t="s">
        <v>95</v>
      </c>
      <c r="R26" s="37">
        <f>$N$37</f>
        <v>20</v>
      </c>
      <c r="S26" s="37">
        <f>$N$37</f>
        <v>20</v>
      </c>
      <c r="T26" s="37">
        <f>$N$37</f>
        <v>20</v>
      </c>
      <c r="U26" s="37">
        <f>$N$37</f>
        <v>20</v>
      </c>
      <c r="V26" s="36">
        <f>SUM(R26:U26)*$K45</f>
        <v>32000</v>
      </c>
    </row>
    <row r="27" spans="5:22" x14ac:dyDescent="0.2">
      <c r="J27" s="1" t="s">
        <v>95</v>
      </c>
      <c r="K27" s="3">
        <f>$N$37</f>
        <v>20</v>
      </c>
      <c r="L27" s="3">
        <f>$N$37</f>
        <v>20</v>
      </c>
      <c r="M27" s="3">
        <f>$N$37</f>
        <v>20</v>
      </c>
      <c r="N27" s="3">
        <f>$N$37</f>
        <v>20</v>
      </c>
      <c r="O27" s="36">
        <f>SUM(K27:N27)*$K45</f>
        <v>32000</v>
      </c>
      <c r="Q27" s="38" t="s">
        <v>105</v>
      </c>
      <c r="R27" s="37">
        <v>0</v>
      </c>
      <c r="S27" s="37">
        <v>0</v>
      </c>
      <c r="T27" s="37">
        <f>T13-T18</f>
        <v>1105.3472222222226</v>
      </c>
      <c r="U27" s="37">
        <v>0</v>
      </c>
      <c r="V27" s="36">
        <f>SUM(R27:U27)*$K47</f>
        <v>3316.0416666666679</v>
      </c>
    </row>
    <row r="28" spans="5:22" x14ac:dyDescent="0.2">
      <c r="J28" s="1" t="s">
        <v>105</v>
      </c>
      <c r="K28" s="3">
        <v>0</v>
      </c>
      <c r="L28" s="3">
        <v>0</v>
      </c>
      <c r="M28" s="3">
        <v>0</v>
      </c>
      <c r="N28" s="3">
        <v>0</v>
      </c>
      <c r="O28" s="36">
        <f>SUM(K28:N28)*$K47</f>
        <v>0</v>
      </c>
      <c r="Q28" s="38" t="s">
        <v>104</v>
      </c>
      <c r="R28" s="37"/>
      <c r="S28" s="37"/>
      <c r="T28" s="37"/>
      <c r="V28" s="36">
        <f>SUM(V22:V27)</f>
        <v>102985.00787514319</v>
      </c>
    </row>
    <row r="29" spans="5:22" x14ac:dyDescent="0.2">
      <c r="J29" s="1" t="s">
        <v>104</v>
      </c>
      <c r="K29" s="4"/>
      <c r="L29" s="4"/>
      <c r="M29" s="4"/>
      <c r="N29" s="1"/>
      <c r="O29" s="36">
        <f>SUM(O23:O28)</f>
        <v>128507.90974608628</v>
      </c>
    </row>
    <row r="30" spans="5:22" x14ac:dyDescent="0.2">
      <c r="T30" s="22"/>
    </row>
    <row r="31" spans="5:22" x14ac:dyDescent="0.2">
      <c r="J31" s="1" t="s">
        <v>103</v>
      </c>
      <c r="K31" s="3">
        <f>((K13+L13+M13+N13+F21-K14)/4)/(1-F22)</f>
        <v>3056.8692726231384</v>
      </c>
    </row>
    <row r="32" spans="5:22" x14ac:dyDescent="0.2">
      <c r="J32" s="1" t="s">
        <v>102</v>
      </c>
      <c r="K32" s="3">
        <f>M13+F21</f>
        <v>6099.6527777777774</v>
      </c>
    </row>
    <row r="33" spans="10:21" x14ac:dyDescent="0.2">
      <c r="J33" s="1" t="s">
        <v>101</v>
      </c>
      <c r="K33" s="3">
        <f>M14+(L15-L17)</f>
        <v>4701.489583333333</v>
      </c>
      <c r="T33">
        <f>K37*K40</f>
        <v>1500</v>
      </c>
      <c r="U33" t="s">
        <v>100</v>
      </c>
    </row>
    <row r="34" spans="10:21" x14ac:dyDescent="0.2">
      <c r="J34" s="1" t="s">
        <v>99</v>
      </c>
      <c r="K34" s="3">
        <f>K32-K33</f>
        <v>1398.1631944444443</v>
      </c>
    </row>
    <row r="35" spans="10:21" x14ac:dyDescent="0.2">
      <c r="J35" s="1" t="s">
        <v>47</v>
      </c>
      <c r="K35" s="3">
        <f>K34/(1-F22)</f>
        <v>1441.4053550973654</v>
      </c>
    </row>
    <row r="36" spans="10:21" x14ac:dyDescent="0.2">
      <c r="K36" t="s">
        <v>98</v>
      </c>
      <c r="L36" t="s">
        <v>97</v>
      </c>
      <c r="M36" t="s">
        <v>96</v>
      </c>
      <c r="N36" t="s">
        <v>95</v>
      </c>
    </row>
    <row r="37" spans="10:21" x14ac:dyDescent="0.2">
      <c r="J37" s="1" t="s">
        <v>95</v>
      </c>
      <c r="K37" s="2">
        <f>K39*K41</f>
        <v>10</v>
      </c>
      <c r="L37" s="35">
        <f>ROUNDUP((K31/K40),0)</f>
        <v>21</v>
      </c>
      <c r="M37">
        <v>10</v>
      </c>
      <c r="N37" s="5">
        <f>M37+K37</f>
        <v>20</v>
      </c>
      <c r="O37" s="5"/>
    </row>
    <row r="38" spans="10:21" x14ac:dyDescent="0.2">
      <c r="J38" s="2" t="s">
        <v>94</v>
      </c>
      <c r="K38" s="2">
        <v>750</v>
      </c>
      <c r="L38" s="2"/>
    </row>
    <row r="39" spans="10:21" x14ac:dyDescent="0.2">
      <c r="J39" s="2" t="s">
        <v>93</v>
      </c>
      <c r="K39" s="2">
        <v>5</v>
      </c>
      <c r="L39" s="2"/>
      <c r="N39" t="s">
        <v>92</v>
      </c>
    </row>
    <row r="40" spans="10:21" x14ac:dyDescent="0.2">
      <c r="J40" s="2" t="s">
        <v>91</v>
      </c>
      <c r="K40" s="2">
        <f>K38/K39</f>
        <v>150</v>
      </c>
      <c r="L40" s="2"/>
      <c r="N40">
        <f>N37*K40</f>
        <v>3000</v>
      </c>
    </row>
    <row r="41" spans="10:21" x14ac:dyDescent="0.2">
      <c r="J41" s="2" t="s">
        <v>90</v>
      </c>
      <c r="K41" s="2">
        <v>2</v>
      </c>
      <c r="L41" s="2"/>
    </row>
    <row r="42" spans="10:21" x14ac:dyDescent="0.2">
      <c r="J42" s="1" t="s">
        <v>89</v>
      </c>
      <c r="K42" s="34">
        <v>10</v>
      </c>
    </row>
    <row r="43" spans="10:21" x14ac:dyDescent="0.2">
      <c r="J43" s="1" t="s">
        <v>88</v>
      </c>
      <c r="K43" s="34">
        <v>200</v>
      </c>
    </row>
    <row r="44" spans="10:21" x14ac:dyDescent="0.2">
      <c r="J44" s="1" t="s">
        <v>87</v>
      </c>
      <c r="K44" s="34">
        <v>200</v>
      </c>
    </row>
    <row r="45" spans="10:21" x14ac:dyDescent="0.2">
      <c r="J45" s="1" t="s">
        <v>86</v>
      </c>
      <c r="K45" s="34">
        <v>400</v>
      </c>
    </row>
    <row r="46" spans="10:21" x14ac:dyDescent="0.2">
      <c r="J46" s="1" t="s">
        <v>85</v>
      </c>
      <c r="K46" s="34">
        <v>700</v>
      </c>
    </row>
    <row r="47" spans="10:21" x14ac:dyDescent="0.2">
      <c r="J47" s="1" t="s">
        <v>84</v>
      </c>
      <c r="K47" s="34">
        <v>3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F064C-DA93-3F4E-A3CB-CAC97FAEC60D}">
  <dimension ref="B4:AD39"/>
  <sheetViews>
    <sheetView zoomScale="120" zoomScaleNormal="120" workbookViewId="0">
      <selection activeCell="H11" sqref="H11"/>
    </sheetView>
  </sheetViews>
  <sheetFormatPr baseColWidth="10" defaultRowHeight="16" x14ac:dyDescent="0.2"/>
  <cols>
    <col min="1" max="1" width="3.6640625" customWidth="1"/>
    <col min="2" max="2" width="8.33203125" customWidth="1"/>
    <col min="3" max="3" width="7.83203125" customWidth="1"/>
    <col min="4" max="9" width="5.83203125" customWidth="1"/>
    <col min="10" max="11" width="7.83203125" customWidth="1"/>
    <col min="12" max="16" width="5.83203125" customWidth="1"/>
    <col min="17" max="17" width="8" customWidth="1"/>
    <col min="18" max="20" width="5.83203125" customWidth="1"/>
    <col min="21" max="21" width="6.5" customWidth="1"/>
    <col min="22" max="22" width="6.33203125" customWidth="1"/>
    <col min="23" max="23" width="5.83203125" customWidth="1"/>
    <col min="24" max="24" width="8.33203125" customWidth="1"/>
    <col min="25" max="28" width="5.83203125" customWidth="1"/>
    <col min="29" max="29" width="3.83203125" customWidth="1"/>
  </cols>
  <sheetData>
    <row r="4" spans="2:28" x14ac:dyDescent="0.2">
      <c r="K4" s="33" t="s">
        <v>83</v>
      </c>
      <c r="L4" s="33"/>
      <c r="Q4" s="33" t="s">
        <v>82</v>
      </c>
      <c r="R4" s="33"/>
      <c r="X4" s="33" t="s">
        <v>81</v>
      </c>
      <c r="Y4" s="33"/>
      <c r="Z4" s="33"/>
      <c r="AA4" s="33"/>
      <c r="AB4" s="33"/>
    </row>
    <row r="5" spans="2:28" x14ac:dyDescent="0.2">
      <c r="E5" t="s">
        <v>80</v>
      </c>
      <c r="G5">
        <f>60/I16</f>
        <v>30</v>
      </c>
      <c r="K5" t="s">
        <v>80</v>
      </c>
      <c r="M5">
        <f>60/O16</f>
        <v>20</v>
      </c>
      <c r="Q5" t="s">
        <v>80</v>
      </c>
      <c r="S5">
        <f>60/U16</f>
        <v>15</v>
      </c>
      <c r="X5" t="s">
        <v>80</v>
      </c>
      <c r="Z5">
        <f>60/AB21</f>
        <v>6</v>
      </c>
    </row>
    <row r="6" spans="2:28" x14ac:dyDescent="0.2">
      <c r="K6" t="s">
        <v>78</v>
      </c>
      <c r="L6">
        <f>C19*($M$5/$G$5)</f>
        <v>333.33333333333331</v>
      </c>
      <c r="Q6" t="s">
        <v>78</v>
      </c>
      <c r="R6">
        <f>C19*($S$5/$M$5)</f>
        <v>375</v>
      </c>
      <c r="X6" t="s">
        <v>78</v>
      </c>
      <c r="Y6">
        <f>C19*($Z$5/$S$5)</f>
        <v>200</v>
      </c>
    </row>
    <row r="7" spans="2:28" x14ac:dyDescent="0.2">
      <c r="B7" t="s">
        <v>79</v>
      </c>
      <c r="C7" s="5" t="s">
        <v>63</v>
      </c>
      <c r="K7" t="s">
        <v>77</v>
      </c>
      <c r="L7">
        <f>L6*$O$16</f>
        <v>1000</v>
      </c>
      <c r="Q7" t="s">
        <v>77</v>
      </c>
      <c r="R7">
        <f>R6*$U$16</f>
        <v>1500</v>
      </c>
      <c r="X7" t="s">
        <v>77</v>
      </c>
      <c r="Y7">
        <f>Y6*$AB$21</f>
        <v>2000</v>
      </c>
    </row>
    <row r="8" spans="2:28" x14ac:dyDescent="0.2">
      <c r="B8" s="5" t="s">
        <v>64</v>
      </c>
      <c r="C8" s="5">
        <v>750</v>
      </c>
    </row>
    <row r="9" spans="2:28" x14ac:dyDescent="0.2">
      <c r="B9" s="5" t="s">
        <v>63</v>
      </c>
      <c r="C9" s="5">
        <v>500</v>
      </c>
      <c r="K9" t="s">
        <v>78</v>
      </c>
      <c r="L9">
        <f>C20*($M$5/$G$5)</f>
        <v>166.66666666666666</v>
      </c>
      <c r="Q9" t="s">
        <v>78</v>
      </c>
      <c r="R9">
        <f>C20*($S$5/$M$5)</f>
        <v>187.5</v>
      </c>
      <c r="X9" t="s">
        <v>78</v>
      </c>
      <c r="Y9">
        <f>C20*($Z$5/$S$5)</f>
        <v>100</v>
      </c>
    </row>
    <row r="10" spans="2:28" x14ac:dyDescent="0.2">
      <c r="B10" s="5" t="s">
        <v>62</v>
      </c>
      <c r="C10" s="5">
        <v>250</v>
      </c>
      <c r="E10" s="33"/>
      <c r="K10" t="s">
        <v>77</v>
      </c>
      <c r="L10">
        <f>L9*$O$16</f>
        <v>500</v>
      </c>
      <c r="Q10" t="s">
        <v>77</v>
      </c>
      <c r="R10">
        <f>R9*$U$16</f>
        <v>750</v>
      </c>
      <c r="X10" t="s">
        <v>77</v>
      </c>
      <c r="Y10">
        <f>Y9*$AB$21</f>
        <v>1000</v>
      </c>
    </row>
    <row r="11" spans="2:28" x14ac:dyDescent="0.2">
      <c r="B11" s="5" t="s">
        <v>76</v>
      </c>
      <c r="C11" s="5">
        <v>60</v>
      </c>
      <c r="D11" t="s">
        <v>75</v>
      </c>
    </row>
    <row r="12" spans="2:28" x14ac:dyDescent="0.2">
      <c r="B12" s="5" t="s">
        <v>74</v>
      </c>
      <c r="C12" t="s">
        <v>73</v>
      </c>
    </row>
    <row r="15" spans="2:28" x14ac:dyDescent="0.2">
      <c r="B15" t="s">
        <v>72</v>
      </c>
    </row>
    <row r="16" spans="2:28" x14ac:dyDescent="0.2">
      <c r="I16">
        <v>2</v>
      </c>
      <c r="O16">
        <v>3</v>
      </c>
      <c r="U16">
        <v>4</v>
      </c>
    </row>
    <row r="17" spans="2:30" x14ac:dyDescent="0.2">
      <c r="B17" s="30" t="s">
        <v>1</v>
      </c>
      <c r="C17" s="30" t="s">
        <v>63</v>
      </c>
      <c r="D17" s="67" t="s">
        <v>2</v>
      </c>
      <c r="E17" s="67"/>
      <c r="F17" s="30" t="s">
        <v>67</v>
      </c>
      <c r="G17" s="30" t="s">
        <v>11</v>
      </c>
      <c r="H17" s="67" t="s">
        <v>3</v>
      </c>
      <c r="I17" s="67"/>
      <c r="J17" s="67" t="s">
        <v>4</v>
      </c>
      <c r="K17" s="67"/>
      <c r="L17" s="30" t="s">
        <v>67</v>
      </c>
      <c r="M17" s="30" t="s">
        <v>11</v>
      </c>
      <c r="N17" s="67" t="s">
        <v>5</v>
      </c>
      <c r="O17" s="67"/>
      <c r="P17" s="67" t="s">
        <v>6</v>
      </c>
      <c r="Q17" s="67"/>
      <c r="R17" s="30" t="s">
        <v>67</v>
      </c>
      <c r="S17" s="30" t="s">
        <v>11</v>
      </c>
      <c r="T17" s="67" t="s">
        <v>7</v>
      </c>
      <c r="U17" s="67"/>
    </row>
    <row r="18" spans="2:30" x14ac:dyDescent="0.2">
      <c r="B18" s="2" t="s">
        <v>64</v>
      </c>
      <c r="C18" s="2">
        <f>C8</f>
        <v>750</v>
      </c>
      <c r="D18" s="2">
        <v>0</v>
      </c>
      <c r="E18" s="2">
        <v>60</v>
      </c>
      <c r="F18" s="2">
        <v>0</v>
      </c>
      <c r="G18" s="2">
        <v>0</v>
      </c>
      <c r="H18" s="2">
        <f>E18</f>
        <v>60</v>
      </c>
      <c r="I18" s="2">
        <f>H18+(C18*$I$16)</f>
        <v>1560</v>
      </c>
      <c r="J18" s="2">
        <f>K18-60</f>
        <v>1500</v>
      </c>
      <c r="K18" s="2">
        <f>I18</f>
        <v>1560</v>
      </c>
      <c r="L18" s="2">
        <v>0</v>
      </c>
      <c r="M18" s="2">
        <v>0</v>
      </c>
      <c r="N18" s="2">
        <f>MAX(K18,I18)</f>
        <v>1560</v>
      </c>
      <c r="O18" s="2">
        <f>N18+(C18*$O$16)</f>
        <v>3810</v>
      </c>
      <c r="P18" s="2">
        <f>Q18-60</f>
        <v>3750</v>
      </c>
      <c r="Q18" s="2">
        <f>O18</f>
        <v>3810</v>
      </c>
      <c r="R18" s="2">
        <v>0</v>
      </c>
      <c r="S18" s="2">
        <v>0</v>
      </c>
      <c r="T18" s="2">
        <f>MAX(Q18,O18)</f>
        <v>3810</v>
      </c>
      <c r="U18" s="2">
        <f>T18+(C18*$U$16)</f>
        <v>6810</v>
      </c>
    </row>
    <row r="19" spans="2:30" x14ac:dyDescent="0.2">
      <c r="B19" s="2" t="s">
        <v>63</v>
      </c>
      <c r="C19" s="2">
        <f>C9</f>
        <v>500</v>
      </c>
      <c r="D19" s="3">
        <f>E19-60</f>
        <v>9750</v>
      </c>
      <c r="E19" s="3">
        <f>H19</f>
        <v>9810</v>
      </c>
      <c r="F19" s="2"/>
      <c r="G19" s="3"/>
      <c r="H19" s="3">
        <f>N19-L7</f>
        <v>9810</v>
      </c>
      <c r="I19" s="2">
        <f>H19+(C19*$I$16)</f>
        <v>10810</v>
      </c>
      <c r="J19" s="3">
        <f>K19-60</f>
        <v>10750</v>
      </c>
      <c r="K19" s="3">
        <f>N19</f>
        <v>10810</v>
      </c>
      <c r="L19" s="2"/>
      <c r="M19" s="2"/>
      <c r="N19" s="3">
        <f>T19-R7</f>
        <v>10810</v>
      </c>
      <c r="O19" s="2">
        <f>N19+(C19*$O$16)</f>
        <v>12310</v>
      </c>
      <c r="P19" s="2">
        <f>Q19-60</f>
        <v>12250</v>
      </c>
      <c r="Q19" s="2">
        <f>T19</f>
        <v>12310</v>
      </c>
      <c r="R19" s="2"/>
      <c r="S19" s="2"/>
      <c r="T19" s="2">
        <f>AB23-Y7</f>
        <v>12310</v>
      </c>
      <c r="U19" s="2">
        <f>T19+(C19*$U$16)</f>
        <v>14310</v>
      </c>
    </row>
    <row r="20" spans="2:30" x14ac:dyDescent="0.2">
      <c r="B20" s="2" t="s">
        <v>62</v>
      </c>
      <c r="C20" s="2">
        <f>C10</f>
        <v>250</v>
      </c>
      <c r="D20" s="3">
        <f>E20-60</f>
        <v>17060</v>
      </c>
      <c r="E20" s="2">
        <f>H20</f>
        <v>17120</v>
      </c>
      <c r="F20" s="2"/>
      <c r="G20" s="2"/>
      <c r="H20" s="2">
        <f>N20-L10</f>
        <v>17120</v>
      </c>
      <c r="I20" s="2">
        <f>H20+(C20*$I$16)</f>
        <v>17620</v>
      </c>
      <c r="J20" s="3">
        <f>K20-60</f>
        <v>17560</v>
      </c>
      <c r="K20" s="3">
        <f>N20</f>
        <v>17620</v>
      </c>
      <c r="L20" s="2"/>
      <c r="M20" s="2"/>
      <c r="N20" s="2">
        <f>T20-R10</f>
        <v>17620</v>
      </c>
      <c r="O20" s="2">
        <f>N20+(C20*$O$16)</f>
        <v>18370</v>
      </c>
      <c r="P20" s="2">
        <f>Q20-60</f>
        <v>18310</v>
      </c>
      <c r="Q20" s="2">
        <f>T20</f>
        <v>18370</v>
      </c>
      <c r="R20" s="2"/>
      <c r="S20" s="2"/>
      <c r="T20" s="2">
        <f>AB24-Y10</f>
        <v>18370</v>
      </c>
      <c r="U20" s="2">
        <f>T20+(C20*$U$16)</f>
        <v>19370</v>
      </c>
    </row>
    <row r="21" spans="2:30" x14ac:dyDescent="0.2">
      <c r="AB21">
        <v>10</v>
      </c>
    </row>
    <row r="22" spans="2:30" x14ac:dyDescent="0.2">
      <c r="W22" s="67" t="s">
        <v>8</v>
      </c>
      <c r="X22" s="67"/>
      <c r="Y22" s="30" t="s">
        <v>67</v>
      </c>
      <c r="Z22" s="30" t="s">
        <v>11</v>
      </c>
      <c r="AA22" s="67" t="s">
        <v>9</v>
      </c>
      <c r="AB22" s="67"/>
      <c r="AD22" s="32" t="s">
        <v>71</v>
      </c>
    </row>
    <row r="23" spans="2:30" x14ac:dyDescent="0.2">
      <c r="W23" s="2">
        <f>X23-60</f>
        <v>6750</v>
      </c>
      <c r="X23" s="2">
        <f>MAX(U18,U29)</f>
        <v>6810</v>
      </c>
      <c r="Y23" s="2">
        <v>0</v>
      </c>
      <c r="Z23" s="2">
        <v>0</v>
      </c>
      <c r="AA23" s="2">
        <f>MAX(U18,U29,X23)</f>
        <v>6810</v>
      </c>
      <c r="AB23" s="2">
        <f>AA23+(I29*$AB$21)</f>
        <v>14310</v>
      </c>
      <c r="AD23" s="31">
        <f>(AB23/60)/7</f>
        <v>34.071428571428569</v>
      </c>
    </row>
    <row r="24" spans="2:30" x14ac:dyDescent="0.2">
      <c r="W24" s="2">
        <f>AB23</f>
        <v>14310</v>
      </c>
      <c r="X24" s="2">
        <f>W24+60</f>
        <v>14370</v>
      </c>
      <c r="Y24" s="2"/>
      <c r="Z24" s="2"/>
      <c r="AA24" s="2">
        <f>MAX(U19,U30,X24)</f>
        <v>14370</v>
      </c>
      <c r="AB24" s="2">
        <f>AA24+(I30*$AB$21)</f>
        <v>19370</v>
      </c>
      <c r="AD24" s="31">
        <f>(AB24/60)/7</f>
        <v>46.119047619047613</v>
      </c>
    </row>
    <row r="25" spans="2:30" x14ac:dyDescent="0.2">
      <c r="W25" s="2">
        <f>AB24</f>
        <v>19370</v>
      </c>
      <c r="X25" s="2">
        <f>W25+60</f>
        <v>19430</v>
      </c>
      <c r="Y25" s="2"/>
      <c r="Z25" s="2"/>
      <c r="AA25" s="2">
        <f>MAX(U20,U31,X25)</f>
        <v>19430</v>
      </c>
      <c r="AB25" s="2">
        <f>AA25+(I31*$AB$21)</f>
        <v>21930</v>
      </c>
      <c r="AD25" s="31">
        <f>(AB25/60)/7</f>
        <v>52.214285714285715</v>
      </c>
    </row>
    <row r="27" spans="2:30" x14ac:dyDescent="0.2">
      <c r="O27">
        <v>3</v>
      </c>
      <c r="U27">
        <v>6</v>
      </c>
    </row>
    <row r="28" spans="2:30" x14ac:dyDescent="0.2">
      <c r="H28" s="30" t="s">
        <v>1</v>
      </c>
      <c r="I28" s="30" t="s">
        <v>63</v>
      </c>
      <c r="J28" s="67" t="s">
        <v>70</v>
      </c>
      <c r="K28" s="67"/>
      <c r="L28" s="30" t="s">
        <v>67</v>
      </c>
      <c r="M28" s="30" t="s">
        <v>11</v>
      </c>
      <c r="N28" s="67" t="s">
        <v>69</v>
      </c>
      <c r="O28" s="67"/>
      <c r="P28" s="67" t="s">
        <v>68</v>
      </c>
      <c r="Q28" s="67"/>
      <c r="R28" s="30" t="s">
        <v>67</v>
      </c>
      <c r="S28" s="30" t="s">
        <v>11</v>
      </c>
      <c r="T28" s="67" t="s">
        <v>66</v>
      </c>
      <c r="U28" s="67"/>
      <c r="V28" s="29" t="s">
        <v>65</v>
      </c>
    </row>
    <row r="29" spans="2:30" x14ac:dyDescent="0.2">
      <c r="H29" s="2" t="s">
        <v>64</v>
      </c>
      <c r="I29" s="2">
        <f>C8</f>
        <v>750</v>
      </c>
      <c r="J29" s="2">
        <v>0</v>
      </c>
      <c r="K29" s="2">
        <f>J29+60</f>
        <v>60</v>
      </c>
      <c r="L29" s="2">
        <v>0</v>
      </c>
      <c r="M29" s="2">
        <v>0</v>
      </c>
      <c r="N29" s="2">
        <f>K29</f>
        <v>60</v>
      </c>
      <c r="O29" s="2">
        <f>N29+(I29*$O$27)</f>
        <v>2310</v>
      </c>
      <c r="P29" s="2">
        <f>Q29-60</f>
        <v>2250</v>
      </c>
      <c r="Q29" s="2">
        <f>O29</f>
        <v>2310</v>
      </c>
      <c r="R29" s="2">
        <v>0</v>
      </c>
      <c r="S29" s="2">
        <v>0</v>
      </c>
      <c r="T29" s="2">
        <f>MAX(Q29,O29)</f>
        <v>2310</v>
      </c>
      <c r="U29" s="2">
        <f>T29+(I29*$U$27)</f>
        <v>6810</v>
      </c>
      <c r="V29" s="2">
        <f>(I29*AB21)</f>
        <v>7500</v>
      </c>
    </row>
    <row r="30" spans="2:30" x14ac:dyDescent="0.2">
      <c r="H30" s="2" t="s">
        <v>63</v>
      </c>
      <c r="I30" s="2">
        <f>C9</f>
        <v>500</v>
      </c>
      <c r="J30" s="2">
        <f>K34</f>
        <v>9660</v>
      </c>
      <c r="K30" s="2">
        <f>J30+C11</f>
        <v>9720</v>
      </c>
      <c r="L30" s="2"/>
      <c r="M30" s="2"/>
      <c r="N30" s="2">
        <f>K30</f>
        <v>9720</v>
      </c>
      <c r="O30" s="2">
        <f>N30+(I30*O27)</f>
        <v>11220</v>
      </c>
      <c r="P30" s="2">
        <f>Q30-C11</f>
        <v>11160</v>
      </c>
      <c r="Q30" s="2">
        <f>O30</f>
        <v>11220</v>
      </c>
      <c r="R30" s="2"/>
      <c r="S30" s="2"/>
      <c r="T30" s="2">
        <f>MAX(Q30,O30)</f>
        <v>11220</v>
      </c>
      <c r="U30" s="2">
        <f>T30+(I30*U27)</f>
        <v>14220</v>
      </c>
      <c r="V30" s="2">
        <f>(AB23-U30)+(I30*$AB$21)</f>
        <v>5090</v>
      </c>
    </row>
    <row r="31" spans="2:30" x14ac:dyDescent="0.2">
      <c r="H31" s="2" t="s">
        <v>62</v>
      </c>
      <c r="I31" s="2">
        <f>C10</f>
        <v>250</v>
      </c>
      <c r="J31" s="2">
        <f>K39</f>
        <v>16970</v>
      </c>
      <c r="K31" s="2">
        <f>J31+C11</f>
        <v>17030</v>
      </c>
      <c r="L31" s="2"/>
      <c r="M31" s="2"/>
      <c r="N31" s="2">
        <f>K31</f>
        <v>17030</v>
      </c>
      <c r="O31" s="2">
        <f>N31+(I31*O27)</f>
        <v>17780</v>
      </c>
      <c r="P31" s="2">
        <f>Q31-C11</f>
        <v>17720</v>
      </c>
      <c r="Q31" s="2">
        <f>O31</f>
        <v>17780</v>
      </c>
      <c r="R31" s="2"/>
      <c r="S31" s="2"/>
      <c r="T31" s="2">
        <f>Q31</f>
        <v>17780</v>
      </c>
      <c r="U31" s="2">
        <f>T31+(I31*U27)</f>
        <v>19280</v>
      </c>
      <c r="V31" s="2">
        <f>(AB24-U31)+(I31*AB21)</f>
        <v>2590</v>
      </c>
    </row>
    <row r="33" spans="8:12" x14ac:dyDescent="0.2">
      <c r="H33" s="5" t="s">
        <v>61</v>
      </c>
      <c r="I33">
        <f>C11+(I30*O27)+(I30*U27)+90</f>
        <v>4650</v>
      </c>
      <c r="K33">
        <f>U29</f>
        <v>6810</v>
      </c>
      <c r="L33">
        <f>V29</f>
        <v>7500</v>
      </c>
    </row>
    <row r="34" spans="8:12" x14ac:dyDescent="0.2">
      <c r="K34">
        <f>K33+(L33-L34)</f>
        <v>9660</v>
      </c>
      <c r="L34">
        <f>I33</f>
        <v>4650</v>
      </c>
    </row>
    <row r="37" spans="8:12" x14ac:dyDescent="0.2">
      <c r="H37" t="s">
        <v>60</v>
      </c>
      <c r="I37">
        <f>C11+(I31*O27)+(I31*U27)+90</f>
        <v>2400</v>
      </c>
      <c r="K37">
        <f>U30</f>
        <v>14220</v>
      </c>
      <c r="L37">
        <f>V30</f>
        <v>5090</v>
      </c>
    </row>
    <row r="38" spans="8:12" x14ac:dyDescent="0.2">
      <c r="K38">
        <f>K37+(L37-L38)</f>
        <v>16910</v>
      </c>
      <c r="L38">
        <f>I37</f>
        <v>2400</v>
      </c>
    </row>
    <row r="39" spans="8:12" x14ac:dyDescent="0.2">
      <c r="K39">
        <f>K38+60</f>
        <v>16970</v>
      </c>
    </row>
  </sheetData>
  <mergeCells count="12">
    <mergeCell ref="T17:U17"/>
    <mergeCell ref="D17:E17"/>
    <mergeCell ref="H17:I17"/>
    <mergeCell ref="J17:K17"/>
    <mergeCell ref="N17:O17"/>
    <mergeCell ref="P17:Q17"/>
    <mergeCell ref="W22:X22"/>
    <mergeCell ref="AA22:AB22"/>
    <mergeCell ref="J28:K28"/>
    <mergeCell ref="N28:O28"/>
    <mergeCell ref="P28:Q28"/>
    <mergeCell ref="T28:U2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41982-D19F-114A-9B02-6E9BF78E5841}">
  <dimension ref="B1:Q51"/>
  <sheetViews>
    <sheetView topLeftCell="A21" workbookViewId="0">
      <selection activeCell="D26" sqref="D26"/>
    </sheetView>
  </sheetViews>
  <sheetFormatPr baseColWidth="10" defaultRowHeight="16" x14ac:dyDescent="0.2"/>
  <cols>
    <col min="1" max="1" width="4.5" customWidth="1"/>
    <col min="2" max="2" width="20.83203125" customWidth="1"/>
    <col min="4" max="4" width="14.1640625" customWidth="1"/>
    <col min="5" max="5" width="11.1640625" customWidth="1"/>
    <col min="7" max="7" width="18.6640625" customWidth="1"/>
    <col min="8" max="8" width="12.83203125" customWidth="1"/>
    <col min="10" max="11" width="10.83203125" customWidth="1"/>
    <col min="12" max="12" width="21" customWidth="1"/>
  </cols>
  <sheetData>
    <row r="1" spans="2:11" ht="17" thickBot="1" x14ac:dyDescent="0.25"/>
    <row r="2" spans="2:11" x14ac:dyDescent="0.2">
      <c r="B2" s="60" t="s">
        <v>12</v>
      </c>
      <c r="C2" s="61"/>
      <c r="D2" s="60" t="s">
        <v>13</v>
      </c>
      <c r="E2" s="62"/>
      <c r="F2" s="6" t="s">
        <v>14</v>
      </c>
      <c r="H2" t="s">
        <v>15</v>
      </c>
      <c r="I2" s="7">
        <v>0.9</v>
      </c>
      <c r="J2" s="8"/>
    </row>
    <row r="3" spans="2:11" x14ac:dyDescent="0.2">
      <c r="B3" s="9" t="s">
        <v>16</v>
      </c>
      <c r="C3" s="10">
        <v>330</v>
      </c>
      <c r="D3" s="9" t="s">
        <v>17</v>
      </c>
      <c r="E3">
        <v>1</v>
      </c>
      <c r="F3" s="11" t="s">
        <v>18</v>
      </c>
      <c r="H3" t="s">
        <v>19</v>
      </c>
      <c r="I3" s="7">
        <v>0.03</v>
      </c>
      <c r="J3" s="8"/>
    </row>
    <row r="4" spans="2:11" x14ac:dyDescent="0.2">
      <c r="B4" s="9" t="s">
        <v>20</v>
      </c>
      <c r="C4" s="10">
        <v>170</v>
      </c>
      <c r="D4" s="9" t="s">
        <v>20</v>
      </c>
      <c r="E4" s="12">
        <f>(C4/$C$3)*$I$7</f>
        <v>170</v>
      </c>
      <c r="F4" s="11" t="s">
        <v>21</v>
      </c>
      <c r="H4" t="s">
        <v>22</v>
      </c>
      <c r="I4" s="7">
        <v>0.05</v>
      </c>
      <c r="J4" s="8"/>
    </row>
    <row r="5" spans="2:11" x14ac:dyDescent="0.2">
      <c r="B5" s="9" t="s">
        <v>23</v>
      </c>
      <c r="C5" s="10">
        <f>59/1000</f>
        <v>5.8999999999999997E-2</v>
      </c>
      <c r="D5" s="9" t="s">
        <v>23</v>
      </c>
      <c r="E5" s="13">
        <f>(C5/$C$3)*$I$7</f>
        <v>5.8999999999999997E-2</v>
      </c>
      <c r="F5" s="11" t="s">
        <v>24</v>
      </c>
      <c r="H5" t="s">
        <v>25</v>
      </c>
      <c r="I5" s="7">
        <v>0.02</v>
      </c>
      <c r="J5" s="8">
        <f>1-I5</f>
        <v>0.98</v>
      </c>
    </row>
    <row r="6" spans="2:11" x14ac:dyDescent="0.2">
      <c r="B6" s="9" t="s">
        <v>26</v>
      </c>
      <c r="C6" s="10">
        <f>29/1000</f>
        <v>2.9000000000000001E-2</v>
      </c>
      <c r="D6" s="9" t="s">
        <v>26</v>
      </c>
      <c r="E6" s="13">
        <f>(C6/$C$3)*$I$7</f>
        <v>2.9000000000000001E-2</v>
      </c>
      <c r="F6" s="11" t="s">
        <v>24</v>
      </c>
      <c r="H6" t="s">
        <v>27</v>
      </c>
      <c r="I6" s="7">
        <v>0.1</v>
      </c>
    </row>
    <row r="7" spans="2:11" ht="17" thickBot="1" x14ac:dyDescent="0.25">
      <c r="B7" s="14" t="s">
        <v>28</v>
      </c>
      <c r="C7" s="15">
        <f>7/1000</f>
        <v>7.0000000000000001E-3</v>
      </c>
      <c r="D7" s="14" t="s">
        <v>28</v>
      </c>
      <c r="E7" s="16">
        <f>(C7/$C$3)*$I$7</f>
        <v>7.0000000000000001E-3</v>
      </c>
      <c r="F7" s="17" t="s">
        <v>24</v>
      </c>
      <c r="H7" t="s">
        <v>29</v>
      </c>
      <c r="I7">
        <f>C3</f>
        <v>330</v>
      </c>
    </row>
    <row r="9" spans="2:11" x14ac:dyDescent="0.2">
      <c r="B9" s="18" t="s">
        <v>30</v>
      </c>
    </row>
    <row r="10" spans="2:11" x14ac:dyDescent="0.2">
      <c r="B10" s="19" t="s">
        <v>31</v>
      </c>
      <c r="G10" s="19" t="s">
        <v>32</v>
      </c>
    </row>
    <row r="11" spans="2:11" x14ac:dyDescent="0.2">
      <c r="B11" s="20" t="s">
        <v>33</v>
      </c>
      <c r="C11" s="21">
        <v>1</v>
      </c>
      <c r="D11" s="21">
        <v>2</v>
      </c>
      <c r="E11" s="21">
        <v>3</v>
      </c>
      <c r="G11" s="20" t="s">
        <v>33</v>
      </c>
      <c r="H11" s="21">
        <v>1</v>
      </c>
      <c r="I11" s="21">
        <v>2</v>
      </c>
      <c r="J11" s="21">
        <v>3</v>
      </c>
      <c r="K11" s="5" t="s">
        <v>34</v>
      </c>
    </row>
    <row r="12" spans="2:11" x14ac:dyDescent="0.2">
      <c r="B12" s="1" t="s">
        <v>0</v>
      </c>
      <c r="C12" s="2">
        <v>2000</v>
      </c>
      <c r="D12" s="2">
        <v>2400</v>
      </c>
      <c r="E12" s="2">
        <v>3700</v>
      </c>
      <c r="G12" s="1" t="s">
        <v>0</v>
      </c>
      <c r="H12" s="2">
        <v>3000</v>
      </c>
      <c r="I12" s="2">
        <v>5000</v>
      </c>
      <c r="J12" s="2">
        <v>4000</v>
      </c>
      <c r="K12" s="5">
        <v>5500</v>
      </c>
    </row>
    <row r="13" spans="2:11" x14ac:dyDescent="0.2">
      <c r="B13" s="1" t="s">
        <v>35</v>
      </c>
      <c r="C13" s="2">
        <v>0</v>
      </c>
      <c r="D13" s="3">
        <f>C19</f>
        <v>823.33333333333348</v>
      </c>
      <c r="E13" s="3">
        <f>D19</f>
        <v>1246.666666666667</v>
      </c>
      <c r="G13" s="1" t="s">
        <v>35</v>
      </c>
      <c r="H13" s="2">
        <v>0</v>
      </c>
      <c r="I13" s="3">
        <f>H19</f>
        <v>1133.333333333333</v>
      </c>
      <c r="J13" s="3">
        <f>I19</f>
        <v>499.66666666666606</v>
      </c>
      <c r="K13" s="22">
        <v>5267</v>
      </c>
    </row>
    <row r="14" spans="2:11" x14ac:dyDescent="0.2">
      <c r="B14" s="1" t="s">
        <v>36</v>
      </c>
      <c r="C14" s="3">
        <f>D22</f>
        <v>3137.037037037037</v>
      </c>
      <c r="D14" s="3">
        <f>C14</f>
        <v>3137.037037037037</v>
      </c>
      <c r="E14" s="3">
        <f>D14</f>
        <v>3137.037037037037</v>
      </c>
      <c r="G14" s="1" t="s">
        <v>36</v>
      </c>
      <c r="H14" s="3">
        <f>I22</f>
        <v>4592.5925925925922</v>
      </c>
      <c r="I14" s="3">
        <f>H14</f>
        <v>4592.5925925925922</v>
      </c>
      <c r="J14" s="3">
        <f>I14</f>
        <v>4592.5925925925922</v>
      </c>
      <c r="K14" s="22">
        <f>K12-K13</f>
        <v>233</v>
      </c>
    </row>
    <row r="15" spans="2:11" x14ac:dyDescent="0.2">
      <c r="B15" s="1" t="s">
        <v>37</v>
      </c>
      <c r="C15" s="3">
        <v>0</v>
      </c>
      <c r="D15" s="3">
        <f>P23</f>
        <v>0</v>
      </c>
      <c r="E15" s="3">
        <v>0</v>
      </c>
      <c r="G15" s="1" t="s">
        <v>37</v>
      </c>
      <c r="H15" s="3">
        <v>0</v>
      </c>
      <c r="I15" s="3">
        <f>K15</f>
        <v>258.88888888888886</v>
      </c>
      <c r="J15" s="3">
        <v>0</v>
      </c>
      <c r="K15" s="22">
        <f>K14/I2</f>
        <v>258.88888888888886</v>
      </c>
    </row>
    <row r="16" spans="2:11" x14ac:dyDescent="0.2">
      <c r="B16" s="1" t="s">
        <v>38</v>
      </c>
      <c r="C16" s="3">
        <f>(C14+C15)*(1-$I$2)</f>
        <v>313.70370370370364</v>
      </c>
      <c r="D16" s="3">
        <f t="shared" ref="D16:E16" si="0">(D14+D15)*(1-$I$2)</f>
        <v>313.70370370370364</v>
      </c>
      <c r="E16" s="3">
        <f t="shared" si="0"/>
        <v>313.70370370370364</v>
      </c>
      <c r="G16" s="1" t="s">
        <v>38</v>
      </c>
      <c r="H16" s="3">
        <f>(H14+H15)*(1-$I$2)</f>
        <v>459.25925925925912</v>
      </c>
      <c r="I16" s="3">
        <f t="shared" ref="I16:J16" si="1">(I14+I15)*(1-$I$2)</f>
        <v>485.14814814814798</v>
      </c>
      <c r="J16" s="3">
        <f t="shared" si="1"/>
        <v>459.25925925925912</v>
      </c>
    </row>
    <row r="17" spans="2:17" x14ac:dyDescent="0.2">
      <c r="B17" s="1" t="s">
        <v>10</v>
      </c>
      <c r="C17" s="3">
        <f>C13+C14+C15-C16</f>
        <v>2823.3333333333335</v>
      </c>
      <c r="D17" s="3">
        <f>D13+D14+D15-D16</f>
        <v>3646.666666666667</v>
      </c>
      <c r="E17" s="3">
        <f>E13+E14+E15-E16</f>
        <v>4070.0000000000009</v>
      </c>
      <c r="G17" s="1" t="s">
        <v>10</v>
      </c>
      <c r="H17" s="3">
        <f>H13+H14+H15-H16</f>
        <v>4133.333333333333</v>
      </c>
      <c r="I17" s="3">
        <f>I13+I14+I15-I16</f>
        <v>5499.6666666666661</v>
      </c>
      <c r="J17" s="3">
        <f>J13+J14+J15-J16</f>
        <v>4632.9999999999991</v>
      </c>
    </row>
    <row r="18" spans="2:17" x14ac:dyDescent="0.2">
      <c r="B18" s="1" t="s">
        <v>39</v>
      </c>
      <c r="C18" s="3">
        <f>C12</f>
        <v>2000</v>
      </c>
      <c r="D18" s="3">
        <f>D12</f>
        <v>2400</v>
      </c>
      <c r="E18" s="3">
        <f>E12</f>
        <v>3700</v>
      </c>
      <c r="G18" s="1" t="s">
        <v>39</v>
      </c>
      <c r="H18" s="3">
        <f>H12</f>
        <v>3000</v>
      </c>
      <c r="I18" s="3">
        <f>I12</f>
        <v>5000</v>
      </c>
      <c r="J18" s="3">
        <f>J12</f>
        <v>4000</v>
      </c>
    </row>
    <row r="19" spans="2:17" x14ac:dyDescent="0.2">
      <c r="B19" s="1" t="s">
        <v>40</v>
      </c>
      <c r="C19" s="3">
        <f>C17-C18</f>
        <v>823.33333333333348</v>
      </c>
      <c r="D19" s="3">
        <f>D17-D18</f>
        <v>1246.666666666667</v>
      </c>
      <c r="E19" s="3">
        <f>E17-E18</f>
        <v>370.00000000000091</v>
      </c>
      <c r="G19" s="1" t="s">
        <v>40</v>
      </c>
      <c r="H19" s="3">
        <f>H17-H18</f>
        <v>1133.333333333333</v>
      </c>
      <c r="I19" s="3">
        <f>I17-I18</f>
        <v>499.66666666666606</v>
      </c>
      <c r="J19" s="3">
        <f>J17-J18</f>
        <v>632.99999999999909</v>
      </c>
    </row>
    <row r="22" spans="2:17" x14ac:dyDescent="0.2">
      <c r="B22" t="s">
        <v>41</v>
      </c>
      <c r="C22" s="23">
        <f>((C12+D12+E12)+(E12*I6)-C13)/3</f>
        <v>2823.3333333333335</v>
      </c>
      <c r="D22" s="23">
        <f>C22/I2</f>
        <v>3137.037037037037</v>
      </c>
      <c r="G22" t="s">
        <v>41</v>
      </c>
      <c r="H22" s="23">
        <f>((H12+I12+J12)+(J12*I6)-H13)/3</f>
        <v>4133.333333333333</v>
      </c>
      <c r="I22" s="23">
        <f>H22/I2</f>
        <v>4592.5925925925922</v>
      </c>
      <c r="M22" s="23"/>
      <c r="N22" s="23"/>
    </row>
    <row r="24" spans="2:17" x14ac:dyDescent="0.2">
      <c r="B24" s="24" t="s">
        <v>42</v>
      </c>
    </row>
    <row r="25" spans="2:17" x14ac:dyDescent="0.2">
      <c r="B25" s="1"/>
      <c r="C25" s="63" t="s">
        <v>43</v>
      </c>
      <c r="D25" s="63"/>
      <c r="E25" s="63"/>
      <c r="F25" s="63"/>
      <c r="G25" s="63"/>
      <c r="H25" s="63"/>
      <c r="L25" s="1"/>
      <c r="M25" s="64" t="s">
        <v>43</v>
      </c>
      <c r="N25" s="65"/>
      <c r="O25" s="65"/>
      <c r="P25" s="65"/>
      <c r="Q25" s="66"/>
    </row>
    <row r="26" spans="2:17" x14ac:dyDescent="0.2">
      <c r="B26" s="25" t="s">
        <v>44</v>
      </c>
      <c r="C26" s="1">
        <v>-2</v>
      </c>
      <c r="D26" s="1">
        <v>-1</v>
      </c>
      <c r="E26" s="1">
        <v>0</v>
      </c>
      <c r="F26" s="1">
        <v>1</v>
      </c>
      <c r="G26" s="1">
        <v>2</v>
      </c>
      <c r="H26" s="1">
        <v>3</v>
      </c>
      <c r="L26" s="25" t="s">
        <v>20</v>
      </c>
      <c r="M26" s="1">
        <v>-1</v>
      </c>
      <c r="N26" s="1">
        <v>0</v>
      </c>
      <c r="O26" s="1">
        <v>1</v>
      </c>
      <c r="P26" s="1">
        <v>2</v>
      </c>
      <c r="Q26" s="1">
        <v>3</v>
      </c>
    </row>
    <row r="27" spans="2:17" x14ac:dyDescent="0.2">
      <c r="B27" s="1" t="s">
        <v>45</v>
      </c>
      <c r="C27" s="1"/>
      <c r="D27" s="1"/>
      <c r="E27" s="4"/>
      <c r="F27" s="26">
        <v>0</v>
      </c>
      <c r="G27" s="26">
        <f>F32</f>
        <v>103.55777777777803</v>
      </c>
      <c r="H27" s="26">
        <f>G32</f>
        <v>138.24555555555594</v>
      </c>
      <c r="L27" s="1" t="s">
        <v>45</v>
      </c>
      <c r="M27" s="1"/>
      <c r="N27" s="1"/>
      <c r="O27" s="26">
        <v>0</v>
      </c>
      <c r="P27" s="26">
        <f>O33</f>
        <v>131.46296296296282</v>
      </c>
      <c r="Q27" s="26">
        <f>P33</f>
        <v>171.11666666666633</v>
      </c>
    </row>
    <row r="28" spans="2:17" x14ac:dyDescent="0.2">
      <c r="B28" s="1" t="s">
        <v>46</v>
      </c>
      <c r="C28" s="1"/>
      <c r="D28" s="4"/>
      <c r="E28" s="4"/>
      <c r="F28" s="26">
        <f>E36*(1-$I$3)</f>
        <v>1069.9100000000001</v>
      </c>
      <c r="G28" s="26">
        <f>D33*(1-$I$3)</f>
        <v>1069.9100000000001</v>
      </c>
      <c r="H28" s="26">
        <f>G28</f>
        <v>1069.9100000000001</v>
      </c>
      <c r="L28" s="1" t="s">
        <v>46</v>
      </c>
      <c r="M28" s="1"/>
      <c r="N28" s="1"/>
      <c r="O28" s="26">
        <f>O37</f>
        <v>1384</v>
      </c>
      <c r="P28" s="26">
        <f>N34</f>
        <v>1384</v>
      </c>
      <c r="Q28" s="26">
        <f>O34</f>
        <v>1384</v>
      </c>
    </row>
    <row r="29" spans="2:17" x14ac:dyDescent="0.2">
      <c r="B29" s="1" t="s">
        <v>47</v>
      </c>
      <c r="C29" s="1"/>
      <c r="D29" s="4"/>
      <c r="E29" s="4"/>
      <c r="F29" s="26">
        <f>G37*(1-$I$3)</f>
        <v>68.87</v>
      </c>
      <c r="G29" s="26">
        <v>0</v>
      </c>
      <c r="H29" s="26">
        <f>C38</f>
        <v>0</v>
      </c>
      <c r="I29" s="27"/>
      <c r="J29" s="27"/>
      <c r="L29" s="1" t="s">
        <v>48</v>
      </c>
      <c r="M29" s="1"/>
      <c r="N29" s="1"/>
      <c r="O29" s="26">
        <f>M39</f>
        <v>91</v>
      </c>
      <c r="P29" s="26">
        <v>0</v>
      </c>
      <c r="Q29" s="26">
        <f>M39</f>
        <v>91</v>
      </c>
    </row>
    <row r="30" spans="2:17" x14ac:dyDescent="0.2">
      <c r="B30" s="1" t="s">
        <v>49</v>
      </c>
      <c r="C30" s="1"/>
      <c r="D30" s="4"/>
      <c r="E30" s="4"/>
      <c r="F30" s="26">
        <f>F27+F28+F29</f>
        <v>1138.7800000000002</v>
      </c>
      <c r="G30" s="26">
        <f t="shared" ref="G30:H30" si="2">G27+G28+G29</f>
        <v>1173.4677777777781</v>
      </c>
      <c r="H30" s="26">
        <f t="shared" si="2"/>
        <v>1208.155555555556</v>
      </c>
      <c r="L30" s="1" t="s">
        <v>25</v>
      </c>
      <c r="M30" s="1"/>
      <c r="N30" s="1"/>
      <c r="O30" s="26">
        <f>(O27+O28+O29)*$I$5</f>
        <v>29.5</v>
      </c>
      <c r="P30" s="26">
        <f t="shared" ref="P30:Q30" si="3">(P27+P28+P29)*$I$5</f>
        <v>30.309259259259257</v>
      </c>
      <c r="Q30" s="26">
        <f t="shared" si="3"/>
        <v>32.922333333333327</v>
      </c>
    </row>
    <row r="31" spans="2:17" x14ac:dyDescent="0.2">
      <c r="B31" s="1" t="s">
        <v>50</v>
      </c>
      <c r="C31" s="1"/>
      <c r="D31" s="1"/>
      <c r="E31" s="1"/>
      <c r="F31" s="26">
        <f>C35</f>
        <v>1035.2222222222222</v>
      </c>
      <c r="G31" s="26">
        <f t="shared" ref="G31:H31" si="4">D35</f>
        <v>1035.2222222222222</v>
      </c>
      <c r="H31" s="26">
        <f t="shared" si="4"/>
        <v>1035.2222222222222</v>
      </c>
      <c r="L31" s="1" t="s">
        <v>49</v>
      </c>
      <c r="M31" s="1"/>
      <c r="N31" s="1"/>
      <c r="O31" s="26">
        <f>O27+O28+O29-O30</f>
        <v>1445.5</v>
      </c>
      <c r="P31" s="26">
        <f t="shared" ref="P31:Q31" si="5">P27+P28+P29-P30</f>
        <v>1485.1537037037035</v>
      </c>
      <c r="Q31" s="26">
        <f t="shared" si="5"/>
        <v>1613.1943333333329</v>
      </c>
    </row>
    <row r="32" spans="2:17" x14ac:dyDescent="0.2">
      <c r="B32" s="1" t="s">
        <v>51</v>
      </c>
      <c r="C32" s="1"/>
      <c r="D32" s="4"/>
      <c r="E32" s="4"/>
      <c r="F32" s="26">
        <f>F30-F31</f>
        <v>103.55777777777803</v>
      </c>
      <c r="G32" s="26">
        <f t="shared" ref="G32" si="6">G30-G31</f>
        <v>138.24555555555594</v>
      </c>
      <c r="H32" s="26">
        <f>H30-H31</f>
        <v>172.93333333333385</v>
      </c>
      <c r="L32" s="1" t="s">
        <v>50</v>
      </c>
      <c r="M32" s="1"/>
      <c r="N32" s="1"/>
      <c r="O32" s="26">
        <f>M36</f>
        <v>1314.0370370370372</v>
      </c>
      <c r="P32" s="26">
        <f>N36</f>
        <v>1314.0370370370372</v>
      </c>
      <c r="Q32" s="26">
        <f>O36</f>
        <v>1309</v>
      </c>
    </row>
    <row r="33" spans="2:17" x14ac:dyDescent="0.2">
      <c r="B33" s="1" t="s">
        <v>52</v>
      </c>
      <c r="C33" s="26">
        <f>F37</f>
        <v>1174</v>
      </c>
      <c r="D33" s="26">
        <f>E36</f>
        <v>1103</v>
      </c>
      <c r="E33" s="26">
        <f>E36</f>
        <v>1103</v>
      </c>
      <c r="F33" s="28"/>
      <c r="G33" s="1"/>
      <c r="H33" s="1"/>
      <c r="L33" s="1" t="s">
        <v>51</v>
      </c>
      <c r="M33" s="1"/>
      <c r="N33" s="1"/>
      <c r="O33" s="26">
        <f>O31-O32</f>
        <v>131.46296296296282</v>
      </c>
      <c r="P33" s="26">
        <f t="shared" ref="P33:Q33" si="7">P31-P32</f>
        <v>171.11666666666633</v>
      </c>
      <c r="Q33" s="26">
        <f t="shared" si="7"/>
        <v>304.19433333333291</v>
      </c>
    </row>
    <row r="34" spans="2:17" x14ac:dyDescent="0.2">
      <c r="L34" s="1" t="s">
        <v>52</v>
      </c>
      <c r="M34" s="26">
        <f>N38</f>
        <v>1475</v>
      </c>
      <c r="N34" s="26">
        <f>O37</f>
        <v>1384</v>
      </c>
      <c r="O34" s="26">
        <f>O37</f>
        <v>1384</v>
      </c>
      <c r="P34" s="1"/>
      <c r="Q34" s="1"/>
    </row>
    <row r="35" spans="2:17" x14ac:dyDescent="0.2">
      <c r="B35" t="s">
        <v>53</v>
      </c>
      <c r="C35" s="23">
        <f>(C14*$I$7)/1000</f>
        <v>1035.2222222222222</v>
      </c>
      <c r="D35" s="23">
        <f>(D14*$I$7)/1000</f>
        <v>1035.2222222222222</v>
      </c>
      <c r="E35" s="23">
        <f>(E14*$I$7)/1000</f>
        <v>1035.2222222222222</v>
      </c>
    </row>
    <row r="36" spans="2:17" x14ac:dyDescent="0.2">
      <c r="B36" t="s">
        <v>54</v>
      </c>
      <c r="C36" s="27">
        <f>((C35+D35+E35)+(E35*I6)-F27)/3</f>
        <v>1069.7296296296297</v>
      </c>
      <c r="D36" s="27">
        <f>C36/(1-I3)</f>
        <v>1102.8140511645668</v>
      </c>
      <c r="E36" s="27">
        <f>ROUNDUP(D36,0)</f>
        <v>1103</v>
      </c>
      <c r="H36" s="27"/>
      <c r="L36" t="s">
        <v>53</v>
      </c>
      <c r="M36" s="23">
        <f>((C14+H14)*$E$4)/1000</f>
        <v>1314.0370370370372</v>
      </c>
      <c r="N36" s="23">
        <f>((D14+I14)*$E$4)/1000</f>
        <v>1314.0370370370372</v>
      </c>
      <c r="O36">
        <f>((E12+J12)*$E$4)/1000</f>
        <v>1309</v>
      </c>
    </row>
    <row r="37" spans="2:17" x14ac:dyDescent="0.2">
      <c r="B37" t="s">
        <v>55</v>
      </c>
      <c r="C37" s="27">
        <f>C35*1.1</f>
        <v>1138.7444444444445</v>
      </c>
      <c r="D37" s="27">
        <f>C37-F27</f>
        <v>1138.7444444444445</v>
      </c>
      <c r="E37" s="27">
        <f>D37/(1-I3)</f>
        <v>1173.9633447880872</v>
      </c>
      <c r="F37" s="27">
        <f>ROUNDUP(E37,0)</f>
        <v>1174</v>
      </c>
      <c r="G37" s="27">
        <f>F37-E36</f>
        <v>71</v>
      </c>
      <c r="L37" t="s">
        <v>54</v>
      </c>
      <c r="M37" s="27">
        <f>((M36+N36+O36)+(O36*I6)-(O27*J5))/3</f>
        <v>1355.9913580246914</v>
      </c>
      <c r="N37" s="27">
        <f>M37/J5</f>
        <v>1383.6646510456035</v>
      </c>
      <c r="O37" s="27">
        <f>ROUNDUP(N37,0)</f>
        <v>1384</v>
      </c>
    </row>
    <row r="38" spans="2:17" x14ac:dyDescent="0.2">
      <c r="C38" s="23"/>
      <c r="G38" s="23"/>
      <c r="L38" t="s">
        <v>56</v>
      </c>
      <c r="M38" s="27">
        <f>((M36*1.1)-(O27*J5))/J5</f>
        <v>1474.939531368103</v>
      </c>
      <c r="N38" s="27">
        <f>ROUNDUP(M38,0)</f>
        <v>1475</v>
      </c>
    </row>
    <row r="39" spans="2:17" x14ac:dyDescent="0.2">
      <c r="B39" s="1"/>
      <c r="C39" s="64" t="s">
        <v>43</v>
      </c>
      <c r="D39" s="65"/>
      <c r="E39" s="65"/>
      <c r="F39" s="65"/>
      <c r="G39" s="65"/>
      <c r="H39" s="65"/>
      <c r="I39" s="66"/>
      <c r="L39" t="s">
        <v>57</v>
      </c>
      <c r="M39" s="27">
        <f>N38-O37</f>
        <v>91</v>
      </c>
    </row>
    <row r="40" spans="2:17" x14ac:dyDescent="0.2">
      <c r="B40" s="25" t="s">
        <v>58</v>
      </c>
      <c r="C40" s="1">
        <v>-3</v>
      </c>
      <c r="D40" s="1">
        <v>-2</v>
      </c>
      <c r="E40" s="1">
        <v>-1</v>
      </c>
      <c r="F40" s="1">
        <v>0</v>
      </c>
      <c r="G40" s="1">
        <v>1</v>
      </c>
      <c r="H40" s="1">
        <v>2</v>
      </c>
      <c r="I40" s="1">
        <v>3</v>
      </c>
    </row>
    <row r="41" spans="2:17" x14ac:dyDescent="0.2">
      <c r="B41" s="1" t="s">
        <v>45</v>
      </c>
      <c r="C41" s="1"/>
      <c r="D41" s="1"/>
      <c r="E41" s="4"/>
      <c r="F41" s="1"/>
      <c r="G41" s="26">
        <v>0</v>
      </c>
      <c r="H41" s="26">
        <f>G46</f>
        <v>151.69444444444457</v>
      </c>
      <c r="I41" s="26">
        <f>H46</f>
        <v>202.6888888888891</v>
      </c>
    </row>
    <row r="42" spans="2:17" x14ac:dyDescent="0.2">
      <c r="B42" s="1" t="s">
        <v>46</v>
      </c>
      <c r="C42" s="1"/>
      <c r="D42" s="4"/>
      <c r="E42" s="4"/>
      <c r="F42" s="1"/>
      <c r="G42" s="26">
        <f>E50*(1-$I$4)</f>
        <v>1566.55</v>
      </c>
      <c r="H42" s="26">
        <f>G42</f>
        <v>1566.55</v>
      </c>
      <c r="I42" s="26">
        <f>H42</f>
        <v>1566.55</v>
      </c>
    </row>
    <row r="43" spans="2:17" x14ac:dyDescent="0.2">
      <c r="B43" s="1" t="s">
        <v>47</v>
      </c>
      <c r="C43" s="1"/>
      <c r="D43" s="4"/>
      <c r="E43" s="4"/>
      <c r="F43" s="1"/>
      <c r="G43" s="26">
        <f>F51*(1-$I$4)</f>
        <v>100.69999999999999</v>
      </c>
      <c r="H43" s="26">
        <v>0</v>
      </c>
      <c r="I43" s="26">
        <v>0</v>
      </c>
    </row>
    <row r="44" spans="2:17" x14ac:dyDescent="0.2">
      <c r="B44" s="1" t="s">
        <v>49</v>
      </c>
      <c r="C44" s="1"/>
      <c r="D44" s="4"/>
      <c r="E44" s="4"/>
      <c r="F44" s="1"/>
      <c r="G44" s="26">
        <f>G41+G42+G43</f>
        <v>1667.25</v>
      </c>
      <c r="H44" s="26">
        <f t="shared" ref="H44:I44" si="8">H41+H42+H43</f>
        <v>1718.2444444444445</v>
      </c>
      <c r="I44" s="26">
        <f t="shared" si="8"/>
        <v>1769.2388888888891</v>
      </c>
    </row>
    <row r="45" spans="2:17" x14ac:dyDescent="0.2">
      <c r="B45" s="1" t="s">
        <v>50</v>
      </c>
      <c r="C45" s="1"/>
      <c r="D45" s="1"/>
      <c r="E45" s="1"/>
      <c r="F45" s="1"/>
      <c r="G45" s="26">
        <f>C49</f>
        <v>1515.5555555555554</v>
      </c>
      <c r="H45" s="26">
        <f>D49</f>
        <v>1515.5555555555554</v>
      </c>
      <c r="I45" s="26">
        <f>E49</f>
        <v>1515.5555555555554</v>
      </c>
    </row>
    <row r="46" spans="2:17" x14ac:dyDescent="0.2">
      <c r="B46" s="1" t="s">
        <v>51</v>
      </c>
      <c r="C46" s="1"/>
      <c r="D46" s="4"/>
      <c r="E46" s="4"/>
      <c r="F46" s="1"/>
      <c r="G46" s="26">
        <f>G44-G45</f>
        <v>151.69444444444457</v>
      </c>
      <c r="H46" s="26">
        <f t="shared" ref="H46" si="9">H44-H45</f>
        <v>202.6888888888891</v>
      </c>
      <c r="I46" s="26">
        <f>I44-I45</f>
        <v>253.68333333333362</v>
      </c>
    </row>
    <row r="47" spans="2:17" x14ac:dyDescent="0.2">
      <c r="B47" s="1" t="s">
        <v>52</v>
      </c>
      <c r="C47" s="26">
        <f>E51</f>
        <v>1755</v>
      </c>
      <c r="D47" s="26">
        <f>E50</f>
        <v>1649</v>
      </c>
      <c r="E47" s="26">
        <f>E50</f>
        <v>1649</v>
      </c>
      <c r="F47" s="28"/>
      <c r="G47" s="1"/>
      <c r="H47" s="1"/>
      <c r="I47" s="1"/>
    </row>
    <row r="49" spans="2:8" x14ac:dyDescent="0.2">
      <c r="B49" t="s">
        <v>53</v>
      </c>
      <c r="C49" s="23">
        <f>(H14*$I$7)/1000</f>
        <v>1515.5555555555554</v>
      </c>
      <c r="D49" s="23">
        <f>(I14*$I$7)/1000</f>
        <v>1515.5555555555554</v>
      </c>
      <c r="E49" s="23">
        <f>(J14*$I$7)/1000</f>
        <v>1515.5555555555554</v>
      </c>
    </row>
    <row r="50" spans="2:8" x14ac:dyDescent="0.2">
      <c r="B50" t="s">
        <v>54</v>
      </c>
      <c r="C50" s="27">
        <f>((C49+D49+E49)+(E49*I6)-G41)/3</f>
        <v>1566.0740740740739</v>
      </c>
      <c r="D50" s="27">
        <f>C50/(1-I4)</f>
        <v>1648.4990253411304</v>
      </c>
      <c r="E50">
        <f>ROUNDUP(D50,0)</f>
        <v>1649</v>
      </c>
      <c r="H50" s="27"/>
    </row>
    <row r="51" spans="2:8" x14ac:dyDescent="0.2">
      <c r="B51" t="s">
        <v>59</v>
      </c>
      <c r="C51" s="23">
        <f>(C49*1.1)-G41</f>
        <v>1667.1111111111111</v>
      </c>
      <c r="D51" s="27">
        <f>C51/(1-I4)</f>
        <v>1754.8538011695907</v>
      </c>
      <c r="E51" s="27">
        <f>ROUNDUP(D51,0)</f>
        <v>1755</v>
      </c>
      <c r="F51" s="27">
        <f>E51-E50</f>
        <v>106</v>
      </c>
    </row>
  </sheetData>
  <mergeCells count="5">
    <mergeCell ref="B2:C2"/>
    <mergeCell ref="D2:E2"/>
    <mergeCell ref="C25:H25"/>
    <mergeCell ref="M25:Q25"/>
    <mergeCell ref="C39:I39"/>
  </mergeCells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Pregunta 1</vt:lpstr>
      <vt:lpstr>Pregunta 2</vt:lpstr>
      <vt:lpstr>Pregunta 3</vt:lpstr>
    </vt:vector>
  </TitlesOfParts>
  <Company>Leon y Parra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 Leon</dc:creator>
  <cp:lastModifiedBy>Enrique León</cp:lastModifiedBy>
  <dcterms:created xsi:type="dcterms:W3CDTF">2014-09-25T18:45:41Z</dcterms:created>
  <dcterms:modified xsi:type="dcterms:W3CDTF">2026-06-30T02:07:55Z</dcterms:modified>
</cp:coreProperties>
</file>