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Users/enrique/Desktop/"/>
    </mc:Choice>
  </mc:AlternateContent>
  <xr:revisionPtr revIDLastSave="0" documentId="13_ncr:1_{C99A5D1B-9BF4-0647-ADD8-213DEE85163E}" xr6:coauthVersionLast="47" xr6:coauthVersionMax="47" xr10:uidLastSave="{00000000-0000-0000-0000-000000000000}"/>
  <bookViews>
    <workbookView xWindow="1700" yWindow="760" windowWidth="29620" windowHeight="18680" xr2:uid="{49477AC8-139E-5147-ACFA-FA4CD7FB91F3}"/>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5" r:id="rId14"/>
    <sheet name="15" sheetId="17" r:id="rId15"/>
    <sheet name="16" sheetId="18" r:id="rId16"/>
    <sheet name="17" sheetId="19" r:id="rId17"/>
  </sheets>
  <externalReferences>
    <externalReference r:id="rId18"/>
    <externalReference r:id="rId19"/>
    <externalReference r:id="rId20"/>
  </externalReferences>
  <definedNames>
    <definedName name="MinimizeCosts">FALSE</definedName>
    <definedName name="solver_adj" localSheetId="9" hidden="1">'10'!$O$29:$Q$29</definedName>
    <definedName name="solver_adj" localSheetId="11" hidden="1">'12'!$V$51:$W$51</definedName>
    <definedName name="solver_adj" localSheetId="13" hidden="1">'14'!$M$45</definedName>
    <definedName name="solver_cvg" localSheetId="9" hidden="1">0.0001</definedName>
    <definedName name="solver_cvg" localSheetId="11" hidden="1">0.0001</definedName>
    <definedName name="solver_cvg" localSheetId="13" hidden="1">0.0001</definedName>
    <definedName name="solver_drv" localSheetId="9" hidden="1">1</definedName>
    <definedName name="solver_drv" localSheetId="11" hidden="1">1</definedName>
    <definedName name="solver_drv" localSheetId="13" hidden="1">1</definedName>
    <definedName name="solver_eng" localSheetId="9" hidden="1">1</definedName>
    <definedName name="solver_eng" localSheetId="11" hidden="1">1</definedName>
    <definedName name="solver_eng" localSheetId="13" hidden="1">1</definedName>
    <definedName name="solver_eng" localSheetId="15" hidden="1">1</definedName>
    <definedName name="solver_itr" localSheetId="9" hidden="1">2147483647</definedName>
    <definedName name="solver_itr" localSheetId="11" hidden="1">2147483647</definedName>
    <definedName name="solver_itr" localSheetId="13" hidden="1">2147483647</definedName>
    <definedName name="solver_lhs1" localSheetId="9" hidden="1">'10'!$R$33:$R$35</definedName>
    <definedName name="solver_lhs1" localSheetId="11" hidden="1">'12'!$X$55:$X$56</definedName>
    <definedName name="solver_lhs1" localSheetId="13" hidden="1">'14'!$N$49</definedName>
    <definedName name="solver_lhs2" localSheetId="9" hidden="1">'10'!$R$36:$R$38</definedName>
    <definedName name="solver_lin" localSheetId="9" hidden="1">2</definedName>
    <definedName name="solver_lin" localSheetId="11" hidden="1">2</definedName>
    <definedName name="solver_lin" localSheetId="13" hidden="1">2</definedName>
    <definedName name="solver_mip" localSheetId="9" hidden="1">2147483647</definedName>
    <definedName name="solver_mip" localSheetId="11" hidden="1">2147483647</definedName>
    <definedName name="solver_mip" localSheetId="13" hidden="1">2147483647</definedName>
    <definedName name="solver_mni" localSheetId="9" hidden="1">30</definedName>
    <definedName name="solver_mni" localSheetId="11" hidden="1">30</definedName>
    <definedName name="solver_mni" localSheetId="13" hidden="1">30</definedName>
    <definedName name="solver_mrt" localSheetId="9" hidden="1">0.075</definedName>
    <definedName name="solver_mrt" localSheetId="11" hidden="1">0.075</definedName>
    <definedName name="solver_mrt" localSheetId="13" hidden="1">0.075</definedName>
    <definedName name="solver_msl" localSheetId="9" hidden="1">2</definedName>
    <definedName name="solver_msl" localSheetId="11" hidden="1">2</definedName>
    <definedName name="solver_msl" localSheetId="13" hidden="1">2</definedName>
    <definedName name="solver_neg" localSheetId="9" hidden="1">1</definedName>
    <definedName name="solver_neg" localSheetId="11" hidden="1">1</definedName>
    <definedName name="solver_neg" localSheetId="13" hidden="1">1</definedName>
    <definedName name="solver_neg" localSheetId="15" hidden="1">1</definedName>
    <definedName name="solver_nod" localSheetId="9" hidden="1">2147483647</definedName>
    <definedName name="solver_nod" localSheetId="11" hidden="1">2147483647</definedName>
    <definedName name="solver_nod" localSheetId="13" hidden="1">2147483647</definedName>
    <definedName name="solver_num" localSheetId="9" hidden="1">1</definedName>
    <definedName name="solver_num" localSheetId="11" hidden="1">1</definedName>
    <definedName name="solver_num" localSheetId="13" hidden="1">1</definedName>
    <definedName name="solver_num" localSheetId="15" hidden="1">0</definedName>
    <definedName name="solver_opt" localSheetId="9" hidden="1">'10'!$O$30</definedName>
    <definedName name="solver_opt" localSheetId="11" hidden="1">'12'!$V$52</definedName>
    <definedName name="solver_opt" localSheetId="13" hidden="1">'14'!$M$46</definedName>
    <definedName name="solver_opt" localSheetId="15" hidden="1">'16'!$F$28</definedName>
    <definedName name="solver_pre" localSheetId="9" hidden="1">0.000001</definedName>
    <definedName name="solver_pre" localSheetId="11" hidden="1">0.000001</definedName>
    <definedName name="solver_pre" localSheetId="13" hidden="1">0.000001</definedName>
    <definedName name="solver_rbv" localSheetId="9" hidden="1">1</definedName>
    <definedName name="solver_rbv" localSheetId="11" hidden="1">1</definedName>
    <definedName name="solver_rbv" localSheetId="13" hidden="1">1</definedName>
    <definedName name="solver_rel1" localSheetId="9" hidden="1">1</definedName>
    <definedName name="solver_rel1" localSheetId="11" hidden="1">1</definedName>
    <definedName name="solver_rel1" localSheetId="13" hidden="1">1</definedName>
    <definedName name="solver_rel2" localSheetId="9" hidden="1">3</definedName>
    <definedName name="solver_rhs1" localSheetId="9" hidden="1">'10'!$T$33:$T$35</definedName>
    <definedName name="solver_rhs1" localSheetId="11" hidden="1">'12'!#REF!</definedName>
    <definedName name="solver_rhs1" localSheetId="13" hidden="1">'14'!$P$49</definedName>
    <definedName name="solver_rhs2" localSheetId="9" hidden="1">'10'!$T$36:$T$38</definedName>
    <definedName name="solver_rlx" localSheetId="9" hidden="1">2</definedName>
    <definedName name="solver_rlx" localSheetId="11" hidden="1">2</definedName>
    <definedName name="solver_rlx" localSheetId="13" hidden="1">2</definedName>
    <definedName name="solver_rsd" localSheetId="9" hidden="1">0</definedName>
    <definedName name="solver_rsd" localSheetId="11" hidden="1">0</definedName>
    <definedName name="solver_rsd" localSheetId="13" hidden="1">0</definedName>
    <definedName name="solver_scl" localSheetId="9" hidden="1">1</definedName>
    <definedName name="solver_scl" localSheetId="11" hidden="1">1</definedName>
    <definedName name="solver_scl" localSheetId="13" hidden="1">1</definedName>
    <definedName name="solver_sho" localSheetId="9" hidden="1">2</definedName>
    <definedName name="solver_sho" localSheetId="11" hidden="1">2</definedName>
    <definedName name="solver_sho" localSheetId="13" hidden="1">2</definedName>
    <definedName name="solver_ssz" localSheetId="9" hidden="1">100</definedName>
    <definedName name="solver_ssz" localSheetId="11" hidden="1">100</definedName>
    <definedName name="solver_ssz" localSheetId="13" hidden="1">100</definedName>
    <definedName name="solver_tim" localSheetId="9" hidden="1">2147483647</definedName>
    <definedName name="solver_tim" localSheetId="11" hidden="1">2147483647</definedName>
    <definedName name="solver_tim" localSheetId="13" hidden="1">2147483647</definedName>
    <definedName name="solver_tol" localSheetId="9" hidden="1">0.01</definedName>
    <definedName name="solver_tol" localSheetId="11" hidden="1">0.01</definedName>
    <definedName name="solver_tol" localSheetId="13" hidden="1">0.01</definedName>
    <definedName name="solver_typ" localSheetId="9" hidden="1">2</definedName>
    <definedName name="solver_typ" localSheetId="11" hidden="1">2</definedName>
    <definedName name="solver_typ" localSheetId="13" hidden="1">2</definedName>
    <definedName name="solver_typ" localSheetId="15" hidden="1">1</definedName>
    <definedName name="solver_val" localSheetId="9" hidden="1">0</definedName>
    <definedName name="solver_val" localSheetId="11" hidden="1">0</definedName>
    <definedName name="solver_val" localSheetId="13" hidden="1">0</definedName>
    <definedName name="solver_val" localSheetId="15" hidden="1">0</definedName>
    <definedName name="solver_ver" localSheetId="9" hidden="1">2</definedName>
    <definedName name="solver_ver" localSheetId="11" hidden="1">2</definedName>
    <definedName name="solver_ver" localSheetId="13" hidden="1">2</definedName>
    <definedName name="solver_ver" localSheetId="15" hidden="1">3</definedName>
    <definedName name="TreeDiagram" localSheetId="15">[1]Árbol!$F$38:$X$116</definedName>
    <definedName name="TreeDiagram">[2]Árbol!$J$4:$AB$122</definedName>
    <definedName name="UseExpUtility">FALSE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 i="15" l="1"/>
  <c r="T8" i="15"/>
  <c r="T9" i="15"/>
  <c r="T6" i="15"/>
  <c r="R6" i="11"/>
  <c r="R7" i="11"/>
  <c r="R8" i="11"/>
  <c r="R5" i="11"/>
  <c r="W5" i="11"/>
  <c r="W6" i="11"/>
  <c r="W7" i="11"/>
  <c r="W4" i="11"/>
  <c r="E7" i="6"/>
  <c r="E8" i="6"/>
  <c r="E6" i="6"/>
  <c r="I7" i="6"/>
  <c r="I8" i="6"/>
  <c r="I6" i="6"/>
  <c r="P18" i="4"/>
  <c r="P17" i="4"/>
  <c r="N18" i="4"/>
  <c r="N17" i="4"/>
  <c r="U77" i="3"/>
  <c r="U78" i="3"/>
  <c r="U79" i="3"/>
  <c r="U76" i="3"/>
  <c r="O77" i="3"/>
  <c r="O78" i="3"/>
  <c r="O79" i="3"/>
  <c r="O76" i="3"/>
  <c r="U44" i="3"/>
  <c r="U45" i="3"/>
  <c r="U46" i="3"/>
  <c r="U43" i="3"/>
  <c r="O44" i="3"/>
  <c r="O45" i="3"/>
  <c r="O46" i="3"/>
  <c r="O43" i="3"/>
  <c r="U12" i="3"/>
  <c r="U13" i="3"/>
  <c r="U14" i="3"/>
  <c r="U11" i="3"/>
  <c r="O12" i="3"/>
  <c r="O13" i="3"/>
  <c r="O14" i="3"/>
  <c r="O11" i="3"/>
  <c r="L4" i="2"/>
  <c r="L6" i="2"/>
  <c r="L5" i="2"/>
  <c r="I6" i="2"/>
  <c r="I5" i="2"/>
  <c r="P9" i="12"/>
  <c r="Q9" i="12"/>
  <c r="P10" i="12"/>
  <c r="Q10" i="12"/>
  <c r="P11" i="12"/>
  <c r="Q11" i="12"/>
  <c r="P12" i="12"/>
  <c r="Q12" i="12"/>
  <c r="P13" i="12"/>
  <c r="Q13" i="12"/>
  <c r="P14" i="12"/>
  <c r="Q14" i="12"/>
  <c r="P15" i="12"/>
  <c r="Q15" i="12"/>
  <c r="P16" i="12"/>
  <c r="Q16" i="12"/>
  <c r="P17" i="12"/>
  <c r="Q17" i="12"/>
  <c r="P18" i="12"/>
  <c r="Q18" i="12"/>
  <c r="P19" i="12"/>
  <c r="Q19" i="12"/>
  <c r="P20" i="12"/>
  <c r="Q20" i="12"/>
  <c r="P21" i="12"/>
  <c r="Q21" i="12"/>
  <c r="P22" i="12"/>
  <c r="Q22" i="12"/>
  <c r="P23" i="12"/>
  <c r="Q23" i="12"/>
  <c r="P24" i="12"/>
  <c r="Q24" i="12"/>
  <c r="P25" i="12"/>
  <c r="Q25" i="12"/>
  <c r="P26" i="12"/>
  <c r="Q26" i="12"/>
  <c r="P27" i="12"/>
  <c r="Q27" i="12"/>
  <c r="P28" i="12"/>
  <c r="Q28" i="12"/>
  <c r="P29" i="12"/>
  <c r="Q29" i="12"/>
  <c r="P30" i="12"/>
  <c r="Q30" i="12"/>
  <c r="P31" i="12"/>
  <c r="Q31" i="12"/>
  <c r="P32" i="12"/>
  <c r="Q32" i="12"/>
  <c r="P33" i="12"/>
  <c r="Q33" i="12"/>
  <c r="P34" i="12"/>
  <c r="Q34" i="12"/>
  <c r="P35" i="12"/>
  <c r="Q35" i="12"/>
  <c r="P36" i="12"/>
  <c r="Q36" i="12"/>
  <c r="P37" i="12"/>
  <c r="Q37" i="12"/>
  <c r="P38" i="12"/>
  <c r="Q38" i="12"/>
  <c r="P39" i="12"/>
  <c r="Q39" i="12"/>
  <c r="P40" i="12"/>
  <c r="Q40" i="12"/>
  <c r="P41" i="12"/>
  <c r="Q41" i="12"/>
  <c r="P42" i="12"/>
  <c r="P8" i="12"/>
  <c r="U9" i="12"/>
  <c r="V9" i="12"/>
  <c r="U10" i="12"/>
  <c r="V10" i="12"/>
  <c r="U11" i="12"/>
  <c r="V11" i="12"/>
  <c r="U12" i="12"/>
  <c r="V12" i="12"/>
  <c r="U13" i="12"/>
  <c r="V13" i="12"/>
  <c r="U14" i="12"/>
  <c r="V14" i="12"/>
  <c r="U15" i="12"/>
  <c r="V15" i="12"/>
  <c r="U16" i="12"/>
  <c r="V16" i="12"/>
  <c r="U17" i="12"/>
  <c r="V17" i="12"/>
  <c r="U18" i="12"/>
  <c r="V18" i="12"/>
  <c r="U19" i="12"/>
  <c r="V19" i="12"/>
  <c r="U20" i="12"/>
  <c r="V20" i="12"/>
  <c r="U21" i="12"/>
  <c r="V21" i="12"/>
  <c r="U22" i="12"/>
  <c r="V22" i="12"/>
  <c r="U23" i="12"/>
  <c r="V23" i="12"/>
  <c r="U24" i="12"/>
  <c r="V24" i="12"/>
  <c r="U25" i="12"/>
  <c r="V25" i="12"/>
  <c r="U26" i="12"/>
  <c r="V26" i="12"/>
  <c r="U27" i="12"/>
  <c r="V27" i="12"/>
  <c r="U28" i="12"/>
  <c r="V28" i="12"/>
  <c r="U29" i="12"/>
  <c r="V29" i="12"/>
  <c r="U30" i="12"/>
  <c r="V30" i="12"/>
  <c r="U31" i="12"/>
  <c r="V31" i="12"/>
  <c r="U32" i="12"/>
  <c r="V32" i="12"/>
  <c r="U33" i="12"/>
  <c r="V33" i="12"/>
  <c r="U34" i="12"/>
  <c r="V34" i="12"/>
  <c r="U35" i="12"/>
  <c r="V35" i="12"/>
  <c r="U36" i="12"/>
  <c r="V36" i="12"/>
  <c r="U37" i="12"/>
  <c r="V37" i="12"/>
  <c r="U38" i="12"/>
  <c r="V38" i="12"/>
  <c r="U39" i="12"/>
  <c r="V39" i="12"/>
  <c r="U40" i="12"/>
  <c r="V40" i="12"/>
  <c r="U41" i="12"/>
  <c r="V41" i="12"/>
  <c r="U42" i="12"/>
  <c r="U8" i="12"/>
  <c r="E11" i="9"/>
  <c r="F11" i="9"/>
  <c r="E12" i="9"/>
  <c r="F12" i="9"/>
  <c r="E13" i="9"/>
  <c r="F13" i="9"/>
  <c r="E14" i="9"/>
  <c r="F14" i="9"/>
  <c r="E15" i="9"/>
  <c r="F15" i="9"/>
  <c r="E16" i="9"/>
  <c r="F16" i="9"/>
  <c r="E17" i="9"/>
  <c r="F17" i="9"/>
  <c r="E18" i="9"/>
  <c r="F18" i="9"/>
  <c r="E19" i="9"/>
  <c r="F19" i="9"/>
  <c r="E20" i="9"/>
  <c r="F20" i="9"/>
  <c r="E21" i="9"/>
  <c r="F21" i="9"/>
  <c r="E22" i="9"/>
  <c r="F22" i="9"/>
  <c r="E23" i="9"/>
  <c r="F23" i="9"/>
  <c r="E24" i="9"/>
  <c r="F24" i="9"/>
  <c r="E25" i="9"/>
  <c r="F25" i="9"/>
  <c r="E26" i="9"/>
  <c r="F26" i="9"/>
  <c r="E27" i="9"/>
  <c r="F27" i="9"/>
  <c r="E28" i="9"/>
  <c r="F28" i="9"/>
  <c r="E29" i="9"/>
  <c r="F29" i="9"/>
  <c r="E30" i="9"/>
  <c r="F30" i="9"/>
  <c r="E31" i="9"/>
  <c r="F31" i="9"/>
  <c r="E32" i="9"/>
  <c r="F32" i="9"/>
  <c r="E33" i="9"/>
  <c r="F33" i="9"/>
  <c r="E34" i="9"/>
  <c r="F34" i="9"/>
  <c r="E35" i="9"/>
  <c r="F35" i="9"/>
  <c r="E36" i="9"/>
  <c r="E10" i="9"/>
  <c r="F27" i="5"/>
  <c r="G27" i="5"/>
  <c r="F28" i="5"/>
  <c r="G28" i="5"/>
  <c r="F29" i="5"/>
  <c r="G29" i="5"/>
  <c r="F30" i="5"/>
  <c r="G30" i="5"/>
  <c r="F31" i="5"/>
  <c r="G31" i="5"/>
  <c r="F32" i="5"/>
  <c r="G32" i="5"/>
  <c r="F33" i="5"/>
  <c r="G33" i="5"/>
  <c r="F34" i="5"/>
  <c r="G34" i="5"/>
  <c r="F35" i="5"/>
  <c r="G35" i="5"/>
  <c r="F36" i="5"/>
  <c r="G36" i="5"/>
  <c r="F37" i="5"/>
  <c r="G37" i="5"/>
  <c r="F38" i="5"/>
  <c r="G38" i="5"/>
  <c r="F39" i="5"/>
  <c r="G39" i="5"/>
  <c r="F40" i="5"/>
  <c r="G40" i="5"/>
  <c r="F41" i="5"/>
  <c r="G41" i="5"/>
  <c r="F42" i="5"/>
  <c r="G42" i="5"/>
  <c r="F43" i="5"/>
  <c r="G43" i="5"/>
  <c r="F44" i="5"/>
  <c r="F26" i="5"/>
  <c r="D8" i="13"/>
  <c r="E8" i="13"/>
  <c r="D9" i="13"/>
  <c r="E9" i="13"/>
  <c r="D10" i="13"/>
  <c r="E10" i="13"/>
  <c r="D11" i="13"/>
  <c r="E11" i="13"/>
  <c r="D12" i="13"/>
  <c r="E12" i="13"/>
  <c r="D13" i="13"/>
  <c r="E13" i="13"/>
  <c r="D14" i="13"/>
  <c r="E14" i="13"/>
  <c r="D15" i="13"/>
  <c r="E15" i="13"/>
  <c r="D16" i="13"/>
  <c r="E16" i="13"/>
  <c r="D17" i="13"/>
  <c r="D7" i="13"/>
  <c r="P9" i="10"/>
  <c r="Q9" i="10" s="1"/>
  <c r="H19" i="10"/>
  <c r="H10" i="10"/>
  <c r="I10" i="10"/>
  <c r="H11" i="10"/>
  <c r="I11" i="10"/>
  <c r="H12" i="10"/>
  <c r="I12" i="10"/>
  <c r="H13" i="10"/>
  <c r="J10" i="10"/>
  <c r="I13" i="10"/>
  <c r="H14" i="10"/>
  <c r="J11" i="10"/>
  <c r="I14" i="10"/>
  <c r="H15" i="10"/>
  <c r="J12" i="10"/>
  <c r="I15" i="10"/>
  <c r="H16" i="10"/>
  <c r="J13" i="10"/>
  <c r="I16" i="10"/>
  <c r="H17" i="10"/>
  <c r="J14" i="10"/>
  <c r="I17" i="10"/>
  <c r="H18" i="10"/>
  <c r="H9" i="10"/>
  <c r="K11" i="9"/>
  <c r="L11" i="9"/>
  <c r="K12" i="9"/>
  <c r="L12" i="9"/>
  <c r="K13" i="9"/>
  <c r="L13" i="9"/>
  <c r="K14" i="9"/>
  <c r="M11" i="9"/>
  <c r="L14" i="9"/>
  <c r="K15" i="9"/>
  <c r="M12" i="9"/>
  <c r="L15" i="9"/>
  <c r="K16" i="9"/>
  <c r="M13" i="9"/>
  <c r="L16" i="9"/>
  <c r="K17" i="9"/>
  <c r="M14" i="9"/>
  <c r="L17" i="9"/>
  <c r="K18" i="9"/>
  <c r="M15" i="9"/>
  <c r="L18" i="9"/>
  <c r="K19" i="9"/>
  <c r="M16" i="9"/>
  <c r="L19" i="9"/>
  <c r="K20" i="9"/>
  <c r="M17" i="9"/>
  <c r="L20" i="9"/>
  <c r="K21" i="9"/>
  <c r="M18" i="9"/>
  <c r="L21" i="9"/>
  <c r="K22" i="9"/>
  <c r="M19" i="9"/>
  <c r="L22" i="9"/>
  <c r="K23" i="9"/>
  <c r="M20" i="9"/>
  <c r="L23" i="9"/>
  <c r="K24" i="9"/>
  <c r="M21" i="9"/>
  <c r="L24" i="9"/>
  <c r="K25" i="9"/>
  <c r="M22" i="9"/>
  <c r="L25" i="9"/>
  <c r="K26" i="9"/>
  <c r="M23" i="9"/>
  <c r="L26" i="9"/>
  <c r="K27" i="9"/>
  <c r="M24" i="9"/>
  <c r="L27" i="9"/>
  <c r="K28" i="9"/>
  <c r="M25" i="9"/>
  <c r="L28" i="9"/>
  <c r="K29" i="9"/>
  <c r="M26" i="9"/>
  <c r="L29" i="9"/>
  <c r="K30" i="9"/>
  <c r="M27" i="9"/>
  <c r="L30" i="9"/>
  <c r="K31" i="9"/>
  <c r="M28" i="9"/>
  <c r="L31" i="9"/>
  <c r="K32" i="9"/>
  <c r="M29" i="9"/>
  <c r="L32" i="9"/>
  <c r="K33" i="9"/>
  <c r="M30" i="9"/>
  <c r="L33" i="9"/>
  <c r="K34" i="9"/>
  <c r="M31" i="9"/>
  <c r="L34" i="9"/>
  <c r="K35" i="9"/>
  <c r="M32" i="9"/>
  <c r="L35" i="9"/>
  <c r="K36" i="9"/>
  <c r="K10" i="9"/>
  <c r="E14" i="7"/>
  <c r="F14" i="7"/>
  <c r="E15" i="7"/>
  <c r="F15" i="7"/>
  <c r="E16" i="7"/>
  <c r="F16" i="7"/>
  <c r="E17" i="7"/>
  <c r="G14" i="7"/>
  <c r="F17" i="7"/>
  <c r="E18" i="7"/>
  <c r="G15" i="7"/>
  <c r="F18" i="7"/>
  <c r="E19" i="7"/>
  <c r="G16" i="7"/>
  <c r="F19" i="7"/>
  <c r="E20" i="7"/>
  <c r="G17" i="7"/>
  <c r="F20" i="7"/>
  <c r="E21" i="7"/>
  <c r="G18" i="7"/>
  <c r="F21" i="7"/>
  <c r="E22" i="7"/>
  <c r="G19" i="7"/>
  <c r="F22" i="7"/>
  <c r="E23" i="7"/>
  <c r="E13" i="7"/>
  <c r="H6" i="2"/>
  <c r="H7" i="2"/>
  <c r="H5" i="2"/>
  <c r="K27" i="5"/>
  <c r="L27" i="5"/>
  <c r="K28" i="5"/>
  <c r="L28" i="5"/>
  <c r="K29" i="5"/>
  <c r="L29" i="5"/>
  <c r="K30" i="5"/>
  <c r="M27" i="5"/>
  <c r="L30" i="5"/>
  <c r="K31" i="5"/>
  <c r="M28" i="5"/>
  <c r="L31" i="5"/>
  <c r="K32" i="5"/>
  <c r="M29" i="5"/>
  <c r="L32" i="5"/>
  <c r="K33" i="5"/>
  <c r="M30" i="5"/>
  <c r="L33" i="5"/>
  <c r="K34" i="5"/>
  <c r="M31" i="5"/>
  <c r="L34" i="5"/>
  <c r="K35" i="5"/>
  <c r="M32" i="5"/>
  <c r="L35" i="5"/>
  <c r="K36" i="5"/>
  <c r="M33" i="5"/>
  <c r="L36" i="5"/>
  <c r="K37" i="5"/>
  <c r="M34" i="5"/>
  <c r="L37" i="5"/>
  <c r="K38" i="5"/>
  <c r="M35" i="5"/>
  <c r="L38" i="5"/>
  <c r="K39" i="5"/>
  <c r="M36" i="5"/>
  <c r="L39" i="5"/>
  <c r="K40" i="5"/>
  <c r="M37" i="5"/>
  <c r="L40" i="5"/>
  <c r="K41" i="5"/>
  <c r="M38" i="5"/>
  <c r="L41" i="5"/>
  <c r="K42" i="5"/>
  <c r="M39" i="5"/>
  <c r="L42" i="5"/>
  <c r="K43" i="5"/>
  <c r="M40" i="5"/>
  <c r="L43" i="5"/>
  <c r="K44" i="5"/>
  <c r="K26" i="5"/>
  <c r="D10" i="19"/>
  <c r="D11" i="19"/>
  <c r="D12" i="19"/>
  <c r="D13" i="19"/>
  <c r="D14" i="19"/>
  <c r="D15" i="19"/>
  <c r="D16" i="19"/>
  <c r="D17" i="19"/>
  <c r="D18" i="19"/>
  <c r="D19" i="19"/>
  <c r="D20" i="19"/>
  <c r="D21" i="19"/>
  <c r="D22" i="19"/>
  <c r="D23" i="19"/>
  <c r="D24" i="19"/>
  <c r="D25" i="19"/>
  <c r="D26" i="19"/>
  <c r="D27" i="19"/>
  <c r="D28" i="19"/>
  <c r="I63" i="19"/>
  <c r="H63" i="19"/>
  <c r="G63" i="19"/>
  <c r="G55" i="19"/>
  <c r="K47" i="19"/>
  <c r="O33" i="19"/>
  <c r="N33" i="19"/>
  <c r="O32" i="19"/>
  <c r="N32" i="19"/>
  <c r="P14" i="19"/>
  <c r="P18" i="19"/>
  <c r="P13" i="19"/>
  <c r="P17" i="19"/>
  <c r="P12" i="19"/>
  <c r="Q12" i="19"/>
  <c r="P11" i="19"/>
  <c r="P15" i="19"/>
  <c r="Q15" i="19"/>
  <c r="P21" i="19"/>
  <c r="Q17" i="19"/>
  <c r="T17" i="19"/>
  <c r="P22" i="19"/>
  <c r="Q22" i="19"/>
  <c r="Q18" i="19"/>
  <c r="Q14" i="19"/>
  <c r="R14" i="19"/>
  <c r="P16" i="19"/>
  <c r="Q11" i="19"/>
  <c r="Q13" i="19"/>
  <c r="T25" i="19"/>
  <c r="T29" i="19"/>
  <c r="R17" i="19"/>
  <c r="P19" i="19"/>
  <c r="Q19" i="19"/>
  <c r="P26" i="19"/>
  <c r="R12" i="19"/>
  <c r="T24" i="19"/>
  <c r="T28" i="19"/>
  <c r="T12" i="19"/>
  <c r="D26" i="18"/>
  <c r="F21" i="18"/>
  <c r="H21" i="18"/>
  <c r="F20" i="18"/>
  <c r="H20" i="18"/>
  <c r="H19" i="18"/>
  <c r="G19" i="18"/>
  <c r="F19" i="18"/>
  <c r="F18" i="18"/>
  <c r="H18" i="18"/>
  <c r="F17" i="18"/>
  <c r="H17" i="18"/>
  <c r="F16" i="18"/>
  <c r="H16" i="18"/>
  <c r="H15" i="18"/>
  <c r="G15" i="18"/>
  <c r="F15" i="18"/>
  <c r="C73" i="17"/>
  <c r="C75" i="17"/>
  <c r="B73" i="17"/>
  <c r="B75" i="17"/>
  <c r="C63" i="17"/>
  <c r="C65" i="17"/>
  <c r="B63" i="17"/>
  <c r="B65" i="17"/>
  <c r="L53" i="17"/>
  <c r="C53" i="17"/>
  <c r="L52" i="17"/>
  <c r="M52" i="17"/>
  <c r="D52" i="17"/>
  <c r="C52" i="17"/>
  <c r="L51" i="17"/>
  <c r="M51" i="17"/>
  <c r="C51" i="17"/>
  <c r="D51" i="17"/>
  <c r="L50" i="17"/>
  <c r="M50" i="17"/>
  <c r="C50" i="17"/>
  <c r="D50" i="17"/>
  <c r="L49" i="17"/>
  <c r="M49" i="17"/>
  <c r="D49" i="17"/>
  <c r="C49" i="17"/>
  <c r="L48" i="17"/>
  <c r="M48" i="17"/>
  <c r="C48" i="17"/>
  <c r="D48" i="17"/>
  <c r="L47" i="17"/>
  <c r="M47" i="17"/>
  <c r="C47" i="17"/>
  <c r="D47" i="17"/>
  <c r="L46" i="17"/>
  <c r="M46" i="17"/>
  <c r="D46" i="17"/>
  <c r="C46" i="17"/>
  <c r="L45" i="17"/>
  <c r="M45" i="17"/>
  <c r="C45" i="17"/>
  <c r="D45" i="17"/>
  <c r="L44" i="17"/>
  <c r="M44" i="17"/>
  <c r="C44" i="17"/>
  <c r="D44" i="17"/>
  <c r="L43" i="17"/>
  <c r="L42" i="17"/>
  <c r="C34" i="17"/>
  <c r="D33" i="17"/>
  <c r="C33" i="17"/>
  <c r="D32" i="17"/>
  <c r="C32" i="17"/>
  <c r="D31" i="17"/>
  <c r="C31" i="17"/>
  <c r="C30" i="17"/>
  <c r="D30" i="17"/>
  <c r="C29" i="17"/>
  <c r="D29" i="17"/>
  <c r="C28" i="17"/>
  <c r="D28" i="17"/>
  <c r="D27" i="17"/>
  <c r="D36" i="17"/>
  <c r="C27" i="17"/>
  <c r="D26" i="17"/>
  <c r="C26" i="17"/>
  <c r="D25" i="17"/>
  <c r="C25" i="17"/>
  <c r="D15" i="17"/>
  <c r="E15" i="17"/>
  <c r="C15" i="17"/>
  <c r="F15" i="17"/>
  <c r="C14" i="17"/>
  <c r="D13" i="17"/>
  <c r="E13" i="17"/>
  <c r="C13" i="17"/>
  <c r="F13" i="17"/>
  <c r="C12" i="17"/>
  <c r="D11" i="17"/>
  <c r="E11" i="17"/>
  <c r="G12" i="17"/>
  <c r="H12" i="17"/>
  <c r="C11" i="17"/>
  <c r="F11" i="17"/>
  <c r="C10" i="17"/>
  <c r="D9" i="17"/>
  <c r="E9" i="17"/>
  <c r="C9" i="17"/>
  <c r="D10" i="17"/>
  <c r="F10" i="17"/>
  <c r="D8" i="17"/>
  <c r="F8" i="17"/>
  <c r="C8" i="17"/>
  <c r="C7" i="17"/>
  <c r="C6" i="17"/>
  <c r="T41" i="15"/>
  <c r="T11" i="15"/>
  <c r="T12" i="15"/>
  <c r="T13" i="15"/>
  <c r="T14" i="15"/>
  <c r="T15" i="15"/>
  <c r="T16" i="15"/>
  <c r="T17" i="15"/>
  <c r="T18" i="15"/>
  <c r="T19" i="15"/>
  <c r="T20" i="15"/>
  <c r="T21" i="15"/>
  <c r="T22" i="15"/>
  <c r="T23" i="15"/>
  <c r="T24" i="15"/>
  <c r="T25" i="15"/>
  <c r="T26" i="15"/>
  <c r="T27" i="15"/>
  <c r="T28" i="15"/>
  <c r="T29" i="15"/>
  <c r="T30" i="15"/>
  <c r="T31" i="15"/>
  <c r="T32" i="15"/>
  <c r="T33" i="15"/>
  <c r="T34" i="15"/>
  <c r="T10" i="15"/>
  <c r="S6" i="15"/>
  <c r="S7" i="15"/>
  <c r="S8" i="15"/>
  <c r="S9" i="15"/>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5" i="15"/>
  <c r="R6"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5"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6" i="15"/>
  <c r="Q6" i="15"/>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5" i="15"/>
  <c r="P6" i="15"/>
  <c r="P7" i="15"/>
  <c r="P8" i="15"/>
  <c r="P9" i="15"/>
  <c r="P10" i="15"/>
  <c r="P5" i="15"/>
  <c r="D41" i="15"/>
  <c r="O6" i="15"/>
  <c r="O7" i="15"/>
  <c r="O8" i="15"/>
  <c r="O9" i="15"/>
  <c r="O10" i="15"/>
  <c r="O5" i="15"/>
  <c r="L6" i="15"/>
  <c r="L7" i="15"/>
  <c r="L8" i="15"/>
  <c r="L9" i="15"/>
  <c r="L10" i="15"/>
  <c r="L5" i="15"/>
  <c r="N49" i="15"/>
  <c r="J41" i="15"/>
  <c r="J11" i="15"/>
  <c r="J12" i="15"/>
  <c r="J13" i="15"/>
  <c r="J14" i="15"/>
  <c r="J15" i="15"/>
  <c r="J16" i="15"/>
  <c r="J17" i="15"/>
  <c r="J18" i="15"/>
  <c r="J19" i="15"/>
  <c r="J20" i="15"/>
  <c r="J21" i="15"/>
  <c r="J22" i="15"/>
  <c r="J23" i="15"/>
  <c r="J24" i="15"/>
  <c r="J25" i="15"/>
  <c r="J26" i="15"/>
  <c r="J27" i="15"/>
  <c r="J28" i="15"/>
  <c r="J29" i="15"/>
  <c r="J30" i="15"/>
  <c r="J31" i="15"/>
  <c r="J32" i="15"/>
  <c r="J33" i="15"/>
  <c r="J34" i="15"/>
  <c r="J10" i="15"/>
  <c r="I40" i="15"/>
  <c r="I39" i="15"/>
  <c r="I38" i="15"/>
  <c r="I37" i="15"/>
  <c r="I36" i="15"/>
  <c r="I35" i="15"/>
  <c r="I11" i="15"/>
  <c r="I12" i="15"/>
  <c r="I13" i="15"/>
  <c r="I14" i="15"/>
  <c r="I15" i="15"/>
  <c r="I16" i="15"/>
  <c r="I17" i="15"/>
  <c r="I18" i="15"/>
  <c r="I19" i="15"/>
  <c r="I20" i="15"/>
  <c r="I21" i="15"/>
  <c r="I22" i="15"/>
  <c r="I23" i="15"/>
  <c r="I24" i="15"/>
  <c r="I25" i="15"/>
  <c r="I26" i="15"/>
  <c r="I27" i="15"/>
  <c r="I28" i="15"/>
  <c r="I29" i="15"/>
  <c r="I30" i="15"/>
  <c r="I31" i="15"/>
  <c r="I32" i="15"/>
  <c r="I33" i="15"/>
  <c r="I34" i="15"/>
  <c r="I10"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9"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7" i="15"/>
  <c r="N23" i="13"/>
  <c r="N8" i="13"/>
  <c r="N9" i="13"/>
  <c r="N10" i="13"/>
  <c r="N11" i="13"/>
  <c r="N12" i="13"/>
  <c r="N13" i="13"/>
  <c r="N14" i="13"/>
  <c r="N15" i="13"/>
  <c r="N16" i="13"/>
  <c r="N17" i="13"/>
  <c r="N7" i="13"/>
  <c r="M7" i="13"/>
  <c r="M8" i="13"/>
  <c r="M9" i="13"/>
  <c r="M10" i="13"/>
  <c r="M11" i="13"/>
  <c r="M12" i="13"/>
  <c r="M13" i="13"/>
  <c r="M14" i="13"/>
  <c r="M15" i="13"/>
  <c r="M16" i="13"/>
  <c r="M17" i="13"/>
  <c r="M18" i="13"/>
  <c r="M19" i="13"/>
  <c r="M20" i="13"/>
  <c r="M21" i="13"/>
  <c r="M6" i="13"/>
  <c r="L7" i="13"/>
  <c r="L8" i="13"/>
  <c r="L9" i="13"/>
  <c r="L10" i="13"/>
  <c r="L11" i="13"/>
  <c r="L12" i="13"/>
  <c r="L13" i="13"/>
  <c r="L14" i="13"/>
  <c r="L15" i="13"/>
  <c r="L16" i="13"/>
  <c r="L17" i="13"/>
  <c r="L18" i="13"/>
  <c r="L19" i="13"/>
  <c r="L20" i="13"/>
  <c r="L21" i="13"/>
  <c r="L6" i="13"/>
  <c r="H8" i="13"/>
  <c r="H9" i="13"/>
  <c r="H10" i="13"/>
  <c r="H11" i="13"/>
  <c r="H12" i="13"/>
  <c r="H13" i="13"/>
  <c r="H14" i="13"/>
  <c r="H15" i="13"/>
  <c r="H16" i="13"/>
  <c r="H17" i="13"/>
  <c r="H18" i="13"/>
  <c r="H19" i="13"/>
  <c r="H20" i="13"/>
  <c r="H21" i="13"/>
  <c r="H7" i="13"/>
  <c r="K7" i="13"/>
  <c r="K8" i="13"/>
  <c r="K9" i="13"/>
  <c r="K10" i="13"/>
  <c r="K11" i="13"/>
  <c r="K12" i="13"/>
  <c r="K13" i="13"/>
  <c r="K14" i="13"/>
  <c r="K15" i="13"/>
  <c r="K16" i="13"/>
  <c r="K17" i="13"/>
  <c r="K6" i="13"/>
  <c r="J7" i="13"/>
  <c r="J8" i="13"/>
  <c r="J9" i="13"/>
  <c r="J6" i="13"/>
  <c r="C25" i="13"/>
  <c r="I7" i="13"/>
  <c r="I8" i="13"/>
  <c r="I9" i="13"/>
  <c r="I6" i="13"/>
  <c r="F7" i="13"/>
  <c r="G7" i="13"/>
  <c r="AA45"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10" i="12"/>
  <c r="Z11" i="12"/>
  <c r="Z12" i="12"/>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10" i="12"/>
  <c r="P7" i="12"/>
  <c r="R8" i="12"/>
  <c r="S8" i="12"/>
  <c r="X56" i="12"/>
  <c r="X55" i="12"/>
  <c r="U7" i="12"/>
  <c r="W8" i="12"/>
  <c r="X8"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H45" i="12"/>
  <c r="I10" i="12"/>
  <c r="I9" i="12"/>
  <c r="I8" i="12"/>
  <c r="I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V7" i="11"/>
  <c r="V6" i="11"/>
  <c r="V5" i="11"/>
  <c r="V4" i="11"/>
  <c r="Y6" i="11"/>
  <c r="Y5" i="11"/>
  <c r="Q43" i="11"/>
  <c r="P43" i="11"/>
  <c r="I43" i="11"/>
  <c r="R44"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9" i="11"/>
  <c r="P40" i="11"/>
  <c r="P41" i="11"/>
  <c r="P42" i="11"/>
  <c r="Q5" i="11"/>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 i="11"/>
  <c r="O5"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 i="11"/>
  <c r="N5" i="11"/>
  <c r="N6" i="11"/>
  <c r="N7" i="11"/>
  <c r="N8" i="11"/>
  <c r="N9" i="11"/>
  <c r="N10" i="11"/>
  <c r="N11" i="11"/>
  <c r="N12" i="11"/>
  <c r="N13" i="11"/>
  <c r="N14" i="11"/>
  <c r="N15" i="11"/>
  <c r="N4" i="11"/>
  <c r="M5" i="11"/>
  <c r="M6" i="11"/>
  <c r="M7" i="11"/>
  <c r="M8" i="11"/>
  <c r="M9" i="11"/>
  <c r="M10" i="11"/>
  <c r="M11" i="11"/>
  <c r="M12" i="11"/>
  <c r="M13" i="11"/>
  <c r="M14" i="11"/>
  <c r="M15" i="11"/>
  <c r="M4" i="11"/>
  <c r="D4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5" i="11"/>
  <c r="J44"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9" i="11"/>
  <c r="I42" i="11"/>
  <c r="I41" i="11"/>
  <c r="I40"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9"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8"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6" i="11"/>
  <c r="X10" i="10"/>
  <c r="X9" i="10"/>
  <c r="X8" i="10"/>
  <c r="R35" i="10"/>
  <c r="R34" i="10"/>
  <c r="R33" i="10"/>
  <c r="N9" i="10"/>
  <c r="N10" i="10"/>
  <c r="N11" i="10"/>
  <c r="N12" i="10"/>
  <c r="N13" i="10"/>
  <c r="N14" i="10"/>
  <c r="N15" i="10"/>
  <c r="N16" i="10"/>
  <c r="N17" i="10"/>
  <c r="N18" i="10"/>
  <c r="N19" i="10"/>
  <c r="N8" i="10"/>
  <c r="O11" i="10"/>
  <c r="O12" i="10"/>
  <c r="O13" i="10"/>
  <c r="O14" i="10"/>
  <c r="O15" i="10"/>
  <c r="O16" i="10"/>
  <c r="O17" i="10"/>
  <c r="O18" i="10"/>
  <c r="O19" i="10"/>
  <c r="O10" i="10"/>
  <c r="S9" i="10"/>
  <c r="T9" i="10"/>
  <c r="I9" i="10"/>
  <c r="K10" i="10"/>
  <c r="L10" i="10"/>
  <c r="K11" i="10"/>
  <c r="L11" i="10"/>
  <c r="K12" i="10"/>
  <c r="L12" i="10"/>
  <c r="J9" i="10"/>
  <c r="K13" i="10"/>
  <c r="L13" i="10"/>
  <c r="K14" i="10"/>
  <c r="L14" i="10"/>
  <c r="K15" i="10"/>
  <c r="L15" i="10"/>
  <c r="K16" i="10"/>
  <c r="L16" i="10"/>
  <c r="K17" i="10"/>
  <c r="L17" i="10"/>
  <c r="K18" i="10"/>
  <c r="L18" i="10"/>
  <c r="I18" i="10"/>
  <c r="J15" i="10"/>
  <c r="K19" i="10"/>
  <c r="L19" i="10"/>
  <c r="L9" i="10"/>
  <c r="J17" i="10"/>
  <c r="K21" i="10"/>
  <c r="J18" i="10"/>
  <c r="K22" i="10"/>
  <c r="I19" i="10"/>
  <c r="J19" i="10"/>
  <c r="K23" i="10"/>
  <c r="J16" i="10"/>
  <c r="K20" i="10"/>
  <c r="F19" i="10"/>
  <c r="F18" i="10"/>
  <c r="F17" i="10"/>
  <c r="F16" i="10"/>
  <c r="F15" i="10"/>
  <c r="F14" i="10"/>
  <c r="F13" i="10"/>
  <c r="E9" i="10"/>
  <c r="E10" i="10"/>
  <c r="E11" i="10"/>
  <c r="E12" i="10"/>
  <c r="E13" i="10"/>
  <c r="E14" i="10"/>
  <c r="E15" i="10"/>
  <c r="E16" i="10"/>
  <c r="E17" i="10"/>
  <c r="E18" i="10"/>
  <c r="E19" i="10"/>
  <c r="F12" i="10"/>
  <c r="F11" i="10"/>
  <c r="F10" i="10"/>
  <c r="F9" i="10"/>
  <c r="F8" i="10"/>
  <c r="G10" i="10"/>
  <c r="G11" i="10"/>
  <c r="G12" i="10"/>
  <c r="G13" i="10"/>
  <c r="G14" i="10"/>
  <c r="G15" i="10"/>
  <c r="G16" i="10"/>
  <c r="G17" i="10"/>
  <c r="G18" i="10"/>
  <c r="G19" i="10"/>
  <c r="K9" i="10"/>
  <c r="W42" i="9"/>
  <c r="W11" i="9"/>
  <c r="W12" i="9"/>
  <c r="W13" i="9"/>
  <c r="W14" i="9"/>
  <c r="W15" i="9"/>
  <c r="W16" i="9"/>
  <c r="W17" i="9"/>
  <c r="W18" i="9"/>
  <c r="W19" i="9"/>
  <c r="W20" i="9"/>
  <c r="W21" i="9"/>
  <c r="W22" i="9"/>
  <c r="W23" i="9"/>
  <c r="W24" i="9"/>
  <c r="W25" i="9"/>
  <c r="W26" i="9"/>
  <c r="W27" i="9"/>
  <c r="W28" i="9"/>
  <c r="W29" i="9"/>
  <c r="W30" i="9"/>
  <c r="W31" i="9"/>
  <c r="W32" i="9"/>
  <c r="W33" i="9"/>
  <c r="W34" i="9"/>
  <c r="W35" i="9"/>
  <c r="W36" i="9"/>
  <c r="W10" i="9"/>
  <c r="V10" i="9"/>
  <c r="V11" i="9"/>
  <c r="V12" i="9"/>
  <c r="V13" i="9"/>
  <c r="V14" i="9"/>
  <c r="V15" i="9"/>
  <c r="V16" i="9"/>
  <c r="V17" i="9"/>
  <c r="V18" i="9"/>
  <c r="V19" i="9"/>
  <c r="V20" i="9"/>
  <c r="V21" i="9"/>
  <c r="V22" i="9"/>
  <c r="V23" i="9"/>
  <c r="V24" i="9"/>
  <c r="V25" i="9"/>
  <c r="V26" i="9"/>
  <c r="V27" i="9"/>
  <c r="V28" i="9"/>
  <c r="V29" i="9"/>
  <c r="V30" i="9"/>
  <c r="V31" i="9"/>
  <c r="V32" i="9"/>
  <c r="V33" i="9"/>
  <c r="V34" i="9"/>
  <c r="V35" i="9"/>
  <c r="V36" i="9"/>
  <c r="V37" i="9"/>
  <c r="V38" i="9"/>
  <c r="V39" i="9"/>
  <c r="V40" i="9"/>
  <c r="V9" i="9"/>
  <c r="U10" i="9"/>
  <c r="U11" i="9"/>
  <c r="U12" i="9"/>
  <c r="U13" i="9"/>
  <c r="U14" i="9"/>
  <c r="U15" i="9"/>
  <c r="U16" i="9"/>
  <c r="U17" i="9"/>
  <c r="U18" i="9"/>
  <c r="U19" i="9"/>
  <c r="U20" i="9"/>
  <c r="U21" i="9"/>
  <c r="U22" i="9"/>
  <c r="U23" i="9"/>
  <c r="U24" i="9"/>
  <c r="U25" i="9"/>
  <c r="U26" i="9"/>
  <c r="U27" i="9"/>
  <c r="U28" i="9"/>
  <c r="U29" i="9"/>
  <c r="U30" i="9"/>
  <c r="U31" i="9"/>
  <c r="U32" i="9"/>
  <c r="U33" i="9"/>
  <c r="U34" i="9"/>
  <c r="U35" i="9"/>
  <c r="U36" i="9"/>
  <c r="U37" i="9"/>
  <c r="U38" i="9"/>
  <c r="U39" i="9"/>
  <c r="U40" i="9"/>
  <c r="U9" i="9"/>
  <c r="T10" i="9"/>
  <c r="T11" i="9"/>
  <c r="T12" i="9"/>
  <c r="T13" i="9"/>
  <c r="T14" i="9"/>
  <c r="T15" i="9"/>
  <c r="T16" i="9"/>
  <c r="T17" i="9"/>
  <c r="T18" i="9"/>
  <c r="T19" i="9"/>
  <c r="T20" i="9"/>
  <c r="T21" i="9"/>
  <c r="T22" i="9"/>
  <c r="T23" i="9"/>
  <c r="T24" i="9"/>
  <c r="T25" i="9"/>
  <c r="T26" i="9"/>
  <c r="T27" i="9"/>
  <c r="T28" i="9"/>
  <c r="T29" i="9"/>
  <c r="T30" i="9"/>
  <c r="T31" i="9"/>
  <c r="T32" i="9"/>
  <c r="T33" i="9"/>
  <c r="T34" i="9"/>
  <c r="T35" i="9"/>
  <c r="T36" i="9"/>
  <c r="T9" i="9"/>
  <c r="S10" i="9"/>
  <c r="S11" i="9"/>
  <c r="S12" i="9"/>
  <c r="S9" i="9"/>
  <c r="D44" i="9"/>
  <c r="R10" i="9"/>
  <c r="R11" i="9"/>
  <c r="R12" i="9"/>
  <c r="R9" i="9"/>
  <c r="Q11" i="9"/>
  <c r="Q12" i="9"/>
  <c r="Q13" i="9"/>
  <c r="Q14" i="9"/>
  <c r="Q15" i="9"/>
  <c r="Q16" i="9"/>
  <c r="Q17" i="9"/>
  <c r="Q18" i="9"/>
  <c r="Q19" i="9"/>
  <c r="Q20" i="9"/>
  <c r="Q21" i="9"/>
  <c r="Q22" i="9"/>
  <c r="Q23" i="9"/>
  <c r="Q24" i="9"/>
  <c r="Q25" i="9"/>
  <c r="Q26" i="9"/>
  <c r="Q27" i="9"/>
  <c r="Q28" i="9"/>
  <c r="Q29" i="9"/>
  <c r="Q30" i="9"/>
  <c r="Q31" i="9"/>
  <c r="Q32" i="9"/>
  <c r="Q33" i="9"/>
  <c r="Q34" i="9"/>
  <c r="Q35" i="9"/>
  <c r="Q36" i="9"/>
  <c r="Q10" i="9"/>
  <c r="J11" i="9"/>
  <c r="J12" i="9"/>
  <c r="J13" i="9"/>
  <c r="J14" i="9"/>
  <c r="J15" i="9"/>
  <c r="J16" i="9"/>
  <c r="J17" i="9"/>
  <c r="J18" i="9"/>
  <c r="J19" i="9"/>
  <c r="J20" i="9"/>
  <c r="J21" i="9"/>
  <c r="J22" i="9"/>
  <c r="J23" i="9"/>
  <c r="J24" i="9"/>
  <c r="J25" i="9"/>
  <c r="J26" i="9"/>
  <c r="J27" i="9"/>
  <c r="J28" i="9"/>
  <c r="J29" i="9"/>
  <c r="J30" i="9"/>
  <c r="J31" i="9"/>
  <c r="J32" i="9"/>
  <c r="J33" i="9"/>
  <c r="J34" i="9"/>
  <c r="J35" i="9"/>
  <c r="J36" i="9"/>
  <c r="H10" i="9"/>
  <c r="O10" i="9"/>
  <c r="N10" i="9"/>
  <c r="M26" i="5"/>
  <c r="G10" i="9"/>
  <c r="G5" i="8"/>
  <c r="H5" i="8"/>
  <c r="G6" i="8"/>
  <c r="G7" i="8"/>
  <c r="H7" i="8"/>
  <c r="G8" i="8"/>
  <c r="G9" i="8"/>
  <c r="G10" i="8"/>
  <c r="H10" i="8"/>
  <c r="G11" i="8"/>
  <c r="G12" i="8"/>
  <c r="G13" i="8"/>
  <c r="G14" i="8"/>
  <c r="H14" i="8"/>
  <c r="G15" i="8"/>
  <c r="G4" i="8"/>
  <c r="H6" i="8"/>
  <c r="H8" i="8"/>
  <c r="H9" i="8"/>
  <c r="H11" i="8"/>
  <c r="H12" i="8"/>
  <c r="H13" i="8"/>
  <c r="H15" i="8"/>
  <c r="H4" i="8"/>
  <c r="F8" i="8"/>
  <c r="F9" i="8"/>
  <c r="F10" i="8"/>
  <c r="F11" i="8"/>
  <c r="E5" i="8"/>
  <c r="F5" i="8"/>
  <c r="E6" i="8"/>
  <c r="F6" i="8"/>
  <c r="E7" i="8"/>
  <c r="E4" i="8"/>
  <c r="F4" i="8"/>
  <c r="D5" i="8"/>
  <c r="D6" i="8"/>
  <c r="D7" i="8"/>
  <c r="D4" i="8"/>
  <c r="C17" i="8"/>
  <c r="H36" i="7"/>
  <c r="H37" i="7"/>
  <c r="H38" i="7"/>
  <c r="H39" i="7"/>
  <c r="H40" i="7"/>
  <c r="H41" i="7"/>
  <c r="H42" i="7"/>
  <c r="H43" i="7"/>
  <c r="D49" i="7"/>
  <c r="F33" i="7"/>
  <c r="F34" i="7"/>
  <c r="F35" i="7"/>
  <c r="F32" i="7"/>
  <c r="L26" i="5"/>
  <c r="M41" i="5"/>
  <c r="N45" i="5"/>
  <c r="H13" i="7"/>
  <c r="I13" i="7"/>
  <c r="I19" i="6"/>
  <c r="I10" i="6"/>
  <c r="I11" i="6"/>
  <c r="I12" i="6"/>
  <c r="I13" i="6"/>
  <c r="I14" i="6"/>
  <c r="I15" i="6"/>
  <c r="I16" i="6"/>
  <c r="I9" i="6"/>
  <c r="G19" i="6"/>
  <c r="G10" i="6"/>
  <c r="G11" i="6"/>
  <c r="G12" i="6"/>
  <c r="G13" i="6"/>
  <c r="G14" i="6"/>
  <c r="G15" i="6"/>
  <c r="G16" i="6"/>
  <c r="G9" i="6"/>
  <c r="E19" i="6"/>
  <c r="E10" i="6"/>
  <c r="E11" i="6"/>
  <c r="E12" i="6"/>
  <c r="E13" i="6"/>
  <c r="E14" i="6"/>
  <c r="E15" i="6"/>
  <c r="E16" i="6"/>
  <c r="E9" i="6"/>
  <c r="C21" i="6"/>
  <c r="H5" i="6"/>
  <c r="H6" i="6"/>
  <c r="H7" i="6"/>
  <c r="H8" i="6"/>
  <c r="H9" i="6"/>
  <c r="H10" i="6"/>
  <c r="H11" i="6"/>
  <c r="H12" i="6"/>
  <c r="H13" i="6"/>
  <c r="H14" i="6"/>
  <c r="H15" i="6"/>
  <c r="H16" i="6"/>
  <c r="H17" i="6"/>
  <c r="D17" i="6"/>
  <c r="D6" i="6"/>
  <c r="D7" i="6"/>
  <c r="D8" i="6"/>
  <c r="D9" i="6"/>
  <c r="D10" i="6"/>
  <c r="D11" i="6"/>
  <c r="D12" i="6"/>
  <c r="D13" i="6"/>
  <c r="D14" i="6"/>
  <c r="D15" i="6"/>
  <c r="D16" i="6"/>
  <c r="D5" i="6"/>
  <c r="G26" i="5"/>
  <c r="H32" i="5"/>
  <c r="I32" i="5"/>
  <c r="H33" i="5"/>
  <c r="I33" i="5"/>
  <c r="H34" i="5"/>
  <c r="I34" i="5"/>
  <c r="H35" i="5"/>
  <c r="I35" i="5"/>
  <c r="H36" i="5"/>
  <c r="I36" i="5"/>
  <c r="H37" i="5"/>
  <c r="I37" i="5"/>
  <c r="H38" i="5"/>
  <c r="I38" i="5"/>
  <c r="H39" i="5"/>
  <c r="I39" i="5"/>
  <c r="H40" i="5"/>
  <c r="I40" i="5"/>
  <c r="H41" i="5"/>
  <c r="I41" i="5"/>
  <c r="H42" i="5"/>
  <c r="I42" i="5"/>
  <c r="H43" i="5"/>
  <c r="I43" i="5"/>
  <c r="H44" i="5"/>
  <c r="I44" i="5"/>
  <c r="I47" i="5"/>
  <c r="N32" i="5"/>
  <c r="O32" i="5"/>
  <c r="N33" i="5"/>
  <c r="O33" i="5"/>
  <c r="N34" i="5"/>
  <c r="O34" i="5"/>
  <c r="N35" i="5"/>
  <c r="O35" i="5"/>
  <c r="N36" i="5"/>
  <c r="O36" i="5"/>
  <c r="N37" i="5"/>
  <c r="O37" i="5"/>
  <c r="N38" i="5"/>
  <c r="O38" i="5"/>
  <c r="N39" i="5"/>
  <c r="O39" i="5"/>
  <c r="N40" i="5"/>
  <c r="O40" i="5"/>
  <c r="N41" i="5"/>
  <c r="O41" i="5"/>
  <c r="N42" i="5"/>
  <c r="O42" i="5"/>
  <c r="N43" i="5"/>
  <c r="O43" i="5"/>
  <c r="N44" i="5"/>
  <c r="O44" i="5"/>
  <c r="O47" i="5"/>
  <c r="U47" i="5"/>
  <c r="U33" i="5"/>
  <c r="U34" i="5"/>
  <c r="U35" i="5"/>
  <c r="U36" i="5"/>
  <c r="U37" i="5"/>
  <c r="U38" i="5"/>
  <c r="U39" i="5"/>
  <c r="U40" i="5"/>
  <c r="U41" i="5"/>
  <c r="U42" i="5"/>
  <c r="U43" i="5"/>
  <c r="U44" i="5"/>
  <c r="U32" i="5"/>
  <c r="T33" i="5"/>
  <c r="T34" i="5"/>
  <c r="T35" i="5"/>
  <c r="T36" i="5"/>
  <c r="T37" i="5"/>
  <c r="T38" i="5"/>
  <c r="T39" i="5"/>
  <c r="T40" i="5"/>
  <c r="T41" i="5"/>
  <c r="T42" i="5"/>
  <c r="T43" i="5"/>
  <c r="T44" i="5"/>
  <c r="T45" i="5"/>
  <c r="T32" i="5"/>
  <c r="S32" i="5"/>
  <c r="S33" i="5"/>
  <c r="S34" i="5"/>
  <c r="S35" i="5"/>
  <c r="S36" i="5"/>
  <c r="S37" i="5"/>
  <c r="S38" i="5"/>
  <c r="S39" i="5"/>
  <c r="S40" i="5"/>
  <c r="S41" i="5"/>
  <c r="S42" i="5"/>
  <c r="S43" i="5"/>
  <c r="S44" i="5"/>
  <c r="S31" i="5"/>
  <c r="R32" i="5"/>
  <c r="R33" i="5"/>
  <c r="R34" i="5"/>
  <c r="R35" i="5"/>
  <c r="R36" i="5"/>
  <c r="R37" i="5"/>
  <c r="R38" i="5"/>
  <c r="R39" i="5"/>
  <c r="R40" i="5"/>
  <c r="R41" i="5"/>
  <c r="R42" i="5"/>
  <c r="R43" i="5"/>
  <c r="R44" i="5"/>
  <c r="R31" i="5"/>
  <c r="Q32" i="5"/>
  <c r="Q33" i="5"/>
  <c r="Q34" i="5"/>
  <c r="Q35" i="5"/>
  <c r="Q36" i="5"/>
  <c r="Q37" i="5"/>
  <c r="Q38" i="5"/>
  <c r="Q39" i="5"/>
  <c r="Q40" i="5"/>
  <c r="Q41" i="5"/>
  <c r="Q42" i="5"/>
  <c r="Q43" i="5"/>
  <c r="Q44" i="5"/>
  <c r="Q31" i="5"/>
  <c r="P29" i="5"/>
  <c r="P30" i="5"/>
  <c r="P31" i="5"/>
  <c r="P32" i="5"/>
  <c r="P33" i="5"/>
  <c r="P34" i="5"/>
  <c r="P35" i="5"/>
  <c r="P36" i="5"/>
  <c r="P37" i="5"/>
  <c r="P38" i="5"/>
  <c r="P39" i="5"/>
  <c r="P40" i="5"/>
  <c r="P41" i="5"/>
  <c r="P42" i="5"/>
  <c r="P43" i="5"/>
  <c r="P44" i="5"/>
  <c r="P28" i="5"/>
  <c r="N27" i="5"/>
  <c r="O27" i="5"/>
  <c r="N28" i="5"/>
  <c r="O28" i="5"/>
  <c r="N29" i="5"/>
  <c r="O29" i="5"/>
  <c r="N30" i="5"/>
  <c r="O30" i="5"/>
  <c r="N31" i="5"/>
  <c r="O31" i="5"/>
  <c r="O26" i="5"/>
  <c r="N26" i="5"/>
  <c r="H27" i="5"/>
  <c r="I27" i="5"/>
  <c r="H28" i="5"/>
  <c r="I28" i="5"/>
  <c r="H29" i="5"/>
  <c r="I29" i="5"/>
  <c r="H30" i="5"/>
  <c r="I30" i="5"/>
  <c r="H31" i="5"/>
  <c r="I31" i="5"/>
  <c r="I26" i="5"/>
  <c r="G44" i="5"/>
  <c r="H45" i="5"/>
  <c r="H26" i="5"/>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66" i="4"/>
  <c r="O45" i="4"/>
  <c r="M45" i="4"/>
  <c r="P47" i="4"/>
  <c r="P20" i="4"/>
  <c r="P21" i="4"/>
  <c r="P22" i="4"/>
  <c r="P23" i="4"/>
  <c r="P24" i="4"/>
  <c r="P25" i="4"/>
  <c r="P26" i="4"/>
  <c r="P27" i="4"/>
  <c r="P28" i="4"/>
  <c r="P29" i="4"/>
  <c r="P30" i="4"/>
  <c r="P31" i="4"/>
  <c r="P32" i="4"/>
  <c r="P33" i="4"/>
  <c r="P34" i="4"/>
  <c r="P35" i="4"/>
  <c r="P36" i="4"/>
  <c r="P37" i="4"/>
  <c r="P38" i="4"/>
  <c r="P39" i="4"/>
  <c r="P40" i="4"/>
  <c r="P41" i="4"/>
  <c r="P42" i="4"/>
  <c r="P43" i="4"/>
  <c r="P44" i="4"/>
  <c r="P19" i="4"/>
  <c r="N47" i="4"/>
  <c r="N20" i="4"/>
  <c r="N21" i="4"/>
  <c r="N22" i="4"/>
  <c r="N23" i="4"/>
  <c r="N24" i="4"/>
  <c r="N25" i="4"/>
  <c r="N26" i="4"/>
  <c r="N27" i="4"/>
  <c r="N28" i="4"/>
  <c r="N29" i="4"/>
  <c r="N30" i="4"/>
  <c r="N31" i="4"/>
  <c r="N32" i="4"/>
  <c r="N33" i="4"/>
  <c r="N34" i="4"/>
  <c r="N35" i="4"/>
  <c r="N36" i="4"/>
  <c r="N37" i="4"/>
  <c r="N38" i="4"/>
  <c r="N39" i="4"/>
  <c r="N40" i="4"/>
  <c r="N41" i="4"/>
  <c r="N42" i="4"/>
  <c r="N43" i="4"/>
  <c r="N44" i="4"/>
  <c r="N19" i="4"/>
  <c r="O18" i="4"/>
  <c r="O19" i="4"/>
  <c r="O20" i="4"/>
  <c r="O21" i="4"/>
  <c r="O22" i="4"/>
  <c r="O23" i="4"/>
  <c r="O24" i="4"/>
  <c r="O25" i="4"/>
  <c r="O26" i="4"/>
  <c r="O27" i="4"/>
  <c r="O28" i="4"/>
  <c r="O29" i="4"/>
  <c r="O30" i="4"/>
  <c r="O31" i="4"/>
  <c r="O32" i="4"/>
  <c r="O33" i="4"/>
  <c r="O34" i="4"/>
  <c r="O35" i="4"/>
  <c r="O36" i="4"/>
  <c r="O37" i="4"/>
  <c r="O38" i="4"/>
  <c r="O39" i="4"/>
  <c r="O40" i="4"/>
  <c r="O41" i="4"/>
  <c r="O42" i="4"/>
  <c r="O43" i="4"/>
  <c r="O44" i="4"/>
  <c r="M18" i="4"/>
  <c r="M19" i="4"/>
  <c r="M20" i="4"/>
  <c r="M21" i="4"/>
  <c r="M22" i="4"/>
  <c r="M23" i="4"/>
  <c r="M24" i="4"/>
  <c r="M25" i="4"/>
  <c r="M26" i="4"/>
  <c r="M27" i="4"/>
  <c r="M28" i="4"/>
  <c r="M29" i="4"/>
  <c r="M30" i="4"/>
  <c r="M31" i="4"/>
  <c r="M32" i="4"/>
  <c r="M33" i="4"/>
  <c r="M34" i="4"/>
  <c r="M35" i="4"/>
  <c r="M36" i="4"/>
  <c r="M37" i="4"/>
  <c r="M38" i="4"/>
  <c r="M39" i="4"/>
  <c r="M40" i="4"/>
  <c r="M41" i="4"/>
  <c r="M42" i="4"/>
  <c r="M43" i="4"/>
  <c r="M44" i="4"/>
  <c r="O16" i="4"/>
  <c r="O17" i="4"/>
  <c r="M16" i="4"/>
  <c r="M17" i="4"/>
  <c r="K47" i="4"/>
  <c r="K20" i="4"/>
  <c r="K21" i="4"/>
  <c r="K22" i="4"/>
  <c r="K23" i="4"/>
  <c r="K24" i="4"/>
  <c r="K25" i="4"/>
  <c r="K26" i="4"/>
  <c r="K27" i="4"/>
  <c r="K28" i="4"/>
  <c r="K29" i="4"/>
  <c r="K30" i="4"/>
  <c r="K31" i="4"/>
  <c r="K32" i="4"/>
  <c r="K33" i="4"/>
  <c r="K34" i="4"/>
  <c r="K35" i="4"/>
  <c r="K36" i="4"/>
  <c r="K37" i="4"/>
  <c r="K38" i="4"/>
  <c r="K39" i="4"/>
  <c r="K40" i="4"/>
  <c r="K41" i="4"/>
  <c r="K42" i="4"/>
  <c r="K43" i="4"/>
  <c r="K44" i="4"/>
  <c r="K19" i="4"/>
  <c r="J20" i="4"/>
  <c r="J21" i="4"/>
  <c r="J22" i="4"/>
  <c r="J23" i="4"/>
  <c r="J24" i="4"/>
  <c r="J25" i="4"/>
  <c r="J26" i="4"/>
  <c r="J27" i="4"/>
  <c r="J28" i="4"/>
  <c r="J29" i="4"/>
  <c r="J30" i="4"/>
  <c r="J31" i="4"/>
  <c r="J32" i="4"/>
  <c r="J33" i="4"/>
  <c r="J34" i="4"/>
  <c r="J35" i="4"/>
  <c r="J36" i="4"/>
  <c r="J37" i="4"/>
  <c r="J38" i="4"/>
  <c r="J39" i="4"/>
  <c r="J40" i="4"/>
  <c r="J41" i="4"/>
  <c r="J42" i="4"/>
  <c r="J43" i="4"/>
  <c r="J44" i="4"/>
  <c r="J45" i="4"/>
  <c r="G19" i="4"/>
  <c r="G20" i="4"/>
  <c r="G21" i="4"/>
  <c r="G22" i="4"/>
  <c r="G23" i="4"/>
  <c r="G24" i="4"/>
  <c r="I24" i="4"/>
  <c r="G25" i="4"/>
  <c r="H25" i="4"/>
  <c r="G26" i="4"/>
  <c r="H26" i="4"/>
  <c r="G27" i="4"/>
  <c r="H27" i="4"/>
  <c r="G28" i="4"/>
  <c r="I28" i="4"/>
  <c r="G29" i="4"/>
  <c r="I29" i="4"/>
  <c r="G30" i="4"/>
  <c r="I30" i="4"/>
  <c r="G31" i="4"/>
  <c r="G32" i="4"/>
  <c r="G33" i="4"/>
  <c r="G34" i="4"/>
  <c r="G35" i="4"/>
  <c r="G36" i="4"/>
  <c r="G37" i="4"/>
  <c r="H37" i="4"/>
  <c r="G38" i="4"/>
  <c r="H38" i="4"/>
  <c r="G39" i="4"/>
  <c r="H39" i="4"/>
  <c r="G40" i="4"/>
  <c r="I40" i="4"/>
  <c r="G41" i="4"/>
  <c r="H41" i="4"/>
  <c r="G42" i="4"/>
  <c r="H42" i="4"/>
  <c r="G43" i="4"/>
  <c r="G44" i="4"/>
  <c r="G18" i="4"/>
  <c r="I19" i="4"/>
  <c r="I20" i="4"/>
  <c r="I21" i="4"/>
  <c r="I22" i="4"/>
  <c r="I23" i="4"/>
  <c r="I27" i="4"/>
  <c r="I31" i="4"/>
  <c r="I32" i="4"/>
  <c r="I33" i="4"/>
  <c r="I34" i="4"/>
  <c r="I35" i="4"/>
  <c r="I36" i="4"/>
  <c r="I37" i="4"/>
  <c r="I38" i="4"/>
  <c r="I39" i="4"/>
  <c r="I43" i="4"/>
  <c r="I44" i="4"/>
  <c r="I18" i="4"/>
  <c r="H19" i="4"/>
  <c r="H20" i="4"/>
  <c r="H21" i="4"/>
  <c r="H22" i="4"/>
  <c r="H23" i="4"/>
  <c r="H31" i="4"/>
  <c r="H32" i="4"/>
  <c r="H33" i="4"/>
  <c r="H34" i="4"/>
  <c r="H35" i="4"/>
  <c r="H36" i="4"/>
  <c r="H43" i="4"/>
  <c r="H44" i="4"/>
  <c r="H18" i="4"/>
  <c r="J19" i="4"/>
  <c r="F18" i="4"/>
  <c r="F19" i="4"/>
  <c r="F20" i="4"/>
  <c r="F21" i="4"/>
  <c r="F22" i="4"/>
  <c r="F23" i="4"/>
  <c r="F24" i="4"/>
  <c r="F25" i="4"/>
  <c r="F26" i="4"/>
  <c r="F27" i="4"/>
  <c r="F28" i="4"/>
  <c r="F29" i="4"/>
  <c r="F30" i="4"/>
  <c r="F31" i="4"/>
  <c r="F32" i="4"/>
  <c r="F33" i="4"/>
  <c r="F34" i="4"/>
  <c r="F35" i="4"/>
  <c r="F36" i="4"/>
  <c r="F37" i="4"/>
  <c r="F38" i="4"/>
  <c r="F39" i="4"/>
  <c r="F40" i="4"/>
  <c r="F41" i="4"/>
  <c r="F42" i="4"/>
  <c r="F43" i="4"/>
  <c r="F44" i="4"/>
  <c r="F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17" i="4"/>
  <c r="P79" i="3"/>
  <c r="P80" i="3"/>
  <c r="P81" i="3"/>
  <c r="P82" i="3"/>
  <c r="P83" i="3"/>
  <c r="P84" i="3"/>
  <c r="P85" i="3"/>
  <c r="P86" i="3"/>
  <c r="P87" i="3"/>
  <c r="P88" i="3"/>
  <c r="P89" i="3"/>
  <c r="P90" i="3"/>
  <c r="P91" i="3"/>
  <c r="P92" i="3"/>
  <c r="P93" i="3"/>
  <c r="P94" i="3"/>
  <c r="P78" i="3"/>
  <c r="T76" i="3"/>
  <c r="Q75" i="3"/>
  <c r="Q76" i="3"/>
  <c r="N94" i="3"/>
  <c r="I94" i="3"/>
  <c r="N93" i="3"/>
  <c r="I93" i="3"/>
  <c r="N92" i="3"/>
  <c r="K92" i="3"/>
  <c r="K93" i="3"/>
  <c r="K94" i="3"/>
  <c r="I92" i="3"/>
  <c r="F91" i="3"/>
  <c r="H91" i="3"/>
  <c r="E91" i="3"/>
  <c r="F90" i="3"/>
  <c r="H90" i="3"/>
  <c r="E90" i="3"/>
  <c r="F89" i="3"/>
  <c r="H89" i="3"/>
  <c r="E89" i="3"/>
  <c r="H88" i="3"/>
  <c r="F88" i="3"/>
  <c r="G88" i="3"/>
  <c r="I89" i="3"/>
  <c r="J89" i="3"/>
  <c r="E88" i="3"/>
  <c r="F87" i="3"/>
  <c r="H87" i="3"/>
  <c r="E87" i="3"/>
  <c r="F86" i="3"/>
  <c r="H86" i="3"/>
  <c r="E86" i="3"/>
  <c r="F85" i="3"/>
  <c r="H85" i="3"/>
  <c r="E85" i="3"/>
  <c r="F84" i="3"/>
  <c r="G84" i="3"/>
  <c r="E84" i="3"/>
  <c r="F83" i="3"/>
  <c r="H83" i="3"/>
  <c r="E83" i="3"/>
  <c r="F82" i="3"/>
  <c r="H82" i="3"/>
  <c r="E82" i="3"/>
  <c r="E81" i="3"/>
  <c r="K80" i="3"/>
  <c r="K81" i="3"/>
  <c r="K82" i="3"/>
  <c r="K83" i="3"/>
  <c r="K84" i="3"/>
  <c r="K85" i="3"/>
  <c r="K86" i="3"/>
  <c r="K87" i="3"/>
  <c r="K88" i="3"/>
  <c r="K89" i="3"/>
  <c r="K90" i="3"/>
  <c r="K91" i="3"/>
  <c r="E80" i="3"/>
  <c r="K79" i="3"/>
  <c r="E79" i="3"/>
  <c r="D79" i="3"/>
  <c r="D80" i="3"/>
  <c r="D81" i="3"/>
  <c r="D82" i="3"/>
  <c r="D83" i="3"/>
  <c r="D84" i="3"/>
  <c r="D85" i="3"/>
  <c r="D86" i="3"/>
  <c r="D87" i="3"/>
  <c r="D88" i="3"/>
  <c r="D89" i="3"/>
  <c r="D90" i="3"/>
  <c r="D91" i="3"/>
  <c r="D92" i="3"/>
  <c r="D93" i="3"/>
  <c r="D94" i="3"/>
  <c r="K78" i="3"/>
  <c r="E78" i="3"/>
  <c r="D78" i="3"/>
  <c r="E77" i="3"/>
  <c r="N76" i="3"/>
  <c r="L76" i="3"/>
  <c r="L75" i="3"/>
  <c r="P45" i="3"/>
  <c r="P46" i="3"/>
  <c r="P47" i="3"/>
  <c r="P48" i="3"/>
  <c r="P49" i="3"/>
  <c r="P50" i="3"/>
  <c r="P51" i="3"/>
  <c r="P52" i="3"/>
  <c r="P53" i="3"/>
  <c r="P54" i="3"/>
  <c r="P55" i="3"/>
  <c r="P56" i="3"/>
  <c r="P57" i="3"/>
  <c r="P58" i="3"/>
  <c r="P59" i="3"/>
  <c r="P60" i="3"/>
  <c r="P61" i="3"/>
  <c r="Q42" i="3"/>
  <c r="Q43" i="3"/>
  <c r="E58" i="3"/>
  <c r="E57" i="3"/>
  <c r="E56" i="3"/>
  <c r="E55" i="3"/>
  <c r="E54" i="3"/>
  <c r="E53" i="3"/>
  <c r="E52" i="3"/>
  <c r="E51" i="3"/>
  <c r="E50" i="3"/>
  <c r="E49" i="3"/>
  <c r="F51" i="3"/>
  <c r="H51" i="3"/>
  <c r="E48" i="3"/>
  <c r="F50" i="3"/>
  <c r="E47" i="3"/>
  <c r="E46" i="3"/>
  <c r="K45" i="3"/>
  <c r="K46" i="3"/>
  <c r="K47" i="3"/>
  <c r="K48" i="3"/>
  <c r="K49" i="3"/>
  <c r="K50" i="3"/>
  <c r="K51" i="3"/>
  <c r="K52" i="3"/>
  <c r="K53" i="3"/>
  <c r="K54" i="3"/>
  <c r="K55" i="3"/>
  <c r="K56" i="3"/>
  <c r="K57" i="3"/>
  <c r="K58" i="3"/>
  <c r="K59" i="3"/>
  <c r="K60" i="3"/>
  <c r="K61" i="3"/>
  <c r="E45" i="3"/>
  <c r="E44" i="3"/>
  <c r="L42" i="3"/>
  <c r="L43" i="3"/>
  <c r="Q11" i="3"/>
  <c r="R11" i="3"/>
  <c r="Q12" i="3"/>
  <c r="R12" i="3"/>
  <c r="D45" i="3"/>
  <c r="D46" i="3"/>
  <c r="D47" i="3"/>
  <c r="D48" i="3"/>
  <c r="D49" i="3"/>
  <c r="D50" i="3"/>
  <c r="D51" i="3"/>
  <c r="D52" i="3"/>
  <c r="D53" i="3"/>
  <c r="D54" i="3"/>
  <c r="D55" i="3"/>
  <c r="D56" i="3"/>
  <c r="D57" i="3"/>
  <c r="D58" i="3"/>
  <c r="D59" i="3"/>
  <c r="D60" i="3"/>
  <c r="D61" i="3"/>
  <c r="P13" i="3"/>
  <c r="P14" i="3"/>
  <c r="P15" i="3"/>
  <c r="P16" i="3"/>
  <c r="P17" i="3"/>
  <c r="P18" i="3"/>
  <c r="P19" i="3"/>
  <c r="P20" i="3"/>
  <c r="P21" i="3"/>
  <c r="P22" i="3"/>
  <c r="P23" i="3"/>
  <c r="P24" i="3"/>
  <c r="P25" i="3"/>
  <c r="P26" i="3"/>
  <c r="P27" i="3"/>
  <c r="P28" i="3"/>
  <c r="P29" i="3"/>
  <c r="K13" i="3"/>
  <c r="K14" i="3"/>
  <c r="K15" i="3"/>
  <c r="K16" i="3"/>
  <c r="K17" i="3"/>
  <c r="K18" i="3"/>
  <c r="K19" i="3"/>
  <c r="K20" i="3"/>
  <c r="K21" i="3"/>
  <c r="K22" i="3"/>
  <c r="K23" i="3"/>
  <c r="K24" i="3"/>
  <c r="K25" i="3"/>
  <c r="K26" i="3"/>
  <c r="K27" i="3"/>
  <c r="K28" i="3"/>
  <c r="K29" i="3"/>
  <c r="D13" i="3"/>
  <c r="D14" i="3"/>
  <c r="D15" i="3"/>
  <c r="D16" i="3"/>
  <c r="D17" i="3"/>
  <c r="D18" i="3"/>
  <c r="D19" i="3"/>
  <c r="D20" i="3"/>
  <c r="D21" i="3"/>
  <c r="D22" i="3"/>
  <c r="D23" i="3"/>
  <c r="D24" i="3"/>
  <c r="D25" i="3"/>
  <c r="D26" i="3"/>
  <c r="D27" i="3"/>
  <c r="D28" i="3"/>
  <c r="D29" i="3"/>
  <c r="Q10" i="3"/>
  <c r="T11" i="3"/>
  <c r="L10" i="3"/>
  <c r="E13" i="3"/>
  <c r="E14" i="3"/>
  <c r="E15" i="3"/>
  <c r="E16" i="3"/>
  <c r="E17" i="3"/>
  <c r="E18" i="3"/>
  <c r="E19" i="3"/>
  <c r="E20" i="3"/>
  <c r="E21" i="3"/>
  <c r="E22" i="3"/>
  <c r="E23" i="3"/>
  <c r="E24" i="3"/>
  <c r="E25" i="3"/>
  <c r="E26" i="3"/>
  <c r="E12" i="3"/>
  <c r="L12" i="2"/>
  <c r="L7" i="2"/>
  <c r="K5" i="2"/>
  <c r="K6" i="2"/>
  <c r="K7" i="2"/>
  <c r="K8" i="2"/>
  <c r="L8" i="2"/>
  <c r="K9" i="2"/>
  <c r="L9" i="2"/>
  <c r="K10" i="2"/>
  <c r="L10" i="2"/>
  <c r="K11" i="2"/>
  <c r="L11" i="2"/>
  <c r="K12" i="2"/>
  <c r="K13" i="2"/>
  <c r="L13" i="2"/>
  <c r="K14" i="2"/>
  <c r="L14" i="2"/>
  <c r="K15" i="2"/>
  <c r="L15" i="2"/>
  <c r="K4" i="2"/>
  <c r="I7" i="2"/>
  <c r="H8" i="2"/>
  <c r="I8" i="2"/>
  <c r="F7" i="2"/>
  <c r="E8" i="2"/>
  <c r="F8" i="2"/>
  <c r="E9" i="2"/>
  <c r="F9" i="2"/>
  <c r="E10" i="2"/>
  <c r="F10" i="2"/>
  <c r="E11" i="2"/>
  <c r="F11" i="2"/>
  <c r="E12" i="2"/>
  <c r="F12" i="2"/>
  <c r="E13" i="2"/>
  <c r="F13" i="2"/>
  <c r="E14" i="2"/>
  <c r="F14" i="2"/>
  <c r="E15" i="2"/>
  <c r="F15" i="2"/>
  <c r="E16" i="2"/>
  <c r="E7" i="2"/>
  <c r="B5" i="2"/>
  <c r="B6" i="2"/>
  <c r="B7" i="2"/>
  <c r="B8" i="2"/>
  <c r="B9" i="2"/>
  <c r="B10" i="2"/>
  <c r="B11" i="2"/>
  <c r="B12" i="2"/>
  <c r="B13" i="2"/>
  <c r="B14" i="2"/>
  <c r="B15" i="2"/>
  <c r="D10" i="1"/>
  <c r="D4" i="1"/>
  <c r="D5" i="1"/>
  <c r="D6" i="1"/>
  <c r="D7" i="1"/>
  <c r="D8" i="1"/>
  <c r="D3" i="1"/>
  <c r="R13" i="19"/>
  <c r="T13" i="19"/>
  <c r="P20" i="19"/>
  <c r="Q16" i="19"/>
  <c r="T16" i="19"/>
  <c r="T26" i="19"/>
  <c r="T30" i="19"/>
  <c r="Q26" i="19"/>
  <c r="R26" i="19"/>
  <c r="T14" i="19"/>
  <c r="P25" i="19"/>
  <c r="Q25" i="19"/>
  <c r="R25" i="19"/>
  <c r="Q21" i="19"/>
  <c r="T18" i="19"/>
  <c r="R18" i="19"/>
  <c r="T22" i="19"/>
  <c r="R22" i="19"/>
  <c r="T15" i="19"/>
  <c r="R15" i="19"/>
  <c r="T23" i="19"/>
  <c r="T11" i="19"/>
  <c r="R11" i="19"/>
  <c r="P23" i="19"/>
  <c r="E26" i="18"/>
  <c r="F26" i="18"/>
  <c r="G16" i="18"/>
  <c r="G20" i="18"/>
  <c r="G21" i="18"/>
  <c r="G17" i="18"/>
  <c r="G18" i="18"/>
  <c r="G16" i="17"/>
  <c r="D55" i="17"/>
  <c r="M55" i="17"/>
  <c r="E10" i="17"/>
  <c r="G11" i="17"/>
  <c r="H11" i="17"/>
  <c r="E12" i="17"/>
  <c r="G13" i="17"/>
  <c r="H13" i="17"/>
  <c r="G14" i="17"/>
  <c r="H14" i="17"/>
  <c r="E8" i="17"/>
  <c r="G9" i="17"/>
  <c r="H9" i="17"/>
  <c r="F9" i="17"/>
  <c r="G10" i="17"/>
  <c r="H10" i="17"/>
  <c r="D12" i="17"/>
  <c r="F12" i="17"/>
  <c r="D14" i="17"/>
  <c r="F14" i="17"/>
  <c r="L11" i="15"/>
  <c r="M10" i="15"/>
  <c r="E7" i="13"/>
  <c r="F8" i="13"/>
  <c r="G8" i="13"/>
  <c r="V8" i="12"/>
  <c r="J10" i="12"/>
  <c r="K10" i="12"/>
  <c r="J7" i="12"/>
  <c r="K7" i="12"/>
  <c r="J8" i="12"/>
  <c r="K8" i="12"/>
  <c r="L23" i="12"/>
  <c r="M23" i="12"/>
  <c r="N23" i="12"/>
  <c r="J9" i="12"/>
  <c r="K9" i="12"/>
  <c r="L16" i="12"/>
  <c r="M16" i="12"/>
  <c r="N16" i="12"/>
  <c r="L41" i="12"/>
  <c r="M41" i="12"/>
  <c r="N41" i="12"/>
  <c r="L29" i="12"/>
  <c r="M29" i="12"/>
  <c r="N29" i="12"/>
  <c r="L17" i="12"/>
  <c r="M17" i="12"/>
  <c r="N17" i="12"/>
  <c r="L40" i="12"/>
  <c r="M40" i="12"/>
  <c r="N40" i="12"/>
  <c r="L22" i="12"/>
  <c r="M22" i="12"/>
  <c r="N22" i="12"/>
  <c r="L33" i="12"/>
  <c r="M33" i="12"/>
  <c r="N33" i="12"/>
  <c r="Y7" i="11"/>
  <c r="Y4" i="11"/>
  <c r="Z4" i="11"/>
  <c r="X4" i="11"/>
  <c r="L25" i="10"/>
  <c r="M10" i="9"/>
  <c r="L10" i="9"/>
  <c r="F10" i="9"/>
  <c r="G11" i="9"/>
  <c r="H11" i="9"/>
  <c r="F7" i="8"/>
  <c r="G34" i="7"/>
  <c r="H34" i="7"/>
  <c r="G33" i="7"/>
  <c r="G32" i="7"/>
  <c r="G35" i="7"/>
  <c r="F13" i="7"/>
  <c r="G13" i="7"/>
  <c r="F14" i="6"/>
  <c r="F9" i="6"/>
  <c r="F16" i="6"/>
  <c r="F13" i="6"/>
  <c r="F10" i="6"/>
  <c r="F15" i="6"/>
  <c r="F11" i="6"/>
  <c r="F17" i="6"/>
  <c r="F12" i="6"/>
  <c r="I26" i="4"/>
  <c r="I25" i="4"/>
  <c r="H30" i="4"/>
  <c r="H29" i="4"/>
  <c r="H28" i="4"/>
  <c r="I42" i="4"/>
  <c r="H24" i="4"/>
  <c r="I41" i="4"/>
  <c r="H40" i="4"/>
  <c r="S76" i="3"/>
  <c r="R76" i="3"/>
  <c r="Q77" i="3"/>
  <c r="T77" i="3"/>
  <c r="G86" i="3"/>
  <c r="I87" i="3"/>
  <c r="J87" i="3"/>
  <c r="F79" i="3"/>
  <c r="H79" i="3"/>
  <c r="G91" i="3"/>
  <c r="G89" i="3"/>
  <c r="I90" i="3"/>
  <c r="J90" i="3"/>
  <c r="G82" i="3"/>
  <c r="I83" i="3"/>
  <c r="J83" i="3"/>
  <c r="G87" i="3"/>
  <c r="I88" i="3"/>
  <c r="J88" i="3"/>
  <c r="N77" i="3"/>
  <c r="L77" i="3"/>
  <c r="H84" i="3"/>
  <c r="I85" i="3"/>
  <c r="J85" i="3"/>
  <c r="M76" i="3"/>
  <c r="F80" i="3"/>
  <c r="G85" i="3"/>
  <c r="I86" i="3"/>
  <c r="J86" i="3"/>
  <c r="G90" i="3"/>
  <c r="I91" i="3"/>
  <c r="J91" i="3"/>
  <c r="G83" i="3"/>
  <c r="I84" i="3"/>
  <c r="J84" i="3"/>
  <c r="F81" i="3"/>
  <c r="S43" i="3"/>
  <c r="R43" i="3"/>
  <c r="T44" i="3"/>
  <c r="F22" i="3"/>
  <c r="H22" i="3"/>
  <c r="F46" i="3"/>
  <c r="G46" i="3"/>
  <c r="T43" i="3"/>
  <c r="F54" i="3"/>
  <c r="H54" i="3"/>
  <c r="Q44" i="3"/>
  <c r="M43" i="3"/>
  <c r="N44" i="3"/>
  <c r="G54" i="3"/>
  <c r="H56" i="3"/>
  <c r="G58" i="3"/>
  <c r="G51" i="3"/>
  <c r="I52" i="3"/>
  <c r="J52" i="3"/>
  <c r="G50" i="3"/>
  <c r="H50" i="3"/>
  <c r="F48" i="3"/>
  <c r="H48" i="3"/>
  <c r="F58" i="3"/>
  <c r="F56" i="3"/>
  <c r="G56" i="3"/>
  <c r="I57" i="3"/>
  <c r="J57" i="3"/>
  <c r="H58" i="3"/>
  <c r="F55" i="3"/>
  <c r="H55" i="3"/>
  <c r="N43" i="3"/>
  <c r="G55" i="3"/>
  <c r="F53" i="3"/>
  <c r="F52" i="3"/>
  <c r="H52" i="3"/>
  <c r="G53" i="3"/>
  <c r="G52" i="3"/>
  <c r="H53" i="3"/>
  <c r="F49" i="3"/>
  <c r="F47" i="3"/>
  <c r="H47" i="3"/>
  <c r="G48" i="3"/>
  <c r="I49" i="3"/>
  <c r="J49" i="3"/>
  <c r="G47" i="3"/>
  <c r="F57" i="3"/>
  <c r="G57" i="3"/>
  <c r="L18" i="2"/>
  <c r="L11" i="3"/>
  <c r="M11" i="3"/>
  <c r="L12" i="3"/>
  <c r="F25" i="3"/>
  <c r="H25" i="3"/>
  <c r="F18" i="3"/>
  <c r="H18" i="3"/>
  <c r="F15" i="3"/>
  <c r="G15" i="3"/>
  <c r="F24" i="3"/>
  <c r="H24" i="3"/>
  <c r="F23" i="3"/>
  <c r="G23" i="3"/>
  <c r="F14" i="3"/>
  <c r="G14" i="3"/>
  <c r="F17" i="3"/>
  <c r="H17" i="3"/>
  <c r="H23" i="3"/>
  <c r="N11" i="3"/>
  <c r="G22" i="3"/>
  <c r="I23" i="3"/>
  <c r="J23" i="3"/>
  <c r="F20" i="3"/>
  <c r="F21" i="3"/>
  <c r="F26" i="3"/>
  <c r="H26" i="3"/>
  <c r="G25" i="3"/>
  <c r="F19" i="3"/>
  <c r="G19" i="3"/>
  <c r="F16" i="3"/>
  <c r="G16" i="3"/>
  <c r="H9" i="2"/>
  <c r="F18" i="2"/>
  <c r="R16" i="19"/>
  <c r="Q23" i="19"/>
  <c r="R23" i="19"/>
  <c r="Q20" i="19"/>
  <c r="P24" i="19"/>
  <c r="T21" i="19"/>
  <c r="R21" i="19"/>
  <c r="T19" i="19"/>
  <c r="R19" i="19"/>
  <c r="T27" i="19"/>
  <c r="E14" i="17"/>
  <c r="G15" i="17"/>
  <c r="H15" i="17"/>
  <c r="H18" i="17"/>
  <c r="L12" i="15"/>
  <c r="M11" i="15"/>
  <c r="L28" i="12"/>
  <c r="M28" i="12"/>
  <c r="N28" i="12"/>
  <c r="L20" i="12"/>
  <c r="M20" i="12"/>
  <c r="N20" i="12"/>
  <c r="L32" i="12"/>
  <c r="M32" i="12"/>
  <c r="N32" i="12"/>
  <c r="L9" i="12"/>
  <c r="M9" i="12"/>
  <c r="N9" i="12"/>
  <c r="L11" i="12"/>
  <c r="M11" i="12"/>
  <c r="N11" i="12"/>
  <c r="L35" i="12"/>
  <c r="M35" i="12"/>
  <c r="N35" i="12"/>
  <c r="L39" i="12"/>
  <c r="M39" i="12"/>
  <c r="N39" i="12"/>
  <c r="L12" i="12"/>
  <c r="M12" i="12"/>
  <c r="N12" i="12"/>
  <c r="L34" i="12"/>
  <c r="M34" i="12"/>
  <c r="N34" i="12"/>
  <c r="L30" i="12"/>
  <c r="M30" i="12"/>
  <c r="N30" i="12"/>
  <c r="L24" i="12"/>
  <c r="M24" i="12"/>
  <c r="N24" i="12"/>
  <c r="Q8" i="12"/>
  <c r="R9" i="12"/>
  <c r="S9" i="12"/>
  <c r="L8" i="12"/>
  <c r="M8" i="12"/>
  <c r="N8" i="12"/>
  <c r="L7" i="12"/>
  <c r="M7" i="12"/>
  <c r="L43" i="12"/>
  <c r="M43" i="12"/>
  <c r="L42" i="12"/>
  <c r="M42" i="12"/>
  <c r="N42" i="12"/>
  <c r="L19" i="12"/>
  <c r="M19" i="12"/>
  <c r="N19" i="12"/>
  <c r="L31" i="12"/>
  <c r="M31" i="12"/>
  <c r="N31" i="12"/>
  <c r="L21" i="12"/>
  <c r="M21" i="12"/>
  <c r="N21" i="12"/>
  <c r="L27" i="12"/>
  <c r="M27" i="12"/>
  <c r="N27" i="12"/>
  <c r="L26" i="12"/>
  <c r="M26" i="12"/>
  <c r="N26" i="12"/>
  <c r="L13" i="12"/>
  <c r="M13" i="12"/>
  <c r="N13" i="12"/>
  <c r="L25" i="12"/>
  <c r="M25" i="12"/>
  <c r="N25" i="12"/>
  <c r="L37" i="12"/>
  <c r="M37" i="12"/>
  <c r="N37" i="12"/>
  <c r="L18" i="12"/>
  <c r="M18" i="12"/>
  <c r="N18" i="12"/>
  <c r="L15" i="12"/>
  <c r="M15" i="12"/>
  <c r="N15" i="12"/>
  <c r="L36" i="12"/>
  <c r="M36" i="12"/>
  <c r="N36" i="12"/>
  <c r="L38" i="12"/>
  <c r="M38" i="12"/>
  <c r="N38" i="12"/>
  <c r="L14" i="12"/>
  <c r="M14" i="12"/>
  <c r="N14" i="12"/>
  <c r="L10" i="12"/>
  <c r="M10" i="12"/>
  <c r="N10" i="12"/>
  <c r="X5" i="11"/>
  <c r="X6" i="11" s="1"/>
  <c r="Z5" i="11"/>
  <c r="Z6" i="11" s="1"/>
  <c r="AA4" i="11"/>
  <c r="AB4" i="11"/>
  <c r="N12" i="9"/>
  <c r="O12" i="9"/>
  <c r="N11" i="9"/>
  <c r="O11" i="9"/>
  <c r="H35" i="7"/>
  <c r="H32" i="7"/>
  <c r="H33" i="7"/>
  <c r="H14" i="7"/>
  <c r="I14" i="7"/>
  <c r="S77" i="3"/>
  <c r="R77" i="3"/>
  <c r="T78" i="3"/>
  <c r="H81" i="3"/>
  <c r="G81" i="3"/>
  <c r="I82" i="3"/>
  <c r="J82" i="3"/>
  <c r="H80" i="3"/>
  <c r="G80" i="3"/>
  <c r="G79" i="3"/>
  <c r="I80" i="3"/>
  <c r="J80" i="3"/>
  <c r="M77" i="3"/>
  <c r="L78" i="3"/>
  <c r="I51" i="3"/>
  <c r="J51" i="3"/>
  <c r="H46" i="3"/>
  <c r="R44" i="3"/>
  <c r="T45" i="3"/>
  <c r="S44" i="3"/>
  <c r="I56" i="3"/>
  <c r="J56" i="3"/>
  <c r="I47" i="3"/>
  <c r="J47" i="3"/>
  <c r="H57" i="3"/>
  <c r="I58" i="3"/>
  <c r="J58" i="3"/>
  <c r="I53" i="3"/>
  <c r="J53" i="3"/>
  <c r="L44" i="3"/>
  <c r="I48" i="3"/>
  <c r="J48" i="3"/>
  <c r="G49" i="3"/>
  <c r="H49" i="3"/>
  <c r="I55" i="3"/>
  <c r="J55" i="3"/>
  <c r="I54" i="3"/>
  <c r="J54" i="3"/>
  <c r="I24" i="3"/>
  <c r="J24" i="3"/>
  <c r="G18" i="3"/>
  <c r="I19" i="3"/>
  <c r="J19" i="3"/>
  <c r="G17" i="3"/>
  <c r="I18" i="3"/>
  <c r="J18" i="3"/>
  <c r="N12" i="3"/>
  <c r="H14" i="3"/>
  <c r="I15" i="3"/>
  <c r="J15" i="3"/>
  <c r="S11" i="3"/>
  <c r="T12" i="3"/>
  <c r="I26" i="3"/>
  <c r="J26" i="3"/>
  <c r="H16" i="3"/>
  <c r="I17" i="3"/>
  <c r="J17" i="3"/>
  <c r="G24" i="3"/>
  <c r="I25" i="3"/>
  <c r="J25" i="3"/>
  <c r="H19" i="3"/>
  <c r="I20" i="3"/>
  <c r="J20" i="3"/>
  <c r="H15" i="3"/>
  <c r="I16" i="3"/>
  <c r="J16" i="3"/>
  <c r="H20" i="3"/>
  <c r="G20" i="3"/>
  <c r="I21" i="3"/>
  <c r="J21" i="3"/>
  <c r="G21" i="3"/>
  <c r="H21" i="3"/>
  <c r="G26" i="3"/>
  <c r="M12" i="3"/>
  <c r="L13" i="3"/>
  <c r="I9" i="2"/>
  <c r="H10" i="2"/>
  <c r="Q24" i="19"/>
  <c r="R24" i="19"/>
  <c r="R20" i="19"/>
  <c r="S22" i="19"/>
  <c r="U22" i="19"/>
  <c r="V22" i="19"/>
  <c r="T20" i="19"/>
  <c r="L13" i="15"/>
  <c r="M12" i="15"/>
  <c r="F9" i="13"/>
  <c r="G9" i="13"/>
  <c r="N45" i="12"/>
  <c r="W9" i="12"/>
  <c r="X9" i="12"/>
  <c r="N13" i="9"/>
  <c r="O13" i="9"/>
  <c r="G13" i="9"/>
  <c r="H13" i="9"/>
  <c r="G12" i="9"/>
  <c r="H12" i="9"/>
  <c r="I45" i="7"/>
  <c r="J45" i="7"/>
  <c r="I47" i="7"/>
  <c r="J47" i="7"/>
  <c r="I46" i="7"/>
  <c r="J46" i="7"/>
  <c r="H15" i="7"/>
  <c r="I15" i="7"/>
  <c r="I32" i="7"/>
  <c r="J32" i="7"/>
  <c r="I36" i="7"/>
  <c r="J36" i="7"/>
  <c r="K36" i="7"/>
  <c r="I33" i="7"/>
  <c r="J33" i="7"/>
  <c r="K33" i="7"/>
  <c r="I34" i="7"/>
  <c r="J34" i="7"/>
  <c r="K34" i="7"/>
  <c r="I35" i="7"/>
  <c r="J35" i="7"/>
  <c r="K35" i="7"/>
  <c r="I37" i="7"/>
  <c r="J37" i="7"/>
  <c r="K37" i="7"/>
  <c r="I38" i="7"/>
  <c r="J38" i="7"/>
  <c r="K38" i="7"/>
  <c r="I44" i="7"/>
  <c r="J44" i="7"/>
  <c r="I39" i="7"/>
  <c r="J39" i="7"/>
  <c r="K39" i="7"/>
  <c r="I41" i="7"/>
  <c r="J41" i="7"/>
  <c r="K41" i="7"/>
  <c r="I40" i="7"/>
  <c r="J40" i="7"/>
  <c r="K40" i="7"/>
  <c r="I43" i="7"/>
  <c r="J43" i="7"/>
  <c r="K43" i="7"/>
  <c r="I42" i="7"/>
  <c r="J42" i="7"/>
  <c r="K42" i="7"/>
  <c r="H16" i="7"/>
  <c r="I16" i="7"/>
  <c r="Q78" i="3"/>
  <c r="M78" i="3"/>
  <c r="N79" i="3"/>
  <c r="L79" i="3"/>
  <c r="N78" i="3"/>
  <c r="I81" i="3"/>
  <c r="J81" i="3"/>
  <c r="J96" i="3"/>
  <c r="I59" i="3"/>
  <c r="I60" i="3"/>
  <c r="I61" i="3"/>
  <c r="Q45" i="3"/>
  <c r="M44" i="3"/>
  <c r="L45" i="3"/>
  <c r="J63" i="3"/>
  <c r="I50" i="3"/>
  <c r="J50" i="3"/>
  <c r="S12" i="3"/>
  <c r="M13" i="3"/>
  <c r="L14" i="3"/>
  <c r="N13" i="3"/>
  <c r="I28" i="3"/>
  <c r="I27" i="3"/>
  <c r="I29" i="3"/>
  <c r="I22" i="3"/>
  <c r="J22" i="3"/>
  <c r="J31" i="3"/>
  <c r="H11" i="2"/>
  <c r="I10" i="2"/>
  <c r="S19" i="19"/>
  <c r="U19" i="19"/>
  <c r="V19" i="19"/>
  <c r="S23" i="19"/>
  <c r="U23" i="19"/>
  <c r="V23" i="19"/>
  <c r="S11" i="19"/>
  <c r="U11" i="19"/>
  <c r="V11" i="19"/>
  <c r="S24" i="19"/>
  <c r="U24" i="19"/>
  <c r="V24" i="19"/>
  <c r="S20" i="19"/>
  <c r="U20" i="19"/>
  <c r="V20" i="19"/>
  <c r="S15" i="19"/>
  <c r="U15" i="19"/>
  <c r="V15" i="19"/>
  <c r="S25" i="19"/>
  <c r="U25" i="19"/>
  <c r="V25" i="19"/>
  <c r="S17" i="19"/>
  <c r="U17" i="19"/>
  <c r="V17" i="19"/>
  <c r="S18" i="19"/>
  <c r="U18" i="19"/>
  <c r="V18" i="19"/>
  <c r="S12" i="19"/>
  <c r="U12" i="19"/>
  <c r="V12" i="19"/>
  <c r="R33" i="19"/>
  <c r="S21" i="19"/>
  <c r="U21" i="19"/>
  <c r="V21" i="19"/>
  <c r="S27" i="19"/>
  <c r="U27" i="19"/>
  <c r="F41" i="19"/>
  <c r="F45" i="19"/>
  <c r="R32" i="19"/>
  <c r="S26" i="19"/>
  <c r="U26" i="19"/>
  <c r="S14" i="19"/>
  <c r="U14" i="19"/>
  <c r="V14" i="19"/>
  <c r="S28" i="19"/>
  <c r="U28" i="19"/>
  <c r="G41" i="19"/>
  <c r="G45" i="19"/>
  <c r="S16" i="19"/>
  <c r="U16" i="19"/>
  <c r="V16" i="19"/>
  <c r="S29" i="19"/>
  <c r="U29" i="19"/>
  <c r="H41" i="19"/>
  <c r="H45" i="19"/>
  <c r="S13" i="19"/>
  <c r="U13" i="19"/>
  <c r="V13" i="19"/>
  <c r="S30" i="19"/>
  <c r="U30" i="19"/>
  <c r="I41" i="19"/>
  <c r="I45" i="19"/>
  <c r="L14" i="15"/>
  <c r="M13" i="15"/>
  <c r="F10" i="13"/>
  <c r="G10" i="13"/>
  <c r="R10" i="12"/>
  <c r="S10" i="12"/>
  <c r="N14" i="9"/>
  <c r="O14" i="9"/>
  <c r="G14" i="9"/>
  <c r="H14" i="9"/>
  <c r="K46" i="7"/>
  <c r="S78" i="3"/>
  <c r="R78" i="3"/>
  <c r="T79" i="3"/>
  <c r="Q79" i="3"/>
  <c r="M79" i="3"/>
  <c r="N80" i="3"/>
  <c r="O80" i="3"/>
  <c r="L80" i="3"/>
  <c r="S45" i="3"/>
  <c r="R45" i="3"/>
  <c r="Q46" i="3"/>
  <c r="T46" i="3"/>
  <c r="M45" i="3"/>
  <c r="N46" i="3"/>
  <c r="N45" i="3"/>
  <c r="T13" i="3"/>
  <c r="Q13" i="3"/>
  <c r="R13" i="3"/>
  <c r="M14" i="3"/>
  <c r="L15" i="3"/>
  <c r="N14" i="3"/>
  <c r="H12" i="2"/>
  <c r="I11" i="2"/>
  <c r="I58" i="19"/>
  <c r="I46" i="19"/>
  <c r="I48" i="19"/>
  <c r="I49" i="19"/>
  <c r="I57" i="19"/>
  <c r="H46" i="19"/>
  <c r="H48" i="19"/>
  <c r="H49" i="19"/>
  <c r="H57" i="19"/>
  <c r="H58" i="19"/>
  <c r="I59" i="19"/>
  <c r="G58" i="19"/>
  <c r="G57" i="19"/>
  <c r="G60" i="19"/>
  <c r="H59" i="19"/>
  <c r="K45" i="19"/>
  <c r="G46" i="19"/>
  <c r="G59" i="19"/>
  <c r="F46" i="19"/>
  <c r="V26" i="19"/>
  <c r="E41" i="19"/>
  <c r="E45" i="19"/>
  <c r="E46" i="19"/>
  <c r="V34" i="19"/>
  <c r="L15" i="15"/>
  <c r="M14" i="15"/>
  <c r="F11" i="13"/>
  <c r="G11" i="13"/>
  <c r="R11" i="12"/>
  <c r="S11" i="12"/>
  <c r="W10" i="12"/>
  <c r="X10" i="12"/>
  <c r="W11" i="12"/>
  <c r="X11" i="12"/>
  <c r="N15" i="9"/>
  <c r="O15" i="9"/>
  <c r="G15" i="9"/>
  <c r="H15" i="9"/>
  <c r="H17" i="7"/>
  <c r="I17" i="7"/>
  <c r="S79" i="3"/>
  <c r="R79" i="3"/>
  <c r="Q80" i="3"/>
  <c r="M80" i="3"/>
  <c r="N81" i="3"/>
  <c r="O81" i="3"/>
  <c r="L81" i="3"/>
  <c r="T14" i="3"/>
  <c r="S13" i="3"/>
  <c r="S46" i="3"/>
  <c r="R46" i="3"/>
  <c r="Q47" i="3"/>
  <c r="L46" i="3"/>
  <c r="Q14" i="3"/>
  <c r="R14" i="3"/>
  <c r="M15" i="3"/>
  <c r="L16" i="3"/>
  <c r="N15" i="3"/>
  <c r="O15" i="3"/>
  <c r="H13" i="2"/>
  <c r="I12" i="2"/>
  <c r="F48" i="19"/>
  <c r="F49" i="19"/>
  <c r="H62" i="19"/>
  <c r="H65" i="19"/>
  <c r="K46" i="19"/>
  <c r="G48" i="19"/>
  <c r="I62" i="19"/>
  <c r="I65" i="19"/>
  <c r="E48" i="19"/>
  <c r="E49" i="19"/>
  <c r="G62" i="19"/>
  <c r="G65" i="19"/>
  <c r="G67" i="19"/>
  <c r="H55" i="19"/>
  <c r="H50" i="19"/>
  <c r="H51" i="19"/>
  <c r="I50" i="19"/>
  <c r="I51" i="19"/>
  <c r="H60" i="19"/>
  <c r="I60" i="19"/>
  <c r="L16" i="15"/>
  <c r="M15" i="15"/>
  <c r="F12" i="13"/>
  <c r="G12" i="13"/>
  <c r="R12" i="12"/>
  <c r="S12" i="12"/>
  <c r="N16" i="9"/>
  <c r="O16" i="9"/>
  <c r="G16" i="9"/>
  <c r="H16" i="9"/>
  <c r="H18" i="7"/>
  <c r="I18" i="7"/>
  <c r="S80" i="3"/>
  <c r="R80" i="3"/>
  <c r="T81" i="3"/>
  <c r="U81" i="3"/>
  <c r="Q81" i="3"/>
  <c r="T80" i="3"/>
  <c r="U80" i="3"/>
  <c r="M81" i="3"/>
  <c r="N82" i="3"/>
  <c r="O82" i="3"/>
  <c r="L82" i="3"/>
  <c r="T15" i="3"/>
  <c r="U15" i="3"/>
  <c r="S14" i="3"/>
  <c r="S47" i="3"/>
  <c r="R47" i="3"/>
  <c r="T48" i="3"/>
  <c r="U48" i="3"/>
  <c r="Q48" i="3"/>
  <c r="T47" i="3"/>
  <c r="U47" i="3"/>
  <c r="M46" i="3"/>
  <c r="L47" i="3"/>
  <c r="N47" i="3"/>
  <c r="O47" i="3"/>
  <c r="Q15" i="3"/>
  <c r="R15" i="3"/>
  <c r="S15" i="3"/>
  <c r="M16" i="3"/>
  <c r="L17" i="3"/>
  <c r="N16" i="3"/>
  <c r="O16" i="3"/>
  <c r="H14" i="2"/>
  <c r="I13" i="2"/>
  <c r="E50" i="19"/>
  <c r="E51" i="19"/>
  <c r="H67" i="19"/>
  <c r="I55" i="19"/>
  <c r="I67" i="19"/>
  <c r="K48" i="19"/>
  <c r="G49" i="19"/>
  <c r="F50" i="19"/>
  <c r="F51" i="19"/>
  <c r="L17" i="15"/>
  <c r="M16" i="15"/>
  <c r="F13" i="13"/>
  <c r="G13" i="13"/>
  <c r="R13" i="12"/>
  <c r="S13" i="12"/>
  <c r="W12" i="12"/>
  <c r="X12" i="12"/>
  <c r="N17" i="9"/>
  <c r="O17" i="9"/>
  <c r="G17" i="9"/>
  <c r="H17" i="9"/>
  <c r="H19" i="7"/>
  <c r="I19" i="7"/>
  <c r="S81" i="3"/>
  <c r="R81" i="3"/>
  <c r="Q82" i="3"/>
  <c r="M82" i="3"/>
  <c r="N83" i="3"/>
  <c r="O83" i="3"/>
  <c r="L83" i="3"/>
  <c r="T16" i="3"/>
  <c r="U16" i="3"/>
  <c r="S48" i="3"/>
  <c r="R48" i="3"/>
  <c r="T49" i="3"/>
  <c r="U49" i="3"/>
  <c r="Q49" i="3"/>
  <c r="M47" i="3"/>
  <c r="L48" i="3"/>
  <c r="Q16" i="3"/>
  <c r="R16" i="3"/>
  <c r="T17" i="3"/>
  <c r="U17" i="3"/>
  <c r="S16" i="3"/>
  <c r="M17" i="3"/>
  <c r="N18" i="3"/>
  <c r="O18" i="3"/>
  <c r="N17" i="3"/>
  <c r="O17" i="3"/>
  <c r="H15" i="2"/>
  <c r="I14" i="2"/>
  <c r="K49" i="19"/>
  <c r="G50" i="19"/>
  <c r="K50" i="19"/>
  <c r="G51" i="19"/>
  <c r="K51" i="19"/>
  <c r="L18" i="15"/>
  <c r="M17" i="15"/>
  <c r="F14" i="13"/>
  <c r="G14" i="13"/>
  <c r="R14" i="12"/>
  <c r="S14" i="12"/>
  <c r="N18" i="9"/>
  <c r="O18" i="9"/>
  <c r="G18" i="9"/>
  <c r="H18" i="9"/>
  <c r="G20" i="7"/>
  <c r="H20" i="7"/>
  <c r="I20" i="7"/>
  <c r="S82" i="3"/>
  <c r="R82" i="3"/>
  <c r="T83" i="3"/>
  <c r="U83" i="3"/>
  <c r="T82" i="3"/>
  <c r="U82" i="3"/>
  <c r="M83" i="3"/>
  <c r="N84" i="3"/>
  <c r="O84" i="3"/>
  <c r="L84" i="3"/>
  <c r="S49" i="3"/>
  <c r="R49" i="3"/>
  <c r="T50" i="3"/>
  <c r="U50" i="3"/>
  <c r="Q50" i="3"/>
  <c r="M48" i="3"/>
  <c r="N49" i="3"/>
  <c r="O49" i="3"/>
  <c r="L49" i="3"/>
  <c r="N48" i="3"/>
  <c r="O48" i="3"/>
  <c r="Q17" i="3"/>
  <c r="R17" i="3"/>
  <c r="S17" i="3"/>
  <c r="T18" i="3"/>
  <c r="U18" i="3"/>
  <c r="L18" i="3"/>
  <c r="H16" i="2"/>
  <c r="I15" i="2"/>
  <c r="I18" i="2"/>
  <c r="L19" i="15"/>
  <c r="M18" i="15"/>
  <c r="F15" i="13"/>
  <c r="G15" i="13"/>
  <c r="R15" i="12"/>
  <c r="S15" i="12"/>
  <c r="W13" i="12"/>
  <c r="X13" i="12"/>
  <c r="N19" i="9"/>
  <c r="O19" i="9"/>
  <c r="G19" i="9"/>
  <c r="H19" i="9"/>
  <c r="H24" i="7"/>
  <c r="G21" i="7"/>
  <c r="H21" i="7"/>
  <c r="I21" i="7"/>
  <c r="Q83" i="3"/>
  <c r="M84" i="3"/>
  <c r="N85" i="3"/>
  <c r="O85" i="3"/>
  <c r="L85" i="3"/>
  <c r="R50" i="3"/>
  <c r="T51" i="3"/>
  <c r="U51" i="3"/>
  <c r="S50" i="3"/>
  <c r="Q51" i="3"/>
  <c r="M49" i="3"/>
  <c r="N50" i="3"/>
  <c r="O50" i="3"/>
  <c r="L50" i="3"/>
  <c r="Q18" i="3"/>
  <c r="R18" i="3"/>
  <c r="S18" i="3"/>
  <c r="T19" i="3"/>
  <c r="U19" i="3"/>
  <c r="M18" i="3"/>
  <c r="L19" i="3"/>
  <c r="L20" i="15"/>
  <c r="M19" i="15"/>
  <c r="F16" i="13"/>
  <c r="G16" i="13"/>
  <c r="R16" i="12"/>
  <c r="S16" i="12"/>
  <c r="W14" i="12"/>
  <c r="X14" i="12"/>
  <c r="W15" i="12"/>
  <c r="X15" i="12"/>
  <c r="N20" i="9"/>
  <c r="O20" i="9"/>
  <c r="G20" i="9"/>
  <c r="H20" i="9"/>
  <c r="H25" i="7"/>
  <c r="G22" i="7"/>
  <c r="H22" i="7"/>
  <c r="I22" i="7"/>
  <c r="R83" i="3"/>
  <c r="S83" i="3"/>
  <c r="T84" i="3"/>
  <c r="U84" i="3"/>
  <c r="Q84" i="3"/>
  <c r="M85" i="3"/>
  <c r="N86" i="3"/>
  <c r="O86" i="3"/>
  <c r="L86" i="3"/>
  <c r="S51" i="3"/>
  <c r="R51" i="3"/>
  <c r="T52" i="3"/>
  <c r="U52" i="3"/>
  <c r="Q52" i="3"/>
  <c r="M50" i="3"/>
  <c r="L51" i="3"/>
  <c r="N51" i="3"/>
  <c r="O51" i="3"/>
  <c r="Q19" i="3"/>
  <c r="R19" i="3"/>
  <c r="M19" i="3"/>
  <c r="L20" i="3"/>
  <c r="N19" i="3"/>
  <c r="O19" i="3"/>
  <c r="L21" i="15"/>
  <c r="M20" i="15"/>
  <c r="E17" i="13"/>
  <c r="F20" i="13"/>
  <c r="F21" i="13"/>
  <c r="F19" i="13"/>
  <c r="F18" i="13"/>
  <c r="F17" i="13"/>
  <c r="G17" i="13"/>
  <c r="G23" i="13"/>
  <c r="R17" i="12"/>
  <c r="S17" i="12"/>
  <c r="N21" i="9"/>
  <c r="O21" i="9"/>
  <c r="G21" i="9"/>
  <c r="H21" i="9"/>
  <c r="H26" i="7"/>
  <c r="F23" i="7"/>
  <c r="G23" i="7"/>
  <c r="H27" i="7"/>
  <c r="H23" i="7"/>
  <c r="I23" i="7"/>
  <c r="I26" i="7"/>
  <c r="R84" i="3"/>
  <c r="S84" i="3"/>
  <c r="T85" i="3"/>
  <c r="U85" i="3"/>
  <c r="Q85" i="3"/>
  <c r="M86" i="3"/>
  <c r="N87" i="3"/>
  <c r="O87" i="3"/>
  <c r="L87" i="3"/>
  <c r="S52" i="3"/>
  <c r="R52" i="3"/>
  <c r="T53" i="3"/>
  <c r="U53" i="3"/>
  <c r="Q53" i="3"/>
  <c r="M51" i="3"/>
  <c r="N52" i="3"/>
  <c r="O52" i="3"/>
  <c r="L52" i="3"/>
  <c r="S19" i="3"/>
  <c r="T20" i="3"/>
  <c r="U20" i="3"/>
  <c r="M20" i="3"/>
  <c r="L21" i="3"/>
  <c r="N20" i="3"/>
  <c r="O20" i="3"/>
  <c r="L22" i="15"/>
  <c r="M21" i="15"/>
  <c r="R18" i="12"/>
  <c r="S18" i="12"/>
  <c r="W16" i="12"/>
  <c r="X16" i="12"/>
  <c r="N22" i="9"/>
  <c r="O22" i="9"/>
  <c r="G22" i="9"/>
  <c r="H22" i="9"/>
  <c r="S85" i="3"/>
  <c r="R85" i="3"/>
  <c r="T86" i="3"/>
  <c r="U86" i="3"/>
  <c r="M87" i="3"/>
  <c r="N88" i="3"/>
  <c r="O88" i="3"/>
  <c r="L88" i="3"/>
  <c r="R53" i="3"/>
  <c r="T54" i="3"/>
  <c r="U54" i="3"/>
  <c r="S53" i="3"/>
  <c r="T59" i="3"/>
  <c r="Q54" i="3"/>
  <c r="M52" i="3"/>
  <c r="N53" i="3"/>
  <c r="O53" i="3"/>
  <c r="L53" i="3"/>
  <c r="Q20" i="3"/>
  <c r="R20" i="3"/>
  <c r="S20" i="3"/>
  <c r="T21" i="3"/>
  <c r="U21" i="3"/>
  <c r="M21" i="3"/>
  <c r="L22" i="3"/>
  <c r="N21" i="3"/>
  <c r="O21" i="3"/>
  <c r="L23" i="15"/>
  <c r="M22" i="15"/>
  <c r="R19" i="12"/>
  <c r="S19" i="12"/>
  <c r="W17" i="12"/>
  <c r="X17" i="12"/>
  <c r="N23" i="9"/>
  <c r="O23" i="9"/>
  <c r="G23" i="9"/>
  <c r="H23" i="9"/>
  <c r="Q86" i="3"/>
  <c r="M88" i="3"/>
  <c r="N89" i="3"/>
  <c r="O89" i="3"/>
  <c r="L89" i="3"/>
  <c r="S54" i="3"/>
  <c r="R54" i="3"/>
  <c r="T55" i="3"/>
  <c r="U55" i="3"/>
  <c r="T60" i="3"/>
  <c r="Q55" i="3"/>
  <c r="M53" i="3"/>
  <c r="N54" i="3"/>
  <c r="O54" i="3"/>
  <c r="L54" i="3"/>
  <c r="Q21" i="3"/>
  <c r="R21" i="3"/>
  <c r="S21" i="3"/>
  <c r="M22" i="3"/>
  <c r="L23" i="3"/>
  <c r="N22" i="3"/>
  <c r="O22" i="3"/>
  <c r="L24" i="15"/>
  <c r="M23" i="15"/>
  <c r="R20" i="12"/>
  <c r="S20" i="12"/>
  <c r="W18" i="12"/>
  <c r="X18" i="12"/>
  <c r="N24" i="9"/>
  <c r="O24" i="9"/>
  <c r="G24" i="9"/>
  <c r="H24" i="9"/>
  <c r="M42" i="5"/>
  <c r="S86" i="3"/>
  <c r="R86" i="3"/>
  <c r="T92" i="3"/>
  <c r="T87" i="3"/>
  <c r="U87" i="3"/>
  <c r="Q87" i="3"/>
  <c r="M89" i="3"/>
  <c r="N90" i="3"/>
  <c r="O90" i="3"/>
  <c r="L90" i="3"/>
  <c r="S55" i="3"/>
  <c r="R55" i="3"/>
  <c r="T61" i="3"/>
  <c r="M54" i="3"/>
  <c r="N55" i="3"/>
  <c r="O55" i="3"/>
  <c r="L55" i="3"/>
  <c r="Q22" i="3"/>
  <c r="R22" i="3"/>
  <c r="T27" i="3"/>
  <c r="T22" i="3"/>
  <c r="U22" i="3"/>
  <c r="M23" i="3"/>
  <c r="L24" i="3"/>
  <c r="N23" i="3"/>
  <c r="O23" i="3"/>
  <c r="L25" i="15"/>
  <c r="M24" i="15"/>
  <c r="R21" i="12"/>
  <c r="S21" i="12"/>
  <c r="N25" i="9"/>
  <c r="O25" i="9"/>
  <c r="G25" i="9"/>
  <c r="H25" i="9"/>
  <c r="M43" i="5"/>
  <c r="S87" i="3"/>
  <c r="R87" i="3"/>
  <c r="T88" i="3"/>
  <c r="U88" i="3"/>
  <c r="T93" i="3"/>
  <c r="Q88" i="3"/>
  <c r="M90" i="3"/>
  <c r="N91" i="3"/>
  <c r="O91" i="3"/>
  <c r="O96" i="3"/>
  <c r="L91" i="3"/>
  <c r="M91" i="3"/>
  <c r="Q56" i="3"/>
  <c r="T56" i="3"/>
  <c r="U56" i="3"/>
  <c r="T23" i="3"/>
  <c r="U23" i="3"/>
  <c r="S22" i="3"/>
  <c r="T28" i="3"/>
  <c r="R56" i="3"/>
  <c r="S56" i="3"/>
  <c r="T57" i="3"/>
  <c r="U57" i="3"/>
  <c r="Q57" i="3"/>
  <c r="M55" i="3"/>
  <c r="L56" i="3"/>
  <c r="Q23" i="3"/>
  <c r="R23" i="3"/>
  <c r="S23" i="3"/>
  <c r="M24" i="3"/>
  <c r="L25" i="3"/>
  <c r="N24" i="3"/>
  <c r="O24" i="3"/>
  <c r="L26" i="15"/>
  <c r="M25" i="15"/>
  <c r="R22" i="12"/>
  <c r="S22" i="12"/>
  <c r="N26" i="9"/>
  <c r="O26" i="9"/>
  <c r="G26" i="9"/>
  <c r="H26" i="9"/>
  <c r="S88" i="3"/>
  <c r="R88" i="3"/>
  <c r="T94" i="3"/>
  <c r="Q89" i="3"/>
  <c r="N56" i="3"/>
  <c r="O56" i="3"/>
  <c r="T24" i="3"/>
  <c r="U24" i="3"/>
  <c r="S57" i="3"/>
  <c r="R57" i="3"/>
  <c r="T58" i="3"/>
  <c r="U58" i="3"/>
  <c r="U63" i="3"/>
  <c r="M56" i="3"/>
  <c r="L57" i="3"/>
  <c r="Q24" i="3"/>
  <c r="R24" i="3"/>
  <c r="S24" i="3"/>
  <c r="T25" i="3"/>
  <c r="U25" i="3"/>
  <c r="T29" i="3"/>
  <c r="M25" i="3"/>
  <c r="N26" i="3"/>
  <c r="O26" i="3"/>
  <c r="O31" i="3"/>
  <c r="N25" i="3"/>
  <c r="O25" i="3"/>
  <c r="L27" i="15"/>
  <c r="M26" i="15"/>
  <c r="R23" i="12"/>
  <c r="S23" i="12"/>
  <c r="W19" i="12"/>
  <c r="X19" i="12"/>
  <c r="W20" i="12"/>
  <c r="X20" i="12"/>
  <c r="N27" i="9"/>
  <c r="O27" i="9"/>
  <c r="G27" i="9"/>
  <c r="H27" i="9"/>
  <c r="L44" i="5"/>
  <c r="M44" i="5"/>
  <c r="S89" i="3"/>
  <c r="R89" i="3"/>
  <c r="T90" i="3"/>
  <c r="U90" i="3"/>
  <c r="Q90" i="3"/>
  <c r="T89" i="3"/>
  <c r="U89" i="3"/>
  <c r="Q58" i="3"/>
  <c r="M57" i="3"/>
  <c r="N58" i="3"/>
  <c r="O58" i="3"/>
  <c r="L58" i="3"/>
  <c r="M58" i="3"/>
  <c r="N57" i="3"/>
  <c r="O57" i="3"/>
  <c r="Q25" i="3"/>
  <c r="R25" i="3"/>
  <c r="S25" i="3"/>
  <c r="T26" i="3"/>
  <c r="U26" i="3"/>
  <c r="U31" i="3"/>
  <c r="L26" i="3"/>
  <c r="L28" i="15"/>
  <c r="M27" i="15"/>
  <c r="R24" i="12"/>
  <c r="S24" i="12"/>
  <c r="W21" i="12"/>
  <c r="X21" i="12"/>
  <c r="N28" i="9"/>
  <c r="O28" i="9"/>
  <c r="G28" i="9"/>
  <c r="H28" i="9"/>
  <c r="S90" i="3"/>
  <c r="R90" i="3"/>
  <c r="T91" i="3"/>
  <c r="U91" i="3"/>
  <c r="U96" i="3"/>
  <c r="Q91" i="3"/>
  <c r="O63" i="3"/>
  <c r="S58" i="3"/>
  <c r="R58" i="3"/>
  <c r="Q26" i="3"/>
  <c r="R26" i="3"/>
  <c r="S26" i="3"/>
  <c r="M26" i="3"/>
  <c r="N59" i="3"/>
  <c r="N29" i="3"/>
  <c r="N28" i="3"/>
  <c r="N27" i="3"/>
  <c r="L29" i="15"/>
  <c r="M28" i="15"/>
  <c r="R25" i="12"/>
  <c r="S25" i="12"/>
  <c r="N29" i="9"/>
  <c r="O29" i="9"/>
  <c r="G29" i="9"/>
  <c r="H29" i="9"/>
  <c r="R91" i="3"/>
  <c r="S91" i="3"/>
  <c r="N60" i="3"/>
  <c r="N61" i="3"/>
  <c r="L30" i="15"/>
  <c r="M29" i="15"/>
  <c r="R26" i="12"/>
  <c r="S26" i="12"/>
  <c r="W22" i="12"/>
  <c r="X22" i="12"/>
  <c r="N30" i="9"/>
  <c r="O30" i="9"/>
  <c r="G30" i="9"/>
  <c r="H30" i="9"/>
  <c r="L31" i="15"/>
  <c r="M30" i="15"/>
  <c r="R27" i="12"/>
  <c r="S27" i="12"/>
  <c r="W23" i="12"/>
  <c r="X23" i="12"/>
  <c r="N31" i="9"/>
  <c r="O31" i="9"/>
  <c r="G31" i="9"/>
  <c r="H31" i="9"/>
  <c r="L32" i="15"/>
  <c r="M31" i="15"/>
  <c r="R28" i="12"/>
  <c r="S28" i="12"/>
  <c r="N32" i="9"/>
  <c r="O32" i="9"/>
  <c r="G32" i="9"/>
  <c r="H32" i="9"/>
  <c r="L33" i="15"/>
  <c r="M32" i="15"/>
  <c r="R29" i="12"/>
  <c r="S29" i="12"/>
  <c r="W24" i="12"/>
  <c r="X24" i="12"/>
  <c r="M33" i="9"/>
  <c r="N33" i="9"/>
  <c r="O33" i="9"/>
  <c r="G33" i="9"/>
  <c r="H33" i="9"/>
  <c r="L34" i="15"/>
  <c r="M33" i="15"/>
  <c r="R30" i="12"/>
  <c r="S30" i="12"/>
  <c r="M34" i="9"/>
  <c r="N37" i="9"/>
  <c r="N34" i="9"/>
  <c r="O34" i="9"/>
  <c r="G34" i="9"/>
  <c r="H34" i="9"/>
  <c r="M34" i="15"/>
  <c r="M41" i="15"/>
  <c r="M46" i="15"/>
  <c r="L35" i="15"/>
  <c r="R31" i="12"/>
  <c r="S31" i="12"/>
  <c r="W25" i="12"/>
  <c r="X25" i="12"/>
  <c r="M35" i="9"/>
  <c r="N35" i="9"/>
  <c r="O35" i="9"/>
  <c r="N38" i="9"/>
  <c r="G35" i="9"/>
  <c r="H35" i="9"/>
  <c r="R32" i="12"/>
  <c r="S32" i="12"/>
  <c r="W26" i="12"/>
  <c r="X26" i="12"/>
  <c r="N39" i="9"/>
  <c r="N36" i="9"/>
  <c r="O36" i="9"/>
  <c r="O42" i="9"/>
  <c r="L36" i="9"/>
  <c r="M36" i="9"/>
  <c r="N40" i="9"/>
  <c r="F36" i="9"/>
  <c r="G38" i="9"/>
  <c r="G37" i="9"/>
  <c r="G40" i="9"/>
  <c r="G39" i="9"/>
  <c r="G36" i="9"/>
  <c r="R33" i="12"/>
  <c r="S33" i="12"/>
  <c r="H36" i="9"/>
  <c r="H42" i="9"/>
  <c r="R34" i="12"/>
  <c r="S34" i="12"/>
  <c r="W27" i="12"/>
  <c r="X27" i="12"/>
  <c r="R35" i="12"/>
  <c r="S35" i="12"/>
  <c r="R36" i="12"/>
  <c r="S36" i="12"/>
  <c r="W28" i="12"/>
  <c r="X28" i="12"/>
  <c r="R37" i="12"/>
  <c r="S37" i="12"/>
  <c r="W29" i="12"/>
  <c r="X29" i="12"/>
  <c r="W30" i="12"/>
  <c r="X30" i="12"/>
  <c r="R38" i="12"/>
  <c r="S38" i="12"/>
  <c r="R39" i="12"/>
  <c r="S39" i="12"/>
  <c r="R40" i="12"/>
  <c r="S40" i="12"/>
  <c r="W31" i="12"/>
  <c r="X31" i="12"/>
  <c r="W32" i="12"/>
  <c r="X32" i="12"/>
  <c r="R41" i="12"/>
  <c r="S41" i="12"/>
  <c r="Q42" i="12"/>
  <c r="R43" i="12"/>
  <c r="R42" i="12"/>
  <c r="S42" i="12"/>
  <c r="S45" i="12"/>
  <c r="W33" i="12"/>
  <c r="X33" i="12"/>
  <c r="W34" i="12"/>
  <c r="X34" i="12"/>
  <c r="W35" i="12"/>
  <c r="X35" i="12"/>
  <c r="W36" i="12"/>
  <c r="X36" i="12"/>
  <c r="W37" i="12"/>
  <c r="X37" i="12"/>
  <c r="W38" i="12"/>
  <c r="X38" i="12"/>
  <c r="W39" i="12"/>
  <c r="X39" i="12"/>
  <c r="W41" i="12"/>
  <c r="X41" i="12"/>
  <c r="W40" i="12"/>
  <c r="X40" i="12"/>
  <c r="W42" i="12"/>
  <c r="X42" i="12"/>
  <c r="X45" i="12"/>
  <c r="V52" i="12"/>
  <c r="V42" i="12"/>
  <c r="W43" i="12"/>
  <c r="AA6" i="11" l="1"/>
  <c r="Z7" i="11"/>
  <c r="AA7" i="11" s="1"/>
  <c r="AB6" i="11"/>
  <c r="X7" i="11"/>
  <c r="AB7" i="11" s="1"/>
  <c r="AA5" i="11"/>
  <c r="AB5" i="11" s="1"/>
  <c r="S10" i="10"/>
  <c r="T10" i="10" s="1"/>
  <c r="P10" i="10"/>
  <c r="R9" i="10"/>
  <c r="Q10" i="10" l="1"/>
  <c r="P11" i="10" s="1"/>
  <c r="R10" i="10"/>
  <c r="S11" i="10" l="1"/>
  <c r="T11" i="10" s="1"/>
  <c r="R11" i="10"/>
  <c r="Q11" i="10"/>
  <c r="S12" i="10" s="1"/>
  <c r="T12" i="10" s="1"/>
  <c r="P12" i="10" l="1"/>
  <c r="R12" i="10" s="1"/>
  <c r="Q12" i="10" l="1"/>
  <c r="S13" i="10" s="1"/>
  <c r="T13" i="10" s="1"/>
  <c r="P13" i="10"/>
  <c r="Q13" i="10" l="1"/>
  <c r="S14" i="10" s="1"/>
  <c r="T14" i="10" s="1"/>
  <c r="R13" i="10"/>
  <c r="P14" i="10" l="1"/>
  <c r="Q14" i="10" s="1"/>
  <c r="R14" i="10" l="1"/>
  <c r="P15" i="10"/>
  <c r="S15" i="10"/>
  <c r="T15" i="10" s="1"/>
  <c r="R15" i="10"/>
  <c r="Q15" i="10"/>
  <c r="S16" i="10" s="1"/>
  <c r="T16" i="10" s="1"/>
  <c r="P16" i="10" l="1"/>
  <c r="Q16" i="10" s="1"/>
  <c r="S17" i="10" s="1"/>
  <c r="T17" i="10" s="1"/>
  <c r="R16" i="10" l="1"/>
  <c r="P17" i="10"/>
  <c r="Q17" i="10" s="1"/>
  <c r="S20" i="10"/>
  <c r="W8" i="10" s="1"/>
  <c r="Y8" i="10" s="1"/>
  <c r="Z8" i="10" s="1"/>
  <c r="R17" i="10" l="1"/>
  <c r="AA8" i="10"/>
  <c r="AB8" i="10" s="1"/>
  <c r="S18" i="10"/>
  <c r="T18" i="10" s="1"/>
  <c r="P18" i="10"/>
  <c r="S21" i="10"/>
  <c r="W9" i="10" s="1"/>
  <c r="Y9" i="10" s="1"/>
  <c r="AA9" i="10" s="1"/>
  <c r="AB9" i="10" s="1"/>
  <c r="AC8" i="10"/>
  <c r="AD8" i="10" s="1"/>
  <c r="Q18" i="10"/>
  <c r="S19" i="10" s="1"/>
  <c r="T19" i="10" s="1"/>
  <c r="T25" i="10" s="1"/>
  <c r="O30" i="10" s="1"/>
  <c r="R18" i="10"/>
  <c r="P19" i="10" l="1"/>
  <c r="S22" i="10"/>
  <c r="W10" i="10" s="1"/>
  <c r="Y10" i="10" s="1"/>
  <c r="AA10" i="10" s="1"/>
  <c r="AB10" i="10" s="1"/>
  <c r="AC10" i="10" s="1"/>
  <c r="Z9" i="10"/>
  <c r="R19" i="10"/>
  <c r="Q19" i="10"/>
  <c r="S23" i="10" s="1"/>
  <c r="AC9" i="10"/>
  <c r="Z10" i="10" l="1"/>
  <c r="AD10" i="10"/>
  <c r="AD9" i="10"/>
</calcChain>
</file>

<file path=xl/sharedStrings.xml><?xml version="1.0" encoding="utf-8"?>
<sst xmlns="http://schemas.openxmlformats.org/spreadsheetml/2006/main" count="1365" uniqueCount="373">
  <si>
    <t>Año</t>
  </si>
  <si>
    <t>Valor (P)</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</si>
  <si>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</si>
  <si>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</si>
  <si>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</si>
  <si>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</si>
  <si>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</si>
  <si>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</si>
  <si>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</si>
  <si>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</si>
  <si>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</si>
  <si>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</si>
  <si>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</si>
  <si>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</si>
  <si>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</si>
  <si>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</si>
  <si>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</si>
  <si>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</si>
  <si>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</si>
  <si>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</si>
  <si>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</si>
  <si>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</si>
  <si>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</si>
  <si>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</si>
  <si>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</si>
  <si>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</si>
  <si>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Podemos usar la regresión como método de estimación de la tendencia ya que se tienen coeficientes de correlación y determinación buenos</t>
  </si>
  <si>
    <t>Pronóstico</t>
  </si>
  <si>
    <t>Para el décimo año se espera este valor para el peso mexicano</t>
  </si>
  <si>
    <t>Mes</t>
  </si>
  <si>
    <t>Demanda</t>
  </si>
  <si>
    <t>Promedio Móvil con n de 3</t>
  </si>
  <si>
    <t xml:space="preserve"> --</t>
  </si>
  <si>
    <t>EMC</t>
  </si>
  <si>
    <t>Suavización Exponencial</t>
  </si>
  <si>
    <t>Alfa</t>
  </si>
  <si>
    <t>RESIDUAL OUTPUT</t>
  </si>
  <si>
    <t>Observation</t>
  </si>
  <si>
    <t>Predicted Demanda</t>
  </si>
  <si>
    <t>Residuals</t>
  </si>
  <si>
    <t>Regresión Lineal</t>
  </si>
  <si>
    <t>R/ Aunque la regresión lineal tenga el error medio cuadrado menor, este método de pronóstico queda descartado ya que sus coeficientes de correlación y de determinación son INACEPTABLES, por lo que el modelo de pronóstico que se selecciona es el de Suavización Exponencial con un alfa de 20%</t>
  </si>
  <si>
    <t>NO SE HACE</t>
  </si>
  <si>
    <t>Bimestre</t>
  </si>
  <si>
    <t>Unidades de A</t>
  </si>
  <si>
    <t>Unidades de B</t>
  </si>
  <si>
    <t>Unidades de C</t>
  </si>
  <si>
    <t>E-F 2021</t>
  </si>
  <si>
    <t>M-A 2021</t>
  </si>
  <si>
    <t>M-J 2021</t>
  </si>
  <si>
    <t>J-A 2021</t>
  </si>
  <si>
    <t>S-O 2021</t>
  </si>
  <si>
    <t>N-D 2021</t>
  </si>
  <si>
    <t>E-F 2022</t>
  </si>
  <si>
    <t>M-A 2022</t>
  </si>
  <si>
    <t>M-J 2022</t>
  </si>
  <si>
    <t>J-A 2022</t>
  </si>
  <si>
    <t>S-O 2022</t>
  </si>
  <si>
    <t>N-D 2022</t>
  </si>
  <si>
    <t>E-F 2023</t>
  </si>
  <si>
    <t>M-A 2023</t>
  </si>
  <si>
    <t>M-J 2023</t>
  </si>
  <si>
    <t>J-A 2023</t>
  </si>
  <si>
    <t>S-O 2023</t>
  </si>
  <si>
    <t>N-D 2023</t>
  </si>
  <si>
    <t>E-F 2024</t>
  </si>
  <si>
    <t>M-A 2024</t>
  </si>
  <si>
    <t>Como debemos de pronosticar hasta tres periodos en el futuro, debemos de seleccionar aquellos métodos de pronóstico que nos permitan pronosticar varios periodos en el futuro.  Esos métodos serían: Promedio Móvil Doble, Método de Holt y el Método de Winter</t>
  </si>
  <si>
    <t>ALFA</t>
  </si>
  <si>
    <t>BETA</t>
  </si>
  <si>
    <t>GAMMA</t>
  </si>
  <si>
    <t>PROMEDIO MÓVIL DOBLE</t>
  </si>
  <si>
    <t>M</t>
  </si>
  <si>
    <t>M`</t>
  </si>
  <si>
    <t xml:space="preserve">   --</t>
  </si>
  <si>
    <t>at</t>
  </si>
  <si>
    <t>bt</t>
  </si>
  <si>
    <t>n =</t>
  </si>
  <si>
    <t>Método de Holt</t>
  </si>
  <si>
    <t>At</t>
  </si>
  <si>
    <t>Tt</t>
  </si>
  <si>
    <t>DMA</t>
  </si>
  <si>
    <t>Método de Winters</t>
  </si>
  <si>
    <t>St</t>
  </si>
  <si>
    <t>L =</t>
  </si>
  <si>
    <t>t</t>
  </si>
  <si>
    <t>N-D 2020</t>
  </si>
  <si>
    <t>E-F 2020</t>
  </si>
  <si>
    <t>M-A 2020</t>
  </si>
  <si>
    <t>M-J 2020</t>
  </si>
  <si>
    <t>J-A 2020</t>
  </si>
  <si>
    <t>S-O 2020</t>
  </si>
  <si>
    <t>R/ Para las unidades de A el pronóstico que mejor se ajusta es el método de Winters, para las unidades de B el método de pronóstico que mejor se ajusta es el Promedio Móvil Doble y para las unidades del producto C el método de pronóstico que mejor se ajusta es el método de Holt.</t>
  </si>
  <si>
    <t>Trimestres</t>
  </si>
  <si>
    <t>Años</t>
  </si>
  <si>
    <t>51.6</t>
  </si>
  <si>
    <t>88.8</t>
  </si>
  <si>
    <t>61.4</t>
  </si>
  <si>
    <t>53.2</t>
  </si>
  <si>
    <t>137.0</t>
  </si>
  <si>
    <t>61.6</t>
  </si>
  <si>
    <t>53.4</t>
  </si>
  <si>
    <t>49.8</t>
  </si>
  <si>
    <t>185.2</t>
  </si>
  <si>
    <t>108.3</t>
  </si>
  <si>
    <t>118.7</t>
  </si>
  <si>
    <t>86.0</t>
  </si>
  <si>
    <t>158.4</t>
  </si>
  <si>
    <t>107.1</t>
  </si>
  <si>
    <t>92.5</t>
  </si>
  <si>
    <t>84.8</t>
  </si>
  <si>
    <t>149.8</t>
  </si>
  <si>
    <t>101.1</t>
  </si>
  <si>
    <t>88.6</t>
  </si>
  <si>
    <t>68.7</t>
  </si>
  <si>
    <t>136.8</t>
  </si>
  <si>
    <t>94.2</t>
  </si>
  <si>
    <t>82.3</t>
  </si>
  <si>
    <t>71.6</t>
  </si>
  <si>
    <t>136.1</t>
  </si>
  <si>
    <t>92.4</t>
  </si>
  <si>
    <t>82.5</t>
  </si>
  <si>
    <t>70.7</t>
  </si>
  <si>
    <t>¿?</t>
  </si>
  <si>
    <t>Trimestre</t>
  </si>
  <si>
    <t>Ventas</t>
  </si>
  <si>
    <t>I</t>
  </si>
  <si>
    <t>II</t>
  </si>
  <si>
    <t>III</t>
  </si>
  <si>
    <t>IV</t>
  </si>
  <si>
    <t>?</t>
  </si>
  <si>
    <t>SUAVIZACIÓN EXPONENCIAL</t>
  </si>
  <si>
    <t>Valor Atenuado</t>
  </si>
  <si>
    <t>a) El método de pronóstico que mejor se ajusta es la Suavización Exponencial con un alfa de 10%.</t>
  </si>
  <si>
    <t>b)</t>
  </si>
  <si>
    <t>54.8</t>
  </si>
  <si>
    <t>130.4</t>
  </si>
  <si>
    <t>73.3</t>
  </si>
  <si>
    <t>69.2</t>
  </si>
  <si>
    <t>58.2</t>
  </si>
  <si>
    <t>134.4</t>
  </si>
  <si>
    <t>78.7</t>
  </si>
  <si>
    <t>61.7</t>
  </si>
  <si>
    <t>137.9</t>
  </si>
  <si>
    <t>84.1</t>
  </si>
  <si>
    <t>77.5</t>
  </si>
  <si>
    <t>65.1</t>
  </si>
  <si>
    <t>145.5</t>
  </si>
  <si>
    <t>89.4</t>
  </si>
  <si>
    <t>81.6</t>
  </si>
  <si>
    <t>68.6</t>
  </si>
  <si>
    <t>149.3</t>
  </si>
  <si>
    <t>94.8</t>
  </si>
  <si>
    <t>85.7</t>
  </si>
  <si>
    <t>72.0</t>
  </si>
  <si>
    <t>155.3</t>
  </si>
  <si>
    <t>100.2</t>
  </si>
  <si>
    <t>89.9</t>
  </si>
  <si>
    <t>75.5</t>
  </si>
  <si>
    <t>159.3</t>
  </si>
  <si>
    <t>105.6</t>
  </si>
  <si>
    <t>94.0</t>
  </si>
  <si>
    <t>78.9</t>
  </si>
  <si>
    <t>161.6</t>
  </si>
  <si>
    <t>111.0</t>
  </si>
  <si>
    <t>89.1</t>
  </si>
  <si>
    <t>Value Line</t>
  </si>
  <si>
    <t>Observado el gráfico el pronóstico de los expertos de Value Line parece mucho más apropiado que el que se habñia seleccionado en el punto a.  Sería conveniente calcular el EMC para el prnóstico de Value Line sólo para confirmar lo que ya podemos ver de forma gráfica.</t>
  </si>
  <si>
    <t>En kilos</t>
  </si>
  <si>
    <t xml:space="preserve"> </t>
  </si>
  <si>
    <t>Beta</t>
  </si>
  <si>
    <t>Gamma</t>
  </si>
  <si>
    <t>L</t>
  </si>
  <si>
    <t>n</t>
  </si>
  <si>
    <t>Promedio Móvil Doble</t>
  </si>
  <si>
    <t>Observando el gráfico del comportamiento histórico de las ventas se recomienda utilizar los métodos de HOLT (por la clara tendencia de los datos) y el método de Winters (que inlcuye tendencia y nos puede ayudar con la aparente estacionalidad de los datos)
Además como se desea pronosticar varios periodos en el futuro, el otro método de series de tiempo que podría hacerlo sería el Promedio Móvil Doble, con un  n de 4.</t>
  </si>
  <si>
    <t>R/ El método de pronóstico que mejor se ajusta a los datos es el Promedio Móvil Doble ya que es el que tiene el EMC menor.</t>
  </si>
  <si>
    <t>Periodos</t>
  </si>
  <si>
    <t>Ojo, coeficientes INACEPTABLES</t>
  </si>
  <si>
    <t>Regresión</t>
  </si>
  <si>
    <t>Promedio Móvil</t>
  </si>
  <si>
    <t>Atenuación Exponencial</t>
  </si>
  <si>
    <t>EPMA</t>
  </si>
  <si>
    <t>Ventas Promedio</t>
  </si>
  <si>
    <t>Aunque la Regresión Lineal tenga el menor EMPA o MAPE, se debe de descartar como método de pronóstico para esta serie de datos, ya que los coeficientes de correlación y de determinación no superan el 30%.  Por lo que el método seleccionado para pronosticar esta serie de datos sería el Promedio Móvil ya que tiene el menor EMPA en relación a la Atenación Exponencial.</t>
  </si>
  <si>
    <t>Galones</t>
  </si>
  <si>
    <t>Promedio trimestres</t>
  </si>
  <si>
    <t>Factor Estacional</t>
  </si>
  <si>
    <t>Promedio general</t>
  </si>
  <si>
    <t>Demanda desestacionalizada</t>
  </si>
  <si>
    <t>Estimación de Tendencia</t>
  </si>
  <si>
    <t>Pronóstico Final</t>
  </si>
  <si>
    <t>Descomposición de la Serie de Tiempo</t>
  </si>
  <si>
    <t>Periodo</t>
  </si>
  <si>
    <t>Demanda Real</t>
  </si>
  <si>
    <t>DESCOMPOSICIÓN DE LA SERIE DE TIEMPO</t>
  </si>
  <si>
    <t>OJO, los coeficientes de correlación y determinación son muy bajos por lo que NO tenemos una buena estimación de la tendencia</t>
  </si>
  <si>
    <t>Año 1</t>
  </si>
  <si>
    <t>I Trimestre</t>
  </si>
  <si>
    <t>Año 5</t>
  </si>
  <si>
    <t>II Trimestre</t>
  </si>
  <si>
    <t>III Trimestre</t>
  </si>
  <si>
    <t>IV Trimestre</t>
  </si>
  <si>
    <t>Año 2</t>
  </si>
  <si>
    <t>Año 6</t>
  </si>
  <si>
    <t>Año 3</t>
  </si>
  <si>
    <t>Año 7</t>
  </si>
  <si>
    <t>Año 4</t>
  </si>
  <si>
    <t>Año 8</t>
  </si>
  <si>
    <t>Ventas promedio</t>
  </si>
  <si>
    <t>OJO</t>
  </si>
  <si>
    <r>
      <rPr>
        <b/>
        <sz val="14"/>
        <color rgb="FFFF0000"/>
        <rFont val="Arial"/>
        <family val="2"/>
      </rPr>
      <t xml:space="preserve">R/ </t>
    </r>
    <r>
      <rPr>
        <b/>
        <sz val="14"/>
        <color theme="1"/>
        <rFont val="Arial"/>
        <family val="2"/>
      </rPr>
      <t>Debemos de utilizar el método de Winters para pronosticar las ventas de esta empresa, ya que es el método de pronóstico que mejor se ajusta a los datos.</t>
    </r>
  </si>
  <si>
    <t>Enero</t>
  </si>
  <si>
    <t>Febrero</t>
  </si>
  <si>
    <t>Marzo</t>
  </si>
  <si>
    <t>Abril</t>
  </si>
  <si>
    <t>Mayo</t>
  </si>
  <si>
    <t>Junio</t>
  </si>
  <si>
    <t>Julio</t>
  </si>
  <si>
    <t>Agosto</t>
  </si>
  <si>
    <t>Setiembre</t>
  </si>
  <si>
    <t>Octubre</t>
  </si>
  <si>
    <t>Noviembre</t>
  </si>
  <si>
    <t>Diciembre</t>
  </si>
  <si>
    <t>Ventas Mensuales</t>
  </si>
  <si>
    <t>Ventas Trimestrales</t>
  </si>
  <si>
    <t>Método de Winters con valores optimizados</t>
  </si>
  <si>
    <t>Variables</t>
  </si>
  <si>
    <t>Solución</t>
  </si>
  <si>
    <t>F.O.</t>
  </si>
  <si>
    <t>X1</t>
  </si>
  <si>
    <t>X2</t>
  </si>
  <si>
    <t>X3</t>
  </si>
  <si>
    <t>Restricciones</t>
  </si>
  <si>
    <t>Utilizado</t>
  </si>
  <si>
    <t>Relación</t>
  </si>
  <si>
    <t>&lt;=</t>
  </si>
  <si>
    <t>Límite</t>
  </si>
  <si>
    <t>Real</t>
  </si>
  <si>
    <t>Desviación</t>
  </si>
  <si>
    <t>RSFE</t>
  </si>
  <si>
    <t>Desviación Absoluta</t>
  </si>
  <si>
    <t>Sumatoria</t>
  </si>
  <si>
    <t>MAD</t>
  </si>
  <si>
    <t>TS</t>
  </si>
  <si>
    <r>
      <rPr>
        <b/>
        <sz val="12"/>
        <color rgb="FFFF0000"/>
        <rFont val="Arial"/>
        <family val="2"/>
      </rPr>
      <t xml:space="preserve">R/ </t>
    </r>
    <r>
      <rPr>
        <b/>
        <sz val="12"/>
        <color theme="1"/>
        <rFont val="Arial"/>
        <family val="2"/>
      </rPr>
      <t>La mejor opción es utilizar los valores de atenuación optimizados ya que logramos un mejor ajuste de los datos.  La señal de rastreo se encuentra dentro de los parámetros aceptables, por lo que la variabilidad observada se debe al componente aleatorio de las ventas.</t>
    </r>
  </si>
  <si>
    <t>MT</t>
  </si>
  <si>
    <t>MT´</t>
  </si>
  <si>
    <t>Promedios</t>
  </si>
  <si>
    <t>Tendencia</t>
  </si>
  <si>
    <r>
      <rPr>
        <b/>
        <sz val="12"/>
        <color rgb="FFFF0000"/>
        <rFont val="Arial"/>
        <family val="2"/>
      </rPr>
      <t xml:space="preserve">R/ </t>
    </r>
    <r>
      <rPr>
        <b/>
        <sz val="12"/>
        <color theme="1"/>
        <rFont val="Arial"/>
        <family val="2"/>
      </rPr>
      <t>Para esta serie de datos el método de pronóstico que mejor se ajusta es la descomposición de la serie de tiempos ya que tiene el error medio cuadrado menor.</t>
    </r>
  </si>
  <si>
    <t>Demanda Desestacionalizada</t>
  </si>
  <si>
    <t>Señal de Rastreo</t>
  </si>
  <si>
    <t>Descomposición de la Serie de Tiempos</t>
  </si>
  <si>
    <t>Método de Holt con valores optimizados</t>
  </si>
  <si>
    <t>Estación</t>
  </si>
  <si>
    <t xml:space="preserve">Promedio </t>
  </si>
  <si>
    <t>X Variable 1</t>
  </si>
  <si>
    <t>R/ No hay un buen ajuste de tendencia ya que los índices de Correlación y Determinación son pésimos, esto quiere decir que no hay una tendencia clara en los datos, pero si hay una estacionalidad clara por lo que se recomienda sólo aplicar los índices estacionales.</t>
  </si>
  <si>
    <t>I Bimestre</t>
  </si>
  <si>
    <t>II Bimestre</t>
  </si>
  <si>
    <t>III Bimestre</t>
  </si>
  <si>
    <t>IV Bimestre</t>
  </si>
  <si>
    <t>V Bimestre</t>
  </si>
  <si>
    <t>VI Bimestre</t>
  </si>
  <si>
    <t>Este sería el alfa óptimo</t>
  </si>
  <si>
    <t>DESCOMPOSICIÓN DE LA SERIE DE TIEMPOS</t>
  </si>
  <si>
    <t>R/ El método que mejor se ajusta es el de la descomposición de la serie de tiempo, pero esto se debe a que este método toma en cuenta la tendencia de los datos, mientras que Promedio Móvil doble y Suavización Exponencial son métodos de pronóstico diseñados para datos estacionarios, es decir, que no tengan tendencia.  Podemos ver que los índices de Correlación y Determinación de la regresión para estimar la tendencia son excelentes, lo que indica que los valores se ajustan casi de forma perfecta a la linea de regresión. 
Si es muy importante indicar que para estos datos NO era necesario utilizar la descomposición de la series de tiempo, ya que este método es para datos con tendencia y con estacionalidad y estas ventas NO tienen estacionalidad, tal y como podemos observar en los factores estacionales.  Con una Regresión lineal simple hubiera sido más que suficiente.</t>
  </si>
  <si>
    <t>Excelente</t>
  </si>
  <si>
    <t>Tipo de Cambio</t>
  </si>
  <si>
    <t>M'</t>
  </si>
  <si>
    <t>a</t>
  </si>
  <si>
    <t>b</t>
  </si>
  <si>
    <t>Y</t>
  </si>
  <si>
    <t>Junio 2011</t>
  </si>
  <si>
    <t>Julio 2011</t>
  </si>
  <si>
    <t>Agosto 2011</t>
  </si>
  <si>
    <t>Setiembre 2011</t>
  </si>
  <si>
    <t>Octubre 2011</t>
  </si>
  <si>
    <t>Noviembre 2011</t>
  </si>
  <si>
    <t>Diciembre 2011</t>
  </si>
  <si>
    <t>Enero 2012</t>
  </si>
  <si>
    <t>Febrero 2012</t>
  </si>
  <si>
    <t>Marzo 2012</t>
  </si>
  <si>
    <t>Abril 2012</t>
  </si>
  <si>
    <t>Mayo 2012</t>
  </si>
  <si>
    <t>Junio 2012</t>
  </si>
  <si>
    <t>2 pts</t>
  </si>
  <si>
    <t>Promedio Móvil Ponderado</t>
  </si>
  <si>
    <t>Promedio Simple</t>
  </si>
  <si>
    <t>B)</t>
  </si>
  <si>
    <t>Con Promedio Móvil Ponderado</t>
  </si>
  <si>
    <t>Empresa A</t>
  </si>
  <si>
    <t>Importación</t>
  </si>
  <si>
    <t>Cuenta por pagar en dólares</t>
  </si>
  <si>
    <t>Cuenta por pagar en colones</t>
  </si>
  <si>
    <t>Pérdida cambiaria</t>
  </si>
  <si>
    <t>4 pts</t>
  </si>
  <si>
    <t>R/Al tener que pagar 30 días después, necesito de ¢141,833.33 de más por los mismos $100,000. Un incremento del 0.28% en el costo de las materias primas en 30 días.  Es decir incurrió en una perdida cambiaria.</t>
  </si>
  <si>
    <t>Con Promedio Móvil Simple</t>
  </si>
  <si>
    <t>R/Al tener que pagar 30 días después, necesito de ¢304,166.67 de más por los mismos $100,000. Un incremento del 0.59% en el costo de las materias primas en 30 días.  Es decir incurrió en una perdida cambiaria.</t>
  </si>
  <si>
    <t>DIJA</t>
  </si>
  <si>
    <t>Acción 1</t>
  </si>
  <si>
    <t>Acción 2</t>
  </si>
  <si>
    <t>Pronóstico DIJA</t>
  </si>
  <si>
    <t>Pronóstico Acción 1</t>
  </si>
  <si>
    <t>Pronóstico Acción 2</t>
  </si>
  <si>
    <t>Coeficientes</t>
  </si>
  <si>
    <t>Enero 2014</t>
  </si>
  <si>
    <t>Intercepción</t>
  </si>
  <si>
    <t>Febrero 2014</t>
  </si>
  <si>
    <t>Marzo 2014</t>
  </si>
  <si>
    <t>Estadísticas de la regresión</t>
  </si>
  <si>
    <t>Abril 2014</t>
  </si>
  <si>
    <t>Coeficiente de correlación múltiple</t>
  </si>
  <si>
    <t>Mayo 2014</t>
  </si>
  <si>
    <t>Coeficiente de determinación R^2</t>
  </si>
  <si>
    <t>Junio 2014</t>
  </si>
  <si>
    <t>Julio 2014</t>
  </si>
  <si>
    <t>Agosto 2014</t>
  </si>
  <si>
    <t>Setiembre 2014</t>
  </si>
  <si>
    <t>Octubre 2014</t>
  </si>
  <si>
    <t>Noviembre 2014</t>
  </si>
  <si>
    <t>Diciembre 2014</t>
  </si>
  <si>
    <t>Enero 2015</t>
  </si>
  <si>
    <t>Precio de compra</t>
  </si>
  <si>
    <t>Inversión en acciones a Ene 2015</t>
  </si>
  <si>
    <t>Ingreso por venta de acciones en Ago 2015</t>
  </si>
  <si>
    <t>Ganancia</t>
  </si>
  <si>
    <t>No debería de hacerse el pronóstico de la acción 1 ya que la regresión no se ajusta por lo que se descarta esta acción del todo, NO puedo usar el DIJA para ver qué va a pasar con el precio de ella.</t>
  </si>
  <si>
    <t>Dinero</t>
  </si>
  <si>
    <t>--</t>
  </si>
  <si>
    <t>WINTERS</t>
  </si>
  <si>
    <t xml:space="preserve"> Alfa </t>
  </si>
  <si>
    <t xml:space="preserve"> Beta </t>
  </si>
  <si>
    <t>Gama</t>
  </si>
  <si>
    <t>Yt</t>
  </si>
  <si>
    <t xml:space="preserve"> At </t>
  </si>
  <si>
    <t xml:space="preserve"> Tt </t>
  </si>
  <si>
    <t xml:space="preserve"> ^Y </t>
  </si>
  <si>
    <t>miles</t>
  </si>
  <si>
    <t xml:space="preserve"> miles  </t>
  </si>
  <si>
    <t>uds</t>
  </si>
  <si>
    <t xml:space="preserve"> Uds </t>
  </si>
  <si>
    <t xml:space="preserve"> EMC = </t>
  </si>
  <si>
    <t>Factor</t>
  </si>
  <si>
    <t>Pronostico</t>
  </si>
  <si>
    <t>Trim.</t>
  </si>
  <si>
    <t>estacional</t>
  </si>
  <si>
    <t>Destac.</t>
  </si>
  <si>
    <t>Regresion Lineal</t>
  </si>
  <si>
    <t>Final</t>
  </si>
  <si>
    <t>Miles uds</t>
  </si>
  <si>
    <t>Promedio</t>
  </si>
  <si>
    <t>Estado Resultados</t>
  </si>
  <si>
    <t>Segundo</t>
  </si>
  <si>
    <t>Precio/ud</t>
  </si>
  <si>
    <t>CMV</t>
  </si>
  <si>
    <t>Gastos Operación</t>
  </si>
  <si>
    <t>UAI</t>
  </si>
  <si>
    <t>Impuesto/renta</t>
  </si>
  <si>
    <t>UN</t>
  </si>
  <si>
    <t>Flujo de Caja</t>
  </si>
  <si>
    <t>Saldo Efectivo Principio Trim.</t>
  </si>
  <si>
    <t>Más:</t>
  </si>
  <si>
    <t>Entrada Efectivo</t>
  </si>
  <si>
    <t>Mes de venta 80%</t>
  </si>
  <si>
    <t>Mes siguiente del 80%</t>
  </si>
  <si>
    <t>Pago Efectivo</t>
  </si>
  <si>
    <t>Pago Impuesto/Renta</t>
  </si>
  <si>
    <t>Saldo efectivo al final del mes</t>
  </si>
  <si>
    <t>AÑO 23</t>
  </si>
  <si>
    <t>AÑO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</si>
</sst>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3" formatCode="_(* #,##0.00_);_(* \(#,##0.00\);_(* &quot;-&quot;??_);_(@_)"/>
    <numFmt numFmtId="164" formatCode="0.000"/>
    <numFmt numFmtId="165" formatCode="0.0"/>
    <numFmt numFmtId="166" formatCode="0.0000"/>
    <numFmt numFmtId="167" formatCode="0.00000"/>
    <numFmt numFmtId="168" formatCode="_([$$-409]* #,##0.00_);_([$$-409]* \(#,##0.00\);_([$$-409]* &quot;-&quot;??_);_(@_)"/>
    <numFmt numFmtId="169" formatCode="&quot;₡&quot;#,##0.00;[Red]&quot;₡&quot;#,##0.00"/>
    <numFmt numFmtId="170" formatCode="_-[$$-1009]* #,##0.00_-;\-[$$-1009]* #,##0.00_-;_-[$$-1009]* &quot;-&quot;??_-;_-@_-"/>
    <numFmt numFmtId="171" formatCode="_(* #,##0.0000_);_(* \(#,##0.0000\);_(* &quot;-&quot;??_);_(@_)"/>
    <numFmt numFmtId="172" formatCode="_(* #,##0_);_(* \(#,##0\);_(* &quot;-&quot;??_);_(@_)"/>
  </numFmts>
  <fonts count="26" x14ac:knownFonts="1">
    <font>
      <sz val="12"/>
      <color theme="1"/>
      <name val="Aptos Narrow"/>
      <family val="2"/>
      <scheme val="minor"/>
    </font>
    <font>
      <b/>
      <sz val="12"/>
      <color theme="1"/>
      <name val="Aptos Narrow"/>
      <family val="2"/>
      <scheme val="minor"/>
    </font>
    <font>
      <sz val="12"/>
      <color theme="1"/>
      <name val="Calibri"/>
      <family val="2"/>
    </font>
    <font>
      <sz val="12"/>
      <color theme="1"/>
      <name val="Arial"/>
      <family val="2"/>
    </font>
    <font>
      <b/>
      <sz val="12"/>
      <color theme="1"/>
      <name val="Arial"/>
      <family val="2"/>
    </font>
    <font>
      <i/>
      <sz val="12"/>
      <color theme="1"/>
      <name val="Aptos Narrow"/>
      <family val="2"/>
      <scheme val="minor"/>
    </font>
    <font>
      <b/>
      <sz val="12"/>
      <color theme="1"/>
      <name val="Aptos Narrow"/>
      <scheme val="minor"/>
    </font>
    <font>
      <b/>
      <sz val="12"/>
      <color rgb="FFFF0000"/>
      <name val="Aptos Narrow"/>
      <scheme val="minor"/>
    </font>
    <font>
      <sz val="12"/>
      <color rgb="FF000000"/>
      <name val="Arial"/>
      <family val="2"/>
    </font>
    <font>
      <b/>
      <sz val="12"/>
      <color theme="1"/>
      <name val="Calibri"/>
      <family val="2"/>
    </font>
    <font>
      <b/>
      <sz val="12"/>
      <color rgb="FF000000"/>
      <name val="Arial"/>
      <family val="2"/>
    </font>
    <font>
      <sz val="12"/>
      <color theme="1"/>
      <name val="Aptos Narrow"/>
      <family val="2"/>
      <scheme val="minor"/>
    </font>
    <font>
      <i/>
      <sz val="12"/>
      <color theme="1"/>
      <name val="Arial"/>
      <family val="2"/>
    </font>
    <font>
      <b/>
      <sz val="12"/>
      <color rgb="FFFF0000"/>
      <name val="Arial"/>
      <family val="2"/>
    </font>
    <font>
      <b/>
      <sz val="14"/>
      <color theme="1"/>
      <name val="Arial"/>
      <family val="2"/>
    </font>
    <font>
      <b/>
      <sz val="14"/>
      <color rgb="FFFF0000"/>
      <name val="Arial"/>
      <family val="2"/>
    </font>
    <font>
      <b/>
      <sz val="12"/>
      <color theme="3" tint="0.249977111117893"/>
      <name val="Arial"/>
      <family val="2"/>
    </font>
    <font>
      <sz val="12"/>
      <color theme="0"/>
      <name val="Aptos Narrow"/>
      <family val="2"/>
      <scheme val="minor"/>
    </font>
    <font>
      <b/>
      <sz val="12"/>
      <color rgb="FFFF0000"/>
      <name val="Aptos Narrow"/>
      <family val="2"/>
      <scheme val="minor"/>
    </font>
    <font>
      <sz val="10"/>
      <name val="Arial"/>
      <family val="2"/>
    </font>
    <font>
      <i/>
      <sz val="10"/>
      <name val="Arial"/>
      <family val="2"/>
    </font>
    <font>
      <b/>
      <i/>
      <sz val="10"/>
      <name val="Arial"/>
      <family val="2"/>
    </font>
    <font>
      <b/>
      <sz val="10"/>
      <color rgb="FFFF0000"/>
      <name val="Arial"/>
      <family val="2"/>
    </font>
    <font>
      <b/>
      <i/>
      <sz val="12"/>
      <name val="Arial"/>
      <family val="2"/>
    </font>
    <font>
      <sz val="12"/>
      <name val="Arial"/>
      <family val="2"/>
    </font>
    <font>
      <b/>
      <sz val="12"/>
      <name val="Arial"/>
      <family val="2"/>
    </font>
  </fonts>
  <fills count="4">
    <fill>
      <patternFill patternType="none"/>
    </fill>
    <fill>
      <patternFill patternType="gray125"/>
    </fill>
    <fill>
      <patternFill patternType="solid">
        <fgColor rgb="FFFFFF00"/>
        <bgColor indexed="64"/>
      </patternFill>
    </fill>
    <fill>
      <patternFill patternType="solid">
        <fgColor theme="5"/>
        <bgColor indexed="64"/>
      </patternFill>
    </fill>
  </fills>
  <borders count="25">
    <border>
      <left/>
      <right/>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s>
  <cellStyleXfs count="6">
    <xf numFmtId="0" fontId="0"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9" fillId="0" borderId="0"/>
    <xf numFmtId="43" fontId="19" fillId="0" borderId="0" applyFont="0" applyFill="0" applyBorder="0" applyAlignment="0" applyProtection="0"/>
  </cellStyleXfs>
  <cellXfs count="298">
    <xf numFmtId="0" fontId="0" fillId="0" borderId="0" xfId="0"/>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2" xfId="0" applyBorder="1"/>
    <xf numFmtId="0" fontId="5" fillId="0" borderId="3" xfId="0" applyFont="1" applyBorder="1" applyAlignment="1">
      <alignment horizontal="center"/>
    </xf>
    <xf numFmtId="0" fontId="5" fillId="0" borderId="3" xfId="0" applyFont="1" applyBorder="1" applyAlignment="1">
      <alignment horizontal="centerContinuous"/>
    </xf>
    <xf numFmtId="0" fontId="6" fillId="0" borderId="0" xfId="0" applyFont="1"/>
    <xf numFmtId="0" fontId="0" fillId="0" borderId="0" xfId="0" applyAlignment="1">
      <alignment horizontal="center"/>
    </xf>
    <xf numFmtId="0" fontId="6" fillId="0" borderId="0" xfId="0" applyFont="1" applyAlignment="1">
      <alignment horizontal="center"/>
    </xf>
    <xf numFmtId="1" fontId="3" fillId="0" borderId="0" xfId="0" applyNumberFormat="1" applyFont="1" applyAlignment="1">
      <alignment horizontal="center" vertical="center" wrapText="1"/>
    </xf>
    <xf numFmtId="0" fontId="1" fillId="0" borderId="0" xfId="0" applyFont="1"/>
    <xf numFmtId="1" fontId="4" fillId="0" borderId="0" xfId="0" applyNumberFormat="1" applyFont="1" applyAlignment="1">
      <alignment horizontal="center" vertical="center" wrapText="1"/>
    </xf>
    <xf numFmtId="0" fontId="0" fillId="0" borderId="6" xfId="0" applyBorder="1" applyAlignment="1">
      <alignment horizontal="center"/>
    </xf>
    <xf numFmtId="0" fontId="6" fillId="0" borderId="6" xfId="0" applyFont="1" applyBorder="1" applyAlignment="1">
      <alignment horizontal="center"/>
    </xf>
    <xf numFmtId="1" fontId="0" fillId="0" borderId="6" xfId="0" applyNumberFormat="1" applyBorder="1" applyAlignment="1">
      <alignment horizontal="center"/>
    </xf>
    <xf numFmtId="1" fontId="6" fillId="0" borderId="6" xfId="0" applyNumberFormat="1" applyFont="1" applyBorder="1" applyAlignment="1">
      <alignment horizontal="center"/>
    </xf>
    <xf numFmtId="0" fontId="6" fillId="0" borderId="0" xfId="0" applyFont="1" applyAlignment="1">
      <alignment horizontal="center" wrapText="1"/>
    </xf>
    <xf numFmtId="0" fontId="7" fillId="0" borderId="0" xfId="0" applyFont="1"/>
    <xf numFmtId="0" fontId="8" fillId="0" borderId="0" xfId="0" applyFont="1" applyAlignment="1">
      <alignment horizontal="justify"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vertical="center" wrapText="1"/>
    </xf>
    <xf numFmtId="0" fontId="8" fillId="0" borderId="0" xfId="0" applyFont="1" applyAlignment="1">
      <alignment vertical="center" wrapText="1"/>
    </xf>
    <xf numFmtId="0" fontId="10" fillId="0" borderId="0" xfId="0" applyFont="1" applyAlignment="1">
      <alignment horizontal="justify" vertical="center" wrapText="1"/>
    </xf>
    <xf numFmtId="0" fontId="3" fillId="0" borderId="0" xfId="0" applyFont="1"/>
    <xf numFmtId="0" fontId="3" fillId="0" borderId="0" xfId="0" applyFont="1" applyAlignment="1">
      <alignment horizontal="center"/>
    </xf>
    <xf numFmtId="0" fontId="4" fillId="0" borderId="0" xfId="0" applyFont="1"/>
    <xf numFmtId="0" fontId="8" fillId="0" borderId="6" xfId="0" applyFont="1" applyBorder="1" applyAlignment="1">
      <alignment horizontal="right" vertical="center" wrapText="1"/>
    </xf>
    <xf numFmtId="0" fontId="3" fillId="0" borderId="6" xfId="0" applyFont="1" applyBorder="1" applyAlignment="1">
      <alignment horizontal="right"/>
    </xf>
    <xf numFmtId="1" fontId="8" fillId="0" borderId="6" xfId="0" applyNumberFormat="1" applyFont="1" applyBorder="1" applyAlignment="1">
      <alignment vertical="center" wrapText="1"/>
    </xf>
    <xf numFmtId="1" fontId="3" fillId="0" borderId="6" xfId="0" applyNumberFormat="1" applyFont="1" applyBorder="1" applyAlignment="1">
      <alignment horizontal="right"/>
    </xf>
    <xf numFmtId="2" fontId="3" fillId="0" borderId="6" xfId="0" applyNumberFormat="1" applyFont="1" applyBorder="1" applyAlignment="1">
      <alignment horizontal="right"/>
    </xf>
    <xf numFmtId="1" fontId="4" fillId="0" borderId="6" xfId="0" applyNumberFormat="1" applyFont="1" applyBorder="1" applyAlignment="1">
      <alignment horizontal="right"/>
    </xf>
    <xf numFmtId="1" fontId="4" fillId="0" borderId="0" xfId="0" applyNumberFormat="1" applyFont="1" applyAlignment="1">
      <alignment horizontal="right"/>
    </xf>
    <xf numFmtId="1" fontId="6" fillId="0" borderId="6" xfId="0" applyNumberFormat="1" applyFont="1" applyBorder="1"/>
    <xf numFmtId="0" fontId="9" fillId="0" borderId="6" xfId="0" applyFont="1" applyBorder="1" applyAlignment="1">
      <alignment horizontal="center" vertical="center" wrapText="1"/>
    </xf>
    <xf numFmtId="0" fontId="1" fillId="0" borderId="6"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xf>
    <xf numFmtId="0" fontId="3" fillId="0" borderId="6" xfId="0" applyFont="1" applyBorder="1"/>
    <xf numFmtId="2" fontId="3" fillId="0" borderId="6" xfId="0" applyNumberFormat="1" applyFont="1" applyBorder="1"/>
    <xf numFmtId="1" fontId="3" fillId="0" borderId="6" xfId="0" applyNumberFormat="1" applyFont="1" applyBorder="1"/>
    <xf numFmtId="1" fontId="4" fillId="0" borderId="6" xfId="0" applyNumberFormat="1" applyFont="1" applyBorder="1"/>
    <xf numFmtId="1" fontId="6" fillId="0" borderId="0" xfId="0" applyNumberFormat="1" applyFont="1"/>
    <xf numFmtId="1" fontId="6" fillId="2" borderId="6" xfId="0" applyNumberFormat="1" applyFont="1" applyFill="1" applyBorder="1"/>
    <xf numFmtId="9" fontId="1" fillId="0" borderId="0" xfId="1" applyFont="1" applyAlignment="1">
      <alignment horizontal="center"/>
    </xf>
    <xf numFmtId="0" fontId="9" fillId="0" borderId="11" xfId="0" applyFont="1" applyBorder="1" applyAlignment="1">
      <alignment horizontal="center" vertical="center" wrapText="1"/>
    </xf>
    <xf numFmtId="0" fontId="1" fillId="0" borderId="6" xfId="0" applyFont="1" applyBorder="1" applyAlignment="1">
      <alignment horizontal="center"/>
    </xf>
    <xf numFmtId="0" fontId="4"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0" fillId="0" borderId="6" xfId="0" applyBorder="1"/>
    <xf numFmtId="2" fontId="0" fillId="0" borderId="6" xfId="0" applyNumberFormat="1" applyBorder="1" applyAlignment="1">
      <alignment horizontal="center"/>
    </xf>
    <xf numFmtId="2" fontId="6" fillId="0" borderId="6" xfId="0" applyNumberFormat="1" applyFont="1" applyBorder="1"/>
    <xf numFmtId="2" fontId="6" fillId="0" borderId="6" xfId="0" applyNumberFormat="1" applyFont="1" applyBorder="1" applyAlignment="1">
      <alignment horizontal="center"/>
    </xf>
    <xf numFmtId="4" fontId="3" fillId="0" borderId="6" xfId="0" applyNumberFormat="1" applyFont="1" applyBorder="1" applyAlignment="1">
      <alignment horizontal="center" vertical="center" wrapText="1"/>
    </xf>
    <xf numFmtId="4" fontId="0" fillId="0" borderId="6" xfId="0" applyNumberFormat="1" applyBorder="1" applyAlignment="1">
      <alignment horizontal="center"/>
    </xf>
    <xf numFmtId="0" fontId="4" fillId="0" borderId="6" xfId="0" applyFont="1" applyBorder="1" applyAlignment="1">
      <alignment horizontal="center"/>
    </xf>
    <xf numFmtId="0" fontId="3" fillId="0" borderId="6" xfId="0" applyFont="1" applyBorder="1" applyAlignment="1">
      <alignment horizontal="center"/>
    </xf>
    <xf numFmtId="1" fontId="3" fillId="0" borderId="6" xfId="0" applyNumberFormat="1" applyFont="1" applyBorder="1" applyAlignment="1">
      <alignment horizontal="center"/>
    </xf>
    <xf numFmtId="2" fontId="3" fillId="0" borderId="6" xfId="0" applyNumberFormat="1" applyFont="1" applyBorder="1" applyAlignment="1">
      <alignment horizontal="center"/>
    </xf>
    <xf numFmtId="1" fontId="4" fillId="0" borderId="6" xfId="0" applyNumberFormat="1" applyFont="1" applyBorder="1" applyAlignment="1">
      <alignment horizontal="center"/>
    </xf>
    <xf numFmtId="0" fontId="4" fillId="0" borderId="12" xfId="0" applyFont="1" applyBorder="1" applyAlignment="1">
      <alignment horizontal="center" vertical="center"/>
    </xf>
    <xf numFmtId="0" fontId="3" fillId="0" borderId="12" xfId="0" applyFont="1" applyBorder="1" applyAlignment="1">
      <alignment horizontal="center"/>
    </xf>
    <xf numFmtId="2" fontId="3" fillId="0" borderId="12" xfId="0" applyNumberFormat="1" applyFont="1" applyBorder="1" applyAlignment="1">
      <alignment horizontal="center"/>
    </xf>
    <xf numFmtId="0" fontId="4" fillId="0" borderId="13" xfId="0" applyFont="1" applyBorder="1" applyAlignment="1">
      <alignment horizontal="center"/>
    </xf>
    <xf numFmtId="0" fontId="7"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1" fontId="3" fillId="0" borderId="6" xfId="0" applyNumberFormat="1" applyFont="1" applyBorder="1" applyAlignment="1">
      <alignment horizontal="center" vertical="center"/>
    </xf>
    <xf numFmtId="1" fontId="4" fillId="0" borderId="6" xfId="0" applyNumberFormat="1" applyFont="1" applyBorder="1" applyAlignment="1">
      <alignment horizontal="center" vertical="center"/>
    </xf>
    <xf numFmtId="0" fontId="3" fillId="0" borderId="6" xfId="0" applyFont="1" applyBorder="1" applyAlignment="1">
      <alignment horizontal="center" vertical="center"/>
    </xf>
    <xf numFmtId="1" fontId="3" fillId="0" borderId="12" xfId="0" applyNumberFormat="1" applyFont="1" applyBorder="1" applyAlignment="1">
      <alignment horizontal="center" vertical="center"/>
    </xf>
    <xf numFmtId="1" fontId="4" fillId="0" borderId="12"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4" fillId="0" borderId="11"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vertical="center"/>
    </xf>
    <xf numFmtId="164" fontId="3" fillId="0" borderId="11" xfId="0" applyNumberFormat="1" applyFont="1" applyBorder="1" applyAlignment="1">
      <alignment horizontal="center" vertical="center"/>
    </xf>
    <xf numFmtId="1" fontId="3" fillId="0" borderId="0" xfId="0" applyNumberFormat="1" applyFont="1"/>
    <xf numFmtId="164" fontId="0" fillId="0" borderId="0" xfId="0" applyNumberFormat="1"/>
    <xf numFmtId="10" fontId="4" fillId="0" borderId="6" xfId="1" applyNumberFormat="1" applyFont="1" applyBorder="1" applyAlignment="1">
      <alignment horizontal="center"/>
    </xf>
    <xf numFmtId="2" fontId="6" fillId="2" borderId="6" xfId="0" applyNumberFormat="1" applyFont="1" applyFill="1" applyBorder="1"/>
    <xf numFmtId="2" fontId="4" fillId="0" borderId="6" xfId="0" applyNumberFormat="1" applyFont="1" applyBorder="1" applyAlignment="1">
      <alignment horizontal="center"/>
    </xf>
    <xf numFmtId="0" fontId="4" fillId="0" borderId="12" xfId="0" applyFont="1" applyBorder="1" applyAlignment="1">
      <alignment horizontal="left"/>
    </xf>
    <xf numFmtId="1" fontId="4" fillId="0" borderId="11" xfId="0" applyNumberFormat="1" applyFont="1" applyBorder="1" applyAlignment="1">
      <alignment horizontal="center"/>
    </xf>
    <xf numFmtId="2" fontId="3" fillId="0" borderId="0" xfId="0" applyNumberFormat="1" applyFont="1" applyAlignment="1">
      <alignment horizontal="center"/>
    </xf>
    <xf numFmtId="1" fontId="3" fillId="0" borderId="0" xfId="0" applyNumberFormat="1" applyFont="1" applyAlignment="1">
      <alignment horizontal="center"/>
    </xf>
    <xf numFmtId="2" fontId="4" fillId="2" borderId="6" xfId="0" applyNumberFormat="1" applyFont="1" applyFill="1" applyBorder="1" applyAlignment="1">
      <alignment horizontal="center"/>
    </xf>
    <xf numFmtId="0" fontId="3" fillId="0" borderId="11" xfId="0" applyFont="1" applyBorder="1" applyAlignment="1">
      <alignment horizontal="center" vertical="center" wrapText="1"/>
    </xf>
    <xf numFmtId="1" fontId="3" fillId="0" borderId="12" xfId="0" applyNumberFormat="1"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right" vertical="center"/>
    </xf>
    <xf numFmtId="0" fontId="6" fillId="0" borderId="14" xfId="0" applyFont="1" applyBorder="1" applyAlignment="1">
      <alignment horizontal="center"/>
    </xf>
    <xf numFmtId="0" fontId="6" fillId="0" borderId="15" xfId="0" applyFont="1" applyBorder="1" applyAlignment="1">
      <alignment horizontal="center"/>
    </xf>
    <xf numFmtId="0" fontId="4" fillId="0" borderId="6" xfId="0" applyFont="1" applyBorder="1"/>
    <xf numFmtId="164" fontId="3" fillId="0" borderId="6" xfId="0" applyNumberFormat="1" applyFont="1" applyBorder="1" applyAlignment="1">
      <alignment horizontal="center"/>
    </xf>
    <xf numFmtId="0" fontId="3" fillId="0" borderId="17" xfId="0" applyFont="1" applyBorder="1" applyAlignment="1">
      <alignment horizontal="center"/>
    </xf>
    <xf numFmtId="2" fontId="3" fillId="0" borderId="17" xfId="0" applyNumberFormat="1" applyFont="1" applyBorder="1" applyAlignment="1">
      <alignment horizontal="center"/>
    </xf>
    <xf numFmtId="1" fontId="3" fillId="0" borderId="17" xfId="0" applyNumberFormat="1" applyFont="1" applyBorder="1" applyAlignment="1">
      <alignment horizontal="center"/>
    </xf>
    <xf numFmtId="0" fontId="12" fillId="0" borderId="3" xfId="0" applyFont="1" applyBorder="1" applyAlignment="1">
      <alignment horizontal="centerContinuous"/>
    </xf>
    <xf numFmtId="0" fontId="3" fillId="0" borderId="2" xfId="0" applyFont="1" applyBorder="1"/>
    <xf numFmtId="0" fontId="12" fillId="0" borderId="3" xfId="0" applyFont="1" applyBorder="1" applyAlignment="1">
      <alignment horizontal="center"/>
    </xf>
    <xf numFmtId="0" fontId="4" fillId="0" borderId="6" xfId="0" applyFont="1" applyBorder="1" applyAlignment="1">
      <alignment horizontal="left" vertical="center"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5"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3" fillId="0" borderId="18" xfId="0" applyFont="1" applyBorder="1" applyAlignment="1">
      <alignment horizontal="center"/>
    </xf>
    <xf numFmtId="2" fontId="3" fillId="0" borderId="0" xfId="0" applyNumberFormat="1" applyFont="1"/>
    <xf numFmtId="1" fontId="4" fillId="0" borderId="0" xfId="0" applyNumberFormat="1" applyFont="1" applyAlignment="1">
      <alignment horizontal="center"/>
    </xf>
    <xf numFmtId="2" fontId="3" fillId="0" borderId="6" xfId="0" applyNumberFormat="1" applyFont="1" applyBorder="1" applyAlignment="1">
      <alignment horizontal="center" vertical="center"/>
    </xf>
    <xf numFmtId="0" fontId="4" fillId="0" borderId="12" xfId="0" applyFont="1" applyBorder="1" applyAlignment="1">
      <alignment horizontal="center" vertical="center" wrapText="1"/>
    </xf>
    <xf numFmtId="0" fontId="3" fillId="0" borderId="17" xfId="0" applyFont="1" applyBorder="1"/>
    <xf numFmtId="0" fontId="4" fillId="0" borderId="0" xfId="0" applyFont="1" applyAlignment="1">
      <alignment horizontal="left" vertical="center" wrapText="1"/>
    </xf>
    <xf numFmtId="1" fontId="4" fillId="0" borderId="0" xfId="0" applyNumberFormat="1" applyFont="1"/>
    <xf numFmtId="0" fontId="3" fillId="0" borderId="6" xfId="0" applyFont="1" applyBorder="1" applyAlignment="1">
      <alignment horizontal="left" vertical="center" wrapText="1"/>
    </xf>
    <xf numFmtId="0" fontId="4" fillId="0" borderId="6" xfId="0" applyFont="1" applyBorder="1" applyAlignment="1">
      <alignment horizontal="center" wrapText="1"/>
    </xf>
    <xf numFmtId="0" fontId="4" fillId="0" borderId="6" xfId="0" applyFont="1" applyBorder="1" applyAlignment="1">
      <alignment vertical="center"/>
    </xf>
    <xf numFmtId="0" fontId="3" fillId="0" borderId="16" xfId="0" applyFont="1" applyBorder="1" applyAlignment="1">
      <alignment horizontal="center" vertical="center"/>
    </xf>
    <xf numFmtId="4" fontId="6" fillId="0" borderId="6" xfId="0" applyNumberFormat="1" applyFont="1" applyBorder="1"/>
    <xf numFmtId="165" fontId="3" fillId="0" borderId="17" xfId="0" applyNumberFormat="1" applyFont="1" applyBorder="1"/>
    <xf numFmtId="164" fontId="4" fillId="0" borderId="19" xfId="0" applyNumberFormat="1" applyFont="1" applyBorder="1" applyAlignment="1">
      <alignment horizontal="center"/>
    </xf>
    <xf numFmtId="164" fontId="4" fillId="0" borderId="20" xfId="0" applyNumberFormat="1" applyFont="1" applyBorder="1" applyAlignment="1">
      <alignment horizontal="center"/>
    </xf>
    <xf numFmtId="4" fontId="3" fillId="0" borderId="6" xfId="0" applyNumberFormat="1" applyFont="1" applyBorder="1" applyAlignment="1">
      <alignment horizontal="right"/>
    </xf>
    <xf numFmtId="0" fontId="16" fillId="0" borderId="6" xfId="0" applyFont="1" applyBorder="1" applyAlignment="1">
      <alignment horizontal="center"/>
    </xf>
    <xf numFmtId="4" fontId="16" fillId="0" borderId="6" xfId="0" applyNumberFormat="1" applyFont="1" applyBorder="1" applyAlignment="1">
      <alignment horizontal="center"/>
    </xf>
    <xf numFmtId="0" fontId="3" fillId="0" borderId="6" xfId="0" applyFont="1" applyBorder="1" applyAlignment="1">
      <alignment vertical="center" wrapText="1"/>
    </xf>
    <xf numFmtId="2" fontId="4" fillId="0" borderId="6" xfId="0" applyNumberFormat="1" applyFont="1" applyBorder="1"/>
    <xf numFmtId="165" fontId="3" fillId="0" borderId="0" xfId="0" applyNumberFormat="1" applyFont="1"/>
    <xf numFmtId="0" fontId="4" fillId="0" borderId="22" xfId="0" applyFont="1" applyBorder="1" applyAlignment="1">
      <alignment horizontal="center" vertical="center"/>
    </xf>
    <xf numFmtId="0" fontId="3" fillId="0" borderId="22" xfId="0" applyFont="1" applyBorder="1" applyAlignment="1">
      <alignment horizontal="center"/>
    </xf>
    <xf numFmtId="1" fontId="3" fillId="0" borderId="11" xfId="0" applyNumberFormat="1" applyFont="1" applyBorder="1" applyAlignment="1">
      <alignment horizontal="center"/>
    </xf>
    <xf numFmtId="0" fontId="3" fillId="0" borderId="0" xfId="0" applyFont="1" applyAlignment="1">
      <alignment horizontal="right"/>
    </xf>
    <xf numFmtId="165" fontId="4" fillId="0" borderId="0" xfId="0" applyNumberFormat="1" applyFont="1"/>
    <xf numFmtId="1" fontId="0" fillId="0" borderId="0" xfId="0" applyNumberFormat="1"/>
    <xf numFmtId="0" fontId="17" fillId="3" borderId="0" xfId="2" applyFont="1" applyFill="1"/>
    <xf numFmtId="0" fontId="11" fillId="3" borderId="0" xfId="2" applyFill="1"/>
    <xf numFmtId="0" fontId="11" fillId="0" borderId="0" xfId="2"/>
    <xf numFmtId="0" fontId="1" fillId="0" borderId="0" xfId="2" applyFont="1" applyAlignment="1">
      <alignment horizontal="center"/>
    </xf>
    <xf numFmtId="2" fontId="11" fillId="0" borderId="0" xfId="2" applyNumberFormat="1"/>
    <xf numFmtId="0" fontId="18" fillId="0" borderId="0" xfId="2" applyFont="1" applyAlignment="1">
      <alignment horizontal="center"/>
    </xf>
    <xf numFmtId="0" fontId="17" fillId="0" borderId="0" xfId="2" applyFont="1"/>
    <xf numFmtId="0" fontId="1" fillId="0" borderId="0" xfId="2" applyFont="1"/>
    <xf numFmtId="0" fontId="11" fillId="0" borderId="6" xfId="2" applyBorder="1"/>
    <xf numFmtId="0" fontId="11" fillId="0" borderId="6" xfId="2" applyBorder="1" applyAlignment="1">
      <alignment horizontal="center"/>
    </xf>
    <xf numFmtId="0" fontId="11" fillId="0" borderId="6" xfId="2" applyBorder="1" applyAlignment="1">
      <alignment wrapText="1"/>
    </xf>
    <xf numFmtId="168" fontId="11" fillId="0" borderId="6" xfId="2" applyNumberFormat="1" applyBorder="1" applyAlignment="1">
      <alignment horizontal="center"/>
    </xf>
    <xf numFmtId="169" fontId="11" fillId="0" borderId="6" xfId="2" applyNumberFormat="1" applyBorder="1"/>
    <xf numFmtId="8" fontId="11" fillId="0" borderId="6" xfId="2" applyNumberFormat="1" applyBorder="1"/>
    <xf numFmtId="10" fontId="0" fillId="0" borderId="6" xfId="3" applyNumberFormat="1" applyFont="1" applyBorder="1" applyAlignment="1">
      <alignment horizontal="center"/>
    </xf>
    <xf numFmtId="0" fontId="11" fillId="0" borderId="0" xfId="2" applyAlignment="1">
      <alignment horizontal="center"/>
    </xf>
    <xf numFmtId="0" fontId="19" fillId="0" borderId="12" xfId="4" applyBorder="1" applyAlignment="1">
      <alignment horizontal="center"/>
    </xf>
    <xf numFmtId="0" fontId="19" fillId="0" borderId="6" xfId="4" applyBorder="1" applyAlignment="1">
      <alignment horizontal="center" vertical="center" wrapText="1"/>
    </xf>
    <xf numFmtId="0" fontId="20" fillId="0" borderId="3" xfId="4" applyFont="1" applyBorder="1" applyAlignment="1">
      <alignment horizontal="center"/>
    </xf>
    <xf numFmtId="0" fontId="19" fillId="0" borderId="0" xfId="4"/>
    <xf numFmtId="0" fontId="21" fillId="0" borderId="3" xfId="4" applyFont="1" applyBorder="1" applyAlignment="1">
      <alignment horizontal="center"/>
    </xf>
    <xf numFmtId="0" fontId="19" fillId="0" borderId="6" xfId="4" applyBorder="1" applyAlignment="1">
      <alignment horizontal="justify" vertical="center" wrapText="1"/>
    </xf>
    <xf numFmtId="2" fontId="19" fillId="0" borderId="0" xfId="4" applyNumberFormat="1"/>
    <xf numFmtId="0" fontId="19" fillId="0" borderId="6" xfId="4" applyBorder="1" applyAlignment="1">
      <alignment horizontal="center" wrapText="1"/>
    </xf>
    <xf numFmtId="0" fontId="19" fillId="0" borderId="2" xfId="4" applyBorder="1"/>
    <xf numFmtId="2" fontId="19" fillId="0" borderId="2" xfId="4" applyNumberFormat="1" applyBorder="1"/>
    <xf numFmtId="0" fontId="20" fillId="0" borderId="3" xfId="4" applyFont="1" applyBorder="1" applyAlignment="1">
      <alignment horizontal="centerContinuous"/>
    </xf>
    <xf numFmtId="167" fontId="19" fillId="0" borderId="2" xfId="4" applyNumberFormat="1" applyBorder="1"/>
    <xf numFmtId="17" fontId="19" fillId="0" borderId="6" xfId="4" applyNumberFormat="1" applyBorder="1" applyAlignment="1">
      <alignment horizontal="justify" vertical="center" wrapText="1"/>
    </xf>
    <xf numFmtId="1" fontId="19" fillId="0" borderId="0" xfId="4" applyNumberFormat="1" applyAlignment="1">
      <alignment horizontal="center"/>
    </xf>
    <xf numFmtId="2" fontId="19" fillId="0" borderId="0" xfId="4" applyNumberFormat="1" applyAlignment="1">
      <alignment horizontal="center"/>
    </xf>
    <xf numFmtId="2" fontId="20" fillId="0" borderId="3" xfId="4" applyNumberFormat="1" applyFont="1" applyBorder="1" applyAlignment="1">
      <alignment horizontal="centerContinuous"/>
    </xf>
    <xf numFmtId="0" fontId="19" fillId="0" borderId="6" xfId="4" applyBorder="1"/>
    <xf numFmtId="0" fontId="19" fillId="0" borderId="6" xfId="4" applyBorder="1" applyAlignment="1">
      <alignment horizontal="center" vertical="center"/>
    </xf>
    <xf numFmtId="0" fontId="19" fillId="0" borderId="6" xfId="4" applyBorder="1" applyAlignment="1">
      <alignment horizontal="center"/>
    </xf>
    <xf numFmtId="0" fontId="19" fillId="0" borderId="6" xfId="4" quotePrefix="1" applyBorder="1" applyAlignment="1">
      <alignment horizontal="center"/>
    </xf>
    <xf numFmtId="170" fontId="19" fillId="0" borderId="6" xfId="4" applyNumberFormat="1" applyBorder="1" applyAlignment="1">
      <alignment horizontal="center" vertical="center"/>
    </xf>
    <xf numFmtId="1" fontId="19" fillId="0" borderId="6" xfId="4" applyNumberFormat="1" applyBorder="1" applyAlignment="1">
      <alignment horizontal="center"/>
    </xf>
    <xf numFmtId="170" fontId="19" fillId="0" borderId="6" xfId="4" applyNumberFormat="1" applyBorder="1"/>
    <xf numFmtId="0" fontId="19" fillId="0" borderId="0" xfId="4" applyAlignment="1">
      <alignment horizontal="center"/>
    </xf>
    <xf numFmtId="0" fontId="23" fillId="0" borderId="0" xfId="2" applyFont="1"/>
    <xf numFmtId="0" fontId="3" fillId="0" borderId="0" xfId="2" applyFont="1"/>
    <xf numFmtId="172" fontId="3" fillId="0" borderId="0" xfId="5" applyNumberFormat="1" applyFont="1"/>
    <xf numFmtId="0" fontId="3" fillId="0" borderId="6" xfId="2" applyFont="1" applyBorder="1"/>
    <xf numFmtId="0" fontId="3" fillId="0" borderId="6" xfId="2" applyFont="1" applyBorder="1" applyAlignment="1">
      <alignment horizontal="center"/>
    </xf>
    <xf numFmtId="172" fontId="3" fillId="0" borderId="6" xfId="5" applyNumberFormat="1" applyFont="1" applyBorder="1" applyAlignment="1">
      <alignment horizontal="center"/>
    </xf>
    <xf numFmtId="0" fontId="3" fillId="0" borderId="11" xfId="2" applyFont="1" applyBorder="1" applyAlignment="1">
      <alignment horizontal="center"/>
    </xf>
    <xf numFmtId="0" fontId="3" fillId="0" borderId="11" xfId="2" applyFont="1" applyBorder="1"/>
    <xf numFmtId="0" fontId="3" fillId="0" borderId="23" xfId="2" applyFont="1" applyBorder="1" applyAlignment="1">
      <alignment horizontal="center"/>
    </xf>
    <xf numFmtId="0" fontId="3" fillId="0" borderId="17" xfId="2" applyFont="1" applyBorder="1" applyAlignment="1">
      <alignment horizontal="center"/>
    </xf>
    <xf numFmtId="0" fontId="3" fillId="0" borderId="17" xfId="2" applyFont="1" applyBorder="1"/>
    <xf numFmtId="172" fontId="3" fillId="0" borderId="17" xfId="5" applyNumberFormat="1" applyFont="1" applyBorder="1" applyAlignment="1">
      <alignment horizontal="center"/>
    </xf>
    <xf numFmtId="1" fontId="3" fillId="0" borderId="23" xfId="2" applyNumberFormat="1" applyFont="1" applyBorder="1" applyAlignment="1">
      <alignment horizontal="center"/>
    </xf>
    <xf numFmtId="43" fontId="3" fillId="0" borderId="17" xfId="5" applyFont="1" applyBorder="1"/>
    <xf numFmtId="43" fontId="3" fillId="0" borderId="17" xfId="2" applyNumberFormat="1" applyFont="1" applyBorder="1"/>
    <xf numFmtId="172" fontId="3" fillId="0" borderId="17" xfId="5" applyNumberFormat="1" applyFont="1" applyBorder="1"/>
    <xf numFmtId="1" fontId="3" fillId="0" borderId="11" xfId="2" applyNumberFormat="1" applyFont="1" applyBorder="1" applyAlignment="1">
      <alignment horizontal="center"/>
    </xf>
    <xf numFmtId="43" fontId="3" fillId="0" borderId="6" xfId="5" applyFont="1" applyBorder="1"/>
    <xf numFmtId="43" fontId="3" fillId="0" borderId="6" xfId="2" applyNumberFormat="1" applyFont="1" applyBorder="1"/>
    <xf numFmtId="172" fontId="3" fillId="0" borderId="6" xfId="5" applyNumberFormat="1" applyFont="1" applyBorder="1"/>
    <xf numFmtId="1" fontId="3" fillId="0" borderId="6" xfId="2" applyNumberFormat="1" applyFont="1" applyBorder="1" applyAlignment="1">
      <alignment horizontal="center"/>
    </xf>
    <xf numFmtId="0" fontId="3" fillId="0" borderId="0" xfId="2" applyFont="1" applyAlignment="1">
      <alignment horizontal="center"/>
    </xf>
    <xf numFmtId="1" fontId="3" fillId="0" borderId="0" xfId="2" applyNumberFormat="1" applyFont="1" applyAlignment="1">
      <alignment horizontal="center"/>
    </xf>
    <xf numFmtId="43" fontId="3" fillId="0" borderId="0" xfId="2" applyNumberFormat="1" applyFont="1"/>
    <xf numFmtId="43" fontId="3" fillId="0" borderId="0" xfId="5" applyFont="1" applyBorder="1"/>
    <xf numFmtId="172" fontId="3" fillId="0" borderId="0" xfId="5" applyNumberFormat="1" applyFont="1" applyBorder="1"/>
    <xf numFmtId="43" fontId="3" fillId="0" borderId="0" xfId="5" applyFont="1"/>
    <xf numFmtId="172" fontId="3" fillId="0" borderId="0" xfId="5" applyNumberFormat="1" applyFont="1" applyAlignment="1">
      <alignment horizontal="center"/>
    </xf>
    <xf numFmtId="172" fontId="3" fillId="0" borderId="21" xfId="5" applyNumberFormat="1" applyFont="1" applyBorder="1"/>
    <xf numFmtId="172" fontId="3" fillId="0" borderId="21" xfId="2" applyNumberFormat="1" applyFont="1" applyBorder="1"/>
    <xf numFmtId="9" fontId="3" fillId="0" borderId="0" xfId="3" applyFont="1"/>
    <xf numFmtId="172" fontId="3" fillId="0" borderId="0" xfId="2" applyNumberFormat="1" applyFont="1"/>
    <xf numFmtId="172" fontId="3" fillId="0" borderId="24" xfId="5" applyNumberFormat="1" applyFont="1" applyBorder="1"/>
    <xf numFmtId="172" fontId="3" fillId="0" borderId="24" xfId="2" applyNumberFormat="1" applyFont="1" applyBorder="1"/>
    <xf numFmtId="0" fontId="3" fillId="0" borderId="0" xfId="2" applyFont="1" applyAlignment="1">
      <alignment horizontal="left" indent="2"/>
    </xf>
    <xf numFmtId="0" fontId="24" fillId="0" borderId="0" xfId="0" applyFont="1" applyAlignment="1">
      <alignment horizontal="center"/>
    </xf>
    <xf numFmtId="43" fontId="24" fillId="0" borderId="0" xfId="0" applyNumberFormat="1" applyFont="1" applyAlignment="1">
      <alignment horizontal="center"/>
    </xf>
    <xf numFmtId="171" fontId="24" fillId="0" borderId="0" xfId="0" applyNumberFormat="1" applyFont="1" applyAlignment="1">
      <alignment horizontal="center"/>
    </xf>
    <xf numFmtId="166" fontId="24" fillId="0" borderId="0" xfId="0" applyNumberFormat="1" applyFont="1" applyAlignment="1">
      <alignment horizontal="center"/>
    </xf>
    <xf numFmtId="0" fontId="24" fillId="0" borderId="0" xfId="0" applyFont="1"/>
    <xf numFmtId="43" fontId="24" fillId="0" borderId="0" xfId="0" applyNumberFormat="1" applyFont="1" applyAlignment="1">
      <alignment horizontal="left"/>
    </xf>
    <xf numFmtId="2" fontId="24" fillId="0" borderId="0" xfId="0" applyNumberFormat="1" applyFont="1" applyAlignment="1">
      <alignment horizontal="center"/>
    </xf>
    <xf numFmtId="171" fontId="24" fillId="0" borderId="0" xfId="0" applyNumberFormat="1" applyFont="1"/>
    <xf numFmtId="166" fontId="24" fillId="0" borderId="0" xfId="0" applyNumberFormat="1" applyFont="1"/>
    <xf numFmtId="0" fontId="25" fillId="0" borderId="0" xfId="0" applyFont="1" applyAlignment="1">
      <alignment horizontal="center"/>
    </xf>
    <xf numFmtId="43" fontId="25" fillId="0" borderId="0" xfId="0" applyNumberFormat="1" applyFont="1" applyAlignment="1">
      <alignment horizontal="center"/>
    </xf>
    <xf numFmtId="171" fontId="25" fillId="0" borderId="0" xfId="0" applyNumberFormat="1" applyFont="1" applyAlignment="1">
      <alignment horizontal="center"/>
    </xf>
    <xf numFmtId="166" fontId="25" fillId="0" borderId="0" xfId="0" applyNumberFormat="1" applyFont="1" applyAlignment="1">
      <alignment horizontal="center"/>
    </xf>
    <xf numFmtId="0" fontId="24" fillId="0" borderId="6" xfId="0" applyFont="1" applyBorder="1" applyAlignment="1">
      <alignment horizontal="center"/>
    </xf>
    <xf numFmtId="0" fontId="24" fillId="0" borderId="11" xfId="0" applyFont="1" applyBorder="1" applyAlignment="1">
      <alignment horizontal="center"/>
    </xf>
    <xf numFmtId="1" fontId="24" fillId="0" borderId="11" xfId="0" applyNumberFormat="1" applyFont="1" applyBorder="1" applyAlignment="1">
      <alignment horizontal="center"/>
    </xf>
    <xf numFmtId="43" fontId="24" fillId="0" borderId="11" xfId="0" applyNumberFormat="1" applyFont="1" applyBorder="1" applyAlignment="1">
      <alignment horizontal="center"/>
    </xf>
    <xf numFmtId="2" fontId="24" fillId="0" borderId="11" xfId="0" applyNumberFormat="1" applyFont="1" applyBorder="1"/>
    <xf numFmtId="166" fontId="24" fillId="0" borderId="11" xfId="0" applyNumberFormat="1" applyFont="1" applyBorder="1"/>
    <xf numFmtId="172" fontId="24" fillId="0" borderId="11" xfId="0" applyNumberFormat="1" applyFont="1" applyBorder="1" applyAlignment="1">
      <alignment horizontal="center"/>
    </xf>
    <xf numFmtId="0" fontId="24" fillId="0" borderId="17" xfId="0" applyFont="1" applyBorder="1" applyAlignment="1">
      <alignment horizontal="center"/>
    </xf>
    <xf numFmtId="0" fontId="24" fillId="0" borderId="23" xfId="0" applyFont="1" applyBorder="1" applyAlignment="1">
      <alignment horizontal="center"/>
    </xf>
    <xf numFmtId="1" fontId="24" fillId="0" borderId="23" xfId="0" applyNumberFormat="1" applyFont="1" applyBorder="1" applyAlignment="1">
      <alignment horizontal="center"/>
    </xf>
    <xf numFmtId="43" fontId="24" fillId="0" borderId="23" xfId="0" applyNumberFormat="1" applyFont="1" applyBorder="1" applyAlignment="1">
      <alignment horizontal="center"/>
    </xf>
    <xf numFmtId="171" fontId="24" fillId="0" borderId="23" xfId="0" applyNumberFormat="1" applyFont="1" applyBorder="1"/>
    <xf numFmtId="166" fontId="24" fillId="0" borderId="23" xfId="0" applyNumberFormat="1" applyFont="1" applyBorder="1"/>
    <xf numFmtId="172" fontId="24" fillId="0" borderId="23" xfId="0" applyNumberFormat="1" applyFont="1" applyBorder="1" applyAlignment="1">
      <alignment horizontal="center"/>
    </xf>
    <xf numFmtId="2" fontId="24" fillId="0" borderId="23" xfId="0" applyNumberFormat="1" applyFont="1" applyBorder="1"/>
    <xf numFmtId="43" fontId="24" fillId="0" borderId="0" xfId="0" applyNumberFormat="1" applyFont="1"/>
    <xf numFmtId="0" fontId="0" fillId="0" borderId="0" xfId="0" applyAlignment="1">
      <alignment horizontal="left" wrapText="1"/>
    </xf>
    <xf numFmtId="0" fontId="4"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Alignment="1">
      <alignment horizont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vertical="center" wrapText="1"/>
    </xf>
    <xf numFmtId="0" fontId="4" fillId="0" borderId="6" xfId="0" applyFont="1" applyBorder="1" applyAlignment="1">
      <alignment horizontal="center"/>
    </xf>
    <xf numFmtId="0" fontId="7" fillId="0" borderId="0" xfId="0" applyFont="1" applyAlignment="1">
      <alignment horizontal="center" vertical="center" wrapText="1"/>
    </xf>
    <xf numFmtId="0" fontId="3" fillId="0" borderId="7" xfId="0" applyFont="1" applyBorder="1" applyAlignment="1">
      <alignment horizontal="center" vertical="center" wrapText="1"/>
    </xf>
    <xf numFmtId="0" fontId="13" fillId="0" borderId="0" xfId="0" applyFont="1" applyAlignment="1">
      <alignment horizontal="center" vertical="center"/>
    </xf>
    <xf numFmtId="0" fontId="14"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6" xfId="0" applyBorder="1" applyAlignment="1">
      <alignment horizontal="center"/>
    </xf>
    <xf numFmtId="0" fontId="4" fillId="0" borderId="0" xfId="0" applyFont="1" applyAlignment="1">
      <alignment horizontal="center" vertical="center"/>
    </xf>
    <xf numFmtId="0" fontId="6" fillId="0" borderId="0" xfId="0" applyFont="1" applyAlignment="1">
      <alignment horizontal="center" vertical="center"/>
    </xf>
    <xf numFmtId="0" fontId="11" fillId="0" borderId="6" xfId="2" applyBorder="1" applyAlignment="1">
      <alignment horizontal="center"/>
    </xf>
    <xf numFmtId="0" fontId="19" fillId="0" borderId="6" xfId="4" applyBorder="1" applyAlignment="1">
      <alignment horizontal="center" vertical="center"/>
    </xf>
    <xf numFmtId="0" fontId="22" fillId="0" borderId="0" xfId="4" applyFont="1" applyAlignment="1">
      <alignment horizontal="center" vertical="center" wrapText="1"/>
    </xf>
    <xf numFmtId="172" fontId="3" fillId="0" borderId="0" xfId="5" applyNumberFormat="1" applyFont="1" applyAlignment="1">
      <alignment horizontal="center"/>
    </xf>
    <xf numFmtId="164" fontId="3" fillId="0" borderId="6" xfId="0" applyNumberFormat="1" applyFont="1" applyBorder="1" applyAlignment="1">
      <alignment horizontal="center" vertical="center"/>
    </xf>
  </cellXfs>
  <cellStyles count="6">
    <cellStyle name="Comma 2" xfId="5" xr:uid="{B79726C9-A9EA-F440-9A60-990E6D43B871}"/>
    <cellStyle name="Normal" xfId="0" builtinId="0"/>
    <cellStyle name="Normal 2" xfId="2" xr:uid="{810AF557-2FD9-534D-B95D-A9B1A313CEE4}"/>
    <cellStyle name="Normal 3" xfId="4" xr:uid="{2C033A74-3149-B349-9F0E-7BF8CBACDF2D}"/>
    <cellStyle name="Percent" xfId="1" builtinId="5"/>
    <cellStyle name="Percent 2" xfId="3" xr:uid="{C6461780-C10F-944B-8217-CA75DD853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Digrama de Dispersión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R"/>
        </a:p>
      </c:txPr>
    </c:title>
    <c:autoTitleDeleted val="0"/>
    <c:plotArea>
      <c:layout/>
      <c:lineChart>
        <c:grouping val="standard"/>
        <c:varyColors val="0"/>
        <c:ser>
          <c:idx val="0"/>
          <c:order val="0"/>
          <c:tx>
            <c:strRef>
              <c:f>'4'!$D$66</c:f>
              <c:strCache>
                <c:ptCount val="1"/>
                <c:pt idx="0">
                  <c:v>Ventas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'4'!$D$67:$D$95</c:f>
              <c:numCache>
                <c:formatCode>General</c:formatCode>
                <c:ptCount val="29"/>
                <c:pt idx="0">
                  <c:v>51.6</c:v>
                </c:pt>
                <c:pt idx="1">
                  <c:v>88.8</c:v>
                </c:pt>
                <c:pt idx="2">
                  <c:v>61.4</c:v>
                </c:pt>
                <c:pt idx="3">
                  <c:v>53.2</c:v>
                </c:pt>
                <c:pt idx="4">
                  <c:v>51.6</c:v>
                </c:pt>
                <c:pt idx="5">
                  <c:v>137</c:v>
                </c:pt>
                <c:pt idx="6">
                  <c:v>61.6</c:v>
                </c:pt>
                <c:pt idx="7">
                  <c:v>53.4</c:v>
                </c:pt>
                <c:pt idx="8">
                  <c:v>49.8</c:v>
                </c:pt>
                <c:pt idx="9">
                  <c:v>185.2</c:v>
                </c:pt>
                <c:pt idx="10">
                  <c:v>108.3</c:v>
                </c:pt>
                <c:pt idx="11">
                  <c:v>118.7</c:v>
                </c:pt>
                <c:pt idx="12">
                  <c:v>86</c:v>
                </c:pt>
                <c:pt idx="13">
                  <c:v>158.4</c:v>
                </c:pt>
                <c:pt idx="14">
                  <c:v>107.1</c:v>
                </c:pt>
                <c:pt idx="15">
                  <c:v>92.5</c:v>
                </c:pt>
                <c:pt idx="16">
                  <c:v>84.8</c:v>
                </c:pt>
                <c:pt idx="17">
                  <c:v>149.80000000000001</c:v>
                </c:pt>
                <c:pt idx="18">
                  <c:v>101.1</c:v>
                </c:pt>
                <c:pt idx="19">
                  <c:v>88.6</c:v>
                </c:pt>
                <c:pt idx="20">
                  <c:v>68.7</c:v>
                </c:pt>
                <c:pt idx="21">
                  <c:v>136.80000000000001</c:v>
                </c:pt>
                <c:pt idx="22">
                  <c:v>94.2</c:v>
                </c:pt>
                <c:pt idx="23">
                  <c:v>82.3</c:v>
                </c:pt>
                <c:pt idx="24">
                  <c:v>71.599999999999994</c:v>
                </c:pt>
                <c:pt idx="25">
                  <c:v>136.1</c:v>
                </c:pt>
                <c:pt idx="26">
                  <c:v>92.4</c:v>
                </c:pt>
                <c:pt idx="27">
                  <c:v>82.5</c:v>
                </c:pt>
                <c:pt idx="28">
                  <c:v>70.7</c:v>
                </c:pt>
              </c:numCache>
            </c:numRef>
          </c:val>
          <c:smooth val="0"/>
          <c:extLst>
            <c:ext xmlns:c16="http://schemas.microsoft.com/office/drawing/2014/chart" uri="{C3380CC4-5D6E-409C-BE32-E72D297353CC}">
              <c16:uniqueId val="{00000000-E8FD-A24D-BD6D-7CA617EC583B}"/>
            </c:ext>
          </c:extLst>
        </c:ser>
        <c:ser>
          <c:idx val="1"/>
          <c:order val="1"/>
          <c:tx>
            <c:strRef>
              <c:f>'4'!$E$66</c:f>
              <c:strCache>
                <c:ptCount val="1"/>
                <c:pt idx="0">
                  <c:v>Valor Atenuado</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'4'!$E$67:$E$95</c:f>
              <c:numCache>
                <c:formatCode>0.00</c:formatCode>
                <c:ptCount val="29"/>
                <c:pt idx="0">
                  <c:v>67.266666666666666</c:v>
                </c:pt>
                <c:pt idx="1">
                  <c:v>65.7</c:v>
                </c:pt>
                <c:pt idx="2">
                  <c:v>68.010000000000005</c:v>
                </c:pt>
                <c:pt idx="3">
                  <c:v>67.349000000000004</c:v>
                </c:pt>
                <c:pt idx="4">
                  <c:v>65.934100000000001</c:v>
                </c:pt>
                <c:pt idx="5">
                  <c:v>64.500690000000006</c:v>
                </c:pt>
                <c:pt idx="6">
                  <c:v>71.75062100000001</c:v>
                </c:pt>
                <c:pt idx="7">
                  <c:v>70.735558900000001</c:v>
                </c:pt>
                <c:pt idx="8">
                  <c:v>69.002003009999996</c:v>
                </c:pt>
                <c:pt idx="9">
                  <c:v>67.081802709000002</c:v>
                </c:pt>
                <c:pt idx="10">
                  <c:v>78.893622438099996</c:v>
                </c:pt>
                <c:pt idx="11">
                  <c:v>81.834260194289996</c:v>
                </c:pt>
                <c:pt idx="12">
                  <c:v>85.520834174861008</c:v>
                </c:pt>
                <c:pt idx="13">
                  <c:v>85.5687507573749</c:v>
                </c:pt>
                <c:pt idx="14">
                  <c:v>92.851875681637409</c:v>
                </c:pt>
                <c:pt idx="15">
                  <c:v>94.276688113473682</c:v>
                </c:pt>
                <c:pt idx="16">
                  <c:v>94.099019302126322</c:v>
                </c:pt>
                <c:pt idx="17">
                  <c:v>93.1691173719137</c:v>
                </c:pt>
                <c:pt idx="18">
                  <c:v>98.832205634722342</c:v>
                </c:pt>
                <c:pt idx="19">
                  <c:v>99.058985071250106</c:v>
                </c:pt>
                <c:pt idx="20">
                  <c:v>98.013086564125103</c:v>
                </c:pt>
                <c:pt idx="21">
                  <c:v>95.081777907712606</c:v>
                </c:pt>
                <c:pt idx="22">
                  <c:v>99.253600116941357</c:v>
                </c:pt>
                <c:pt idx="23">
                  <c:v>98.74824010524722</c:v>
                </c:pt>
                <c:pt idx="24">
                  <c:v>97.103416094722505</c:v>
                </c:pt>
                <c:pt idx="25">
                  <c:v>94.553074485250249</c:v>
                </c:pt>
                <c:pt idx="26">
                  <c:v>98.70776703672523</c:v>
                </c:pt>
                <c:pt idx="27">
                  <c:v>98.076990333052706</c:v>
                </c:pt>
                <c:pt idx="28">
                  <c:v>96.519291299747437</c:v>
                </c:pt>
              </c:numCache>
            </c:numRef>
          </c:val>
          <c:smooth val="0"/>
          <c:extLst>
            <c:ext xmlns:c16="http://schemas.microsoft.com/office/drawing/2014/chart" uri="{C3380CC4-5D6E-409C-BE32-E72D297353CC}">
              <c16:uniqueId val="{00000001-E8FD-A24D-BD6D-7CA617EC583B}"/>
            </c:ext>
          </c:extLst>
        </c:ser>
        <c:ser>
          <c:idx val="2"/>
          <c:order val="2"/>
          <c:tx>
            <c:strRef>
              <c:f>'4'!$F$66</c:f>
              <c:strCache>
                <c:ptCount val="1"/>
                <c:pt idx="0">
                  <c:v>Value Line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'4'!$F$67:$F$95</c:f>
              <c:numCache>
                <c:formatCode>#,##0.00</c:formatCode>
                <c:ptCount val="29"/>
                <c:pt idx="0">
                  <c:v>54.8</c:v>
                </c:pt>
                <c:pt idx="1">
                  <c:v>130.4</c:v>
                </c:pt>
                <c:pt idx="2">
                  <c:v>73.3</c:v>
                </c:pt>
                <c:pt idx="3">
                  <c:v>69.2</c:v>
                </c:pt>
                <c:pt idx="4">
                  <c:v>58.2</c:v>
                </c:pt>
                <c:pt idx="5">
                  <c:v>134.4</c:v>
                </c:pt>
                <c:pt idx="6">
                  <c:v>78.7</c:v>
                </c:pt>
                <c:pt idx="7">
                  <c:v>73.3</c:v>
                </c:pt>
                <c:pt idx="8">
                  <c:v>61.7</c:v>
                </c:pt>
                <c:pt idx="9">
                  <c:v>137.9</c:v>
                </c:pt>
                <c:pt idx="10">
                  <c:v>84.1</c:v>
                </c:pt>
                <c:pt idx="11">
                  <c:v>77.5</c:v>
                </c:pt>
                <c:pt idx="12">
                  <c:v>65.099999999999994</c:v>
                </c:pt>
                <c:pt idx="13">
                  <c:v>145.5</c:v>
                </c:pt>
                <c:pt idx="14">
                  <c:v>89.4</c:v>
                </c:pt>
                <c:pt idx="15">
                  <c:v>81.599999999999994</c:v>
                </c:pt>
                <c:pt idx="16">
                  <c:v>68.599999999999994</c:v>
                </c:pt>
                <c:pt idx="17">
                  <c:v>149.30000000000001</c:v>
                </c:pt>
                <c:pt idx="18">
                  <c:v>94.8</c:v>
                </c:pt>
                <c:pt idx="19">
                  <c:v>85.7</c:v>
                </c:pt>
                <c:pt idx="20">
                  <c:v>72</c:v>
                </c:pt>
                <c:pt idx="21">
                  <c:v>155.30000000000001</c:v>
                </c:pt>
                <c:pt idx="22">
                  <c:v>100.2</c:v>
                </c:pt>
                <c:pt idx="23">
                  <c:v>89.9</c:v>
                </c:pt>
                <c:pt idx="24">
                  <c:v>75.5</c:v>
                </c:pt>
                <c:pt idx="25">
                  <c:v>159.30000000000001</c:v>
                </c:pt>
                <c:pt idx="26">
                  <c:v>105.6</c:v>
                </c:pt>
                <c:pt idx="27">
                  <c:v>94</c:v>
                </c:pt>
                <c:pt idx="28">
                  <c:v>78.900000000000006</c:v>
                </c:pt>
              </c:numCache>
            </c:numRef>
          </c:val>
          <c:smooth val="0"/>
          <c:extLst>
            <c:ext xmlns:c16="http://schemas.microsoft.com/office/drawing/2014/chart" uri="{C3380CC4-5D6E-409C-BE32-E72D297353CC}">
              <c16:uniqueId val="{00000002-E8FD-A24D-BD6D-7CA617EC583B}"/>
            </c:ext>
          </c:extLst>
        </c:ser>
        <c:dLbls>
          <c:showLegendKey val="0"/>
          <c:showVal val="0"/>
          <c:showCatName val="0"/>
          <c:showSerName val="0"/>
          <c:showPercent val="0"/>
          <c:showBubbleSize val="0"/>
        </c:dLbls>
        <c:marker val="1"/>
        <c:smooth val="0"/>
        <c:axId val="1975943855"/>
        <c:axId val="1975945567"/>
      </c:lineChart>
      <c:catAx>
        <c:axId val="1975943855"/>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R"/>
          </a:p>
        </c:txPr>
        <c:crossAx val="1975945567"/>
        <c:crosses val="autoZero"/>
        <c:auto val="1"/>
        <c:lblAlgn val="ctr"/>
        <c:lblOffset val="100"/>
        <c:noMultiLvlLbl val="0"/>
      </c:catAx>
      <c:valAx>
        <c:axId val="1975945567"/>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R"/>
          </a:p>
        </c:txPr>
        <c:crossAx val="19759438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C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R"/>
        </a:p>
      </c:txPr>
    </c:title>
    <c:autoTitleDeleted val="0"/>
    <c:plotArea>
      <c:layout/>
      <c:lineChart>
        <c:grouping val="standard"/>
        <c:varyColors val="0"/>
        <c:ser>
          <c:idx val="0"/>
          <c:order val="0"/>
          <c:tx>
            <c:strRef>
              <c:f>'10'!$AD$7</c:f>
              <c:strCache>
                <c:ptCount val="1"/>
                <c:pt idx="0">
                  <c:v>TS</c:v>
                </c:pt>
              </c:strCache>
            </c:strRef>
          </c:tx>
          <c:spPr>
            <a:ln w="28575" cap="rnd">
              <a:solidFill>
                <a:schemeClr val="accent1"/>
              </a:solidFill>
              <a:round/>
            </a:ln>
            <a:effectLst/>
          </c:spPr>
          <c:marker>
            <c:symbol val="none"/>
          </c:marker>
          <c:val>
            <c:numRef>
              <c:f>'10'!$AD$8:$AD$10</c:f>
              <c:numCache>
                <c:formatCode>0.00</c:formatCode>
                <c:ptCount val="3"/>
                <c:pt idx="0">
                  <c:v>1</c:v>
                </c:pt>
                <c:pt idx="1">
                  <c:v>-0.77074260663340444</c:v>
                </c:pt>
                <c:pt idx="2">
                  <c:v>-1.6689758014374114</c:v>
                </c:pt>
              </c:numCache>
            </c:numRef>
          </c:val>
          <c:smooth val="0"/>
          <c:extLst>
            <c:ext xmlns:c16="http://schemas.microsoft.com/office/drawing/2014/chart" uri="{C3380CC4-5D6E-409C-BE32-E72D297353CC}">
              <c16:uniqueId val="{00000000-C871-5648-A64C-5A5DCDAB54F5}"/>
            </c:ext>
          </c:extLst>
        </c:ser>
        <c:dLbls>
          <c:showLegendKey val="0"/>
          <c:showVal val="0"/>
          <c:showCatName val="0"/>
          <c:showSerName val="0"/>
          <c:showPercent val="0"/>
          <c:showBubbleSize val="0"/>
        </c:dLbls>
        <c:smooth val="0"/>
        <c:axId val="1966685279"/>
        <c:axId val="1966687007"/>
      </c:lineChart>
      <c:catAx>
        <c:axId val="196668527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R"/>
          </a:p>
        </c:txPr>
        <c:crossAx val="1966687007"/>
        <c:crosses val="autoZero"/>
        <c:auto val="1"/>
        <c:lblAlgn val="ctr"/>
        <c:lblOffset val="100"/>
        <c:noMultiLvlLbl val="0"/>
      </c:catAx>
      <c:valAx>
        <c:axId val="1966687007"/>
        <c:scaling>
          <c:orientation val="minMax"/>
          <c:max val="5"/>
          <c:min val="-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R"/>
          </a:p>
        </c:txPr>
        <c:crossAx val="19666852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000"/>
              <a:t>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R"/>
        </a:p>
      </c:txPr>
    </c:title>
    <c:autoTitleDeleted val="0"/>
    <c:plotArea>
      <c:layout/>
      <c:lineChart>
        <c:grouping val="standard"/>
        <c:varyColors val="0"/>
        <c:ser>
          <c:idx val="0"/>
          <c:order val="0"/>
          <c:tx>
            <c:strRef>
              <c:f>'11'!$AB$3</c:f>
              <c:strCache>
                <c:ptCount val="1"/>
                <c:pt idx="0">
                  <c:v>TS</c:v>
                </c:pt>
              </c:strCache>
            </c:strRef>
          </c:tx>
          <c:spPr>
            <a:ln w="28575" cap="rnd">
              <a:solidFill>
                <a:schemeClr val="accent1"/>
              </a:solidFill>
              <a:round/>
            </a:ln>
            <a:effectLst/>
          </c:spPr>
          <c:marker>
            <c:symbol val="none"/>
          </c:marker>
          <c:val>
            <c:numRef>
              <c:f>'11'!$AB$4:$AB$7</c:f>
              <c:numCache>
                <c:formatCode>0.00</c:formatCode>
                <c:ptCount val="4"/>
                <c:pt idx="0">
                  <c:v>1</c:v>
                </c:pt>
                <c:pt idx="1">
                  <c:v>0.12350902133129404</c:v>
                </c:pt>
                <c:pt idx="2">
                  <c:v>-0.74244247434868682</c:v>
                </c:pt>
                <c:pt idx="3">
                  <c:v>-1.1173870822712595</c:v>
                </c:pt>
              </c:numCache>
            </c:numRef>
          </c:val>
          <c:smooth val="0"/>
          <c:extLst>
            <c:ext xmlns:c16="http://schemas.microsoft.com/office/drawing/2014/chart" uri="{C3380CC4-5D6E-409C-BE32-E72D297353CC}">
              <c16:uniqueId val="{00000000-0F36-7849-9677-8BA082218058}"/>
            </c:ext>
          </c:extLst>
        </c:ser>
        <c:dLbls>
          <c:showLegendKey val="0"/>
          <c:showVal val="0"/>
          <c:showCatName val="0"/>
          <c:showSerName val="0"/>
          <c:showPercent val="0"/>
          <c:showBubbleSize val="0"/>
        </c:dLbls>
        <c:smooth val="0"/>
        <c:axId val="695301951"/>
        <c:axId val="695303663"/>
      </c:lineChart>
      <c:catAx>
        <c:axId val="69530195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R"/>
          </a:p>
        </c:txPr>
        <c:crossAx val="695303663"/>
        <c:crosses val="autoZero"/>
        <c:auto val="1"/>
        <c:lblAlgn val="ctr"/>
        <c:lblOffset val="100"/>
        <c:noMultiLvlLbl val="0"/>
      </c:catAx>
      <c:valAx>
        <c:axId val="695303663"/>
        <c:scaling>
          <c:orientation val="minMax"/>
          <c:max val="5"/>
          <c:min val="-5"/>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R"/>
          </a:p>
        </c:txPr>
        <c:crossAx val="6953019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R"/>
        </a:p>
      </c:txPr>
    </c:title>
    <c:autoTitleDeleted val="0"/>
    <c:plotArea>
      <c:layout/>
      <c:lineChart>
        <c:grouping val="standard"/>
        <c:varyColors val="0"/>
        <c:ser>
          <c:idx val="0"/>
          <c:order val="0"/>
          <c:tx>
            <c:strRef>
              <c:f>'14'!$D$4</c:f>
              <c:strCache>
                <c:ptCount val="1"/>
                <c:pt idx="0">
                  <c:v>Ventas</c:v>
                </c:pt>
              </c:strCache>
            </c:strRef>
          </c:tx>
          <c:spPr>
            <a:ln w="28575" cap="rnd">
              <a:solidFill>
                <a:schemeClr val="accent1"/>
              </a:solidFill>
              <a:round/>
            </a:ln>
            <a:effectLst/>
          </c:spPr>
          <c:marker>
            <c:symbol val="none"/>
          </c:marker>
          <c:val>
            <c:numRef>
              <c:f>'14'!$D$5:$D$34</c:f>
              <c:numCache>
                <c:formatCode>General</c:formatCode>
                <c:ptCount val="30"/>
                <c:pt idx="0">
                  <c:v>550</c:v>
                </c:pt>
                <c:pt idx="1">
                  <c:v>500</c:v>
                </c:pt>
                <c:pt idx="2">
                  <c:v>650</c:v>
                </c:pt>
                <c:pt idx="3">
                  <c:v>600</c:v>
                </c:pt>
                <c:pt idx="4">
                  <c:v>900</c:v>
                </c:pt>
                <c:pt idx="5">
                  <c:v>700</c:v>
                </c:pt>
                <c:pt idx="6">
                  <c:v>860</c:v>
                </c:pt>
                <c:pt idx="7">
                  <c:v>800</c:v>
                </c:pt>
                <c:pt idx="8">
                  <c:v>960</c:v>
                </c:pt>
                <c:pt idx="9">
                  <c:v>900</c:v>
                </c:pt>
                <c:pt idx="10">
                  <c:v>1200</c:v>
                </c:pt>
                <c:pt idx="11">
                  <c:v>1000</c:v>
                </c:pt>
                <c:pt idx="12">
                  <c:v>1150</c:v>
                </c:pt>
                <c:pt idx="13">
                  <c:v>1100</c:v>
                </c:pt>
                <c:pt idx="14">
                  <c:v>1250</c:v>
                </c:pt>
                <c:pt idx="15">
                  <c:v>1200</c:v>
                </c:pt>
                <c:pt idx="16">
                  <c:v>1500</c:v>
                </c:pt>
                <c:pt idx="17">
                  <c:v>1300</c:v>
                </c:pt>
                <c:pt idx="18">
                  <c:v>1450</c:v>
                </c:pt>
                <c:pt idx="19">
                  <c:v>1400</c:v>
                </c:pt>
                <c:pt idx="20">
                  <c:v>1550</c:v>
                </c:pt>
                <c:pt idx="21">
                  <c:v>1500</c:v>
                </c:pt>
                <c:pt idx="22">
                  <c:v>1800</c:v>
                </c:pt>
                <c:pt idx="23">
                  <c:v>1600</c:v>
                </c:pt>
                <c:pt idx="24">
                  <c:v>1760</c:v>
                </c:pt>
                <c:pt idx="25">
                  <c:v>1700</c:v>
                </c:pt>
                <c:pt idx="26">
                  <c:v>1950</c:v>
                </c:pt>
                <c:pt idx="27">
                  <c:v>1800</c:v>
                </c:pt>
                <c:pt idx="28">
                  <c:v>2100</c:v>
                </c:pt>
                <c:pt idx="29">
                  <c:v>1900</c:v>
                </c:pt>
              </c:numCache>
            </c:numRef>
          </c:val>
          <c:smooth val="0"/>
          <c:extLst>
            <c:ext xmlns:c16="http://schemas.microsoft.com/office/drawing/2014/chart" uri="{C3380CC4-5D6E-409C-BE32-E72D297353CC}">
              <c16:uniqueId val="{00000000-8232-FD41-A26E-8C3099BDE54D}"/>
            </c:ext>
          </c:extLst>
        </c:ser>
        <c:dLbls>
          <c:showLegendKey val="0"/>
          <c:showVal val="0"/>
          <c:showCatName val="0"/>
          <c:showSerName val="0"/>
          <c:showPercent val="0"/>
          <c:showBubbleSize val="0"/>
        </c:dLbls>
        <c:smooth val="0"/>
        <c:axId val="602626784"/>
        <c:axId val="602628512"/>
      </c:lineChart>
      <c:catAx>
        <c:axId val="60262678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R"/>
          </a:p>
        </c:txPr>
        <c:crossAx val="602628512"/>
        <c:crosses val="autoZero"/>
        <c:auto val="1"/>
        <c:lblAlgn val="ctr"/>
        <c:lblOffset val="100"/>
        <c:noMultiLvlLbl val="0"/>
      </c:catAx>
      <c:valAx>
        <c:axId val="602628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R"/>
          </a:p>
        </c:txPr>
        <c:crossAx val="6026267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Comportamiento del Tipo de Cambio en los</a:t>
            </a:r>
            <a:r>
              <a:rPr lang="en-US" baseline="0"/>
              <a:t> Últimos 24 meses</a:t>
            </a:r>
            <a:endParaRPr lang="en-US"/>
          </a:p>
        </c:rich>
      </c:tx>
      <c:overlay val="0"/>
    </c:title>
    <c:autoTitleDeleted val="0"/>
    <c:plotArea>
      <c:layout/>
      <c:lineChart>
        <c:grouping val="standard"/>
        <c:varyColors val="0"/>
        <c:ser>
          <c:idx val="0"/>
          <c:order val="0"/>
          <c:tx>
            <c:strRef>
              <c:f>[3]Sheet1!$B$1</c:f>
              <c:strCache>
                <c:ptCount val="1"/>
                <c:pt idx="0">
                  <c:v>Año 2010-2011</c:v>
                </c:pt>
              </c:strCache>
            </c:strRef>
          </c:tx>
          <c:marker>
            <c:symbol val="none"/>
          </c:marker>
          <c:cat>
            <c:strRef>
              <c:f>[3]Sheet1!$A$2:$A$13</c:f>
              <c:strCache>
                <c:ptCount val="12"/>
                <c:pt idx="0">
                  <c:v>Junio</c:v>
                </c:pt>
                <c:pt idx="1">
                  <c:v>Julio</c:v>
                </c:pt>
                <c:pt idx="2">
                  <c:v>Agosto</c:v>
                </c:pt>
                <c:pt idx="3">
                  <c:v>Setiembre</c:v>
                </c:pt>
                <c:pt idx="4">
                  <c:v>Octubre</c:v>
                </c:pt>
                <c:pt idx="5">
                  <c:v>Noviembre</c:v>
                </c:pt>
                <c:pt idx="6">
                  <c:v>Diciembre</c:v>
                </c:pt>
                <c:pt idx="7">
                  <c:v>Enero</c:v>
                </c:pt>
                <c:pt idx="8">
                  <c:v>Febrero</c:v>
                </c:pt>
                <c:pt idx="9">
                  <c:v>Marzo</c:v>
                </c:pt>
                <c:pt idx="10">
                  <c:v>Abril</c:v>
                </c:pt>
                <c:pt idx="11">
                  <c:v>Mayo</c:v>
                </c:pt>
              </c:strCache>
            </c:strRef>
          </c:cat>
          <c:val>
            <c:numRef>
              <c:f>[3]Sheet1!$B$2:$B$13</c:f>
              <c:numCache>
                <c:formatCode>General</c:formatCode>
                <c:ptCount val="12"/>
                <c:pt idx="0">
                  <c:v>526.38</c:v>
                </c:pt>
                <c:pt idx="1">
                  <c:v>521.02</c:v>
                </c:pt>
                <c:pt idx="2">
                  <c:v>522.71</c:v>
                </c:pt>
                <c:pt idx="3">
                  <c:v>511.26</c:v>
                </c:pt>
                <c:pt idx="4">
                  <c:v>515.73</c:v>
                </c:pt>
                <c:pt idx="5">
                  <c:v>510.18</c:v>
                </c:pt>
                <c:pt idx="6">
                  <c:v>512.84</c:v>
                </c:pt>
                <c:pt idx="7">
                  <c:v>508.09</c:v>
                </c:pt>
                <c:pt idx="8">
                  <c:v>519.08000000000004</c:v>
                </c:pt>
                <c:pt idx="9">
                  <c:v>506.72</c:v>
                </c:pt>
                <c:pt idx="10">
                  <c:v>515.24</c:v>
                </c:pt>
                <c:pt idx="11">
                  <c:v>506.44</c:v>
                </c:pt>
              </c:numCache>
            </c:numRef>
          </c:val>
          <c:smooth val="0"/>
          <c:extLst>
            <c:ext xmlns:c16="http://schemas.microsoft.com/office/drawing/2014/chart" uri="{C3380CC4-5D6E-409C-BE32-E72D297353CC}">
              <c16:uniqueId val="{00000000-EB1D-5849-B8C2-DB277B837B44}"/>
            </c:ext>
          </c:extLst>
        </c:ser>
        <c:ser>
          <c:idx val="1"/>
          <c:order val="1"/>
          <c:tx>
            <c:strRef>
              <c:f>[3]Sheet1!$C$1</c:f>
              <c:strCache>
                <c:ptCount val="1"/>
                <c:pt idx="0">
                  <c:v>Año 2011-2012</c:v>
                </c:pt>
              </c:strCache>
            </c:strRef>
          </c:tx>
          <c:marker>
            <c:symbol val="none"/>
          </c:marker>
          <c:cat>
            <c:strRef>
              <c:f>[3]Sheet1!$A$2:$A$13</c:f>
              <c:strCache>
                <c:ptCount val="12"/>
                <c:pt idx="0">
                  <c:v>Junio</c:v>
                </c:pt>
                <c:pt idx="1">
                  <c:v>Julio</c:v>
                </c:pt>
                <c:pt idx="2">
                  <c:v>Agosto</c:v>
                </c:pt>
                <c:pt idx="3">
                  <c:v>Setiembre</c:v>
                </c:pt>
                <c:pt idx="4">
                  <c:v>Octubre</c:v>
                </c:pt>
                <c:pt idx="5">
                  <c:v>Noviembre</c:v>
                </c:pt>
                <c:pt idx="6">
                  <c:v>Diciembre</c:v>
                </c:pt>
                <c:pt idx="7">
                  <c:v>Enero</c:v>
                </c:pt>
                <c:pt idx="8">
                  <c:v>Febrero</c:v>
                </c:pt>
                <c:pt idx="9">
                  <c:v>Marzo</c:v>
                </c:pt>
                <c:pt idx="10">
                  <c:v>Abril</c:v>
                </c:pt>
                <c:pt idx="11">
                  <c:v>Mayo</c:v>
                </c:pt>
              </c:strCache>
            </c:strRef>
          </c:cat>
          <c:val>
            <c:numRef>
              <c:f>[3]Sheet1!$C$2:$C$13</c:f>
              <c:numCache>
                <c:formatCode>General</c:formatCode>
                <c:ptCount val="12"/>
                <c:pt idx="0">
                  <c:v>513.20000000000005</c:v>
                </c:pt>
                <c:pt idx="1">
                  <c:v>508.95</c:v>
                </c:pt>
                <c:pt idx="2">
                  <c:v>510.88</c:v>
                </c:pt>
                <c:pt idx="3">
                  <c:v>519.51</c:v>
                </c:pt>
                <c:pt idx="4">
                  <c:v>520.34</c:v>
                </c:pt>
                <c:pt idx="5">
                  <c:v>520.87</c:v>
                </c:pt>
                <c:pt idx="6">
                  <c:v>509.26</c:v>
                </c:pt>
                <c:pt idx="7">
                  <c:v>518.33000000000004</c:v>
                </c:pt>
                <c:pt idx="8">
                  <c:v>516.23</c:v>
                </c:pt>
                <c:pt idx="9">
                  <c:v>517.35</c:v>
                </c:pt>
                <c:pt idx="10">
                  <c:v>513.58000000000004</c:v>
                </c:pt>
                <c:pt idx="11">
                  <c:v>512</c:v>
                </c:pt>
              </c:numCache>
            </c:numRef>
          </c:val>
          <c:smooth val="0"/>
          <c:extLst>
            <c:ext xmlns:c16="http://schemas.microsoft.com/office/drawing/2014/chart" uri="{C3380CC4-5D6E-409C-BE32-E72D297353CC}">
              <c16:uniqueId val="{00000001-EB1D-5849-B8C2-DB277B837B44}"/>
            </c:ext>
          </c:extLst>
        </c:ser>
        <c:dLbls>
          <c:showLegendKey val="0"/>
          <c:showVal val="0"/>
          <c:showCatName val="0"/>
          <c:showSerName val="0"/>
          <c:showPercent val="0"/>
          <c:showBubbleSize val="0"/>
        </c:dLbls>
        <c:smooth val="0"/>
        <c:axId val="713829752"/>
        <c:axId val="713832728"/>
      </c:lineChart>
      <c:catAx>
        <c:axId val="713829752"/>
        <c:scaling>
          <c:orientation val="minMax"/>
        </c:scaling>
        <c:delete val="0"/>
        <c:axPos val="b"/>
        <c:numFmt formatCode="General" sourceLinked="0"/>
        <c:majorTickMark val="none"/>
        <c:minorTickMark val="none"/>
        <c:tickLblPos val="nextTo"/>
        <c:crossAx val="713832728"/>
        <c:crosses val="autoZero"/>
        <c:auto val="1"/>
        <c:lblAlgn val="ctr"/>
        <c:lblOffset val="100"/>
        <c:noMultiLvlLbl val="0"/>
      </c:catAx>
      <c:valAx>
        <c:axId val="713832728"/>
        <c:scaling>
          <c:orientation val="minMax"/>
          <c:min val="500"/>
        </c:scaling>
        <c:delete val="0"/>
        <c:axPos val="l"/>
        <c:majorGridlines/>
        <c:title>
          <c:overlay val="0"/>
        </c:title>
        <c:numFmt formatCode="General" sourceLinked="1"/>
        <c:majorTickMark val="none"/>
        <c:minorTickMark val="none"/>
        <c:tickLblPos val="nextTo"/>
        <c:crossAx val="713829752"/>
        <c:crosses val="autoZero"/>
        <c:crossBetween val="between"/>
      </c:valAx>
    </c:plotArea>
    <c:legend>
      <c:legendPos val="b"/>
      <c:overlay val="0"/>
    </c:legend>
    <c:plotVisOnly val="1"/>
    <c:dispBlanksAs val="gap"/>
    <c:showDLblsOverMax val="0"/>
  </c:chart>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6</xdr:col>
      <xdr:colOff>500061</xdr:colOff>
      <xdr:row>14</xdr:row>
      <xdr:rowOff>174628</xdr:rowOff>
    </xdr:from>
    <xdr:to>
      <xdr:col>6</xdr:col>
      <xdr:colOff>775070</xdr:colOff>
      <xdr:row>16</xdr:row>
      <xdr:rowOff>7940</xdr:rowOff>
    </xdr:to>
    <xdr:pic>
      <xdr:nvPicPr>
        <xdr:cNvPr id="3" name="Graphic 2" descr="Badge Tick1 with solid fill">
          <a:extLst>
            <a:ext uri="{FF2B5EF4-FFF2-40B4-BE49-F238E27FC236}">
              <a16:creationId xmlns:a16="http://schemas.microsoft.com/office/drawing/2014/main" id="{4F3698FB-0050-3EA0-C3AF-14B76ACA70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857874" y="3079753"/>
          <a:ext cx="275009" cy="246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819150</xdr:colOff>
      <xdr:row>65</xdr:row>
      <xdr:rowOff>38100</xdr:rowOff>
    </xdr:from>
    <xdr:to>
      <xdr:col>17</xdr:col>
      <xdr:colOff>584200</xdr:colOff>
      <xdr:row>95</xdr:row>
      <xdr:rowOff>63500</xdr:rowOff>
    </xdr:to>
    <xdr:graphicFrame macro="">
      <xdr:nvGraphicFramePr>
        <xdr:cNvPr id="4" name="Chart 3">
          <a:extLst>
            <a:ext uri="{FF2B5EF4-FFF2-40B4-BE49-F238E27FC236}">
              <a16:creationId xmlns:a16="http://schemas.microsoft.com/office/drawing/2014/main" id="{5198B62F-2C77-6F65-8399-8228DFF72D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25400</xdr:rowOff>
    </xdr:from>
    <xdr:to>
      <xdr:col>7</xdr:col>
      <xdr:colOff>697230</xdr:colOff>
      <xdr:row>15</xdr:row>
      <xdr:rowOff>38735</xdr:rowOff>
    </xdr:to>
    <xdr:pic>
      <xdr:nvPicPr>
        <xdr:cNvPr id="2" name="Picture 1">
          <a:extLst>
            <a:ext uri="{FF2B5EF4-FFF2-40B4-BE49-F238E27FC236}">
              <a16:creationId xmlns:a16="http://schemas.microsoft.com/office/drawing/2014/main" id="{D26C910C-016C-0D77-2008-D999533EF1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600" y="228600"/>
          <a:ext cx="5612130" cy="28708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21</xdr:col>
      <xdr:colOff>806450</xdr:colOff>
      <xdr:row>11</xdr:row>
      <xdr:rowOff>76200</xdr:rowOff>
    </xdr:from>
    <xdr:to>
      <xdr:col>29</xdr:col>
      <xdr:colOff>787400</xdr:colOff>
      <xdr:row>30</xdr:row>
      <xdr:rowOff>76200</xdr:rowOff>
    </xdr:to>
    <xdr:graphicFrame macro="">
      <xdr:nvGraphicFramePr>
        <xdr:cNvPr id="2" name="Chart 1">
          <a:extLst>
            <a:ext uri="{FF2B5EF4-FFF2-40B4-BE49-F238E27FC236}">
              <a16:creationId xmlns:a16="http://schemas.microsoft.com/office/drawing/2014/main" id="{6A4B5CB5-CCAD-67D5-E53C-70F130BAEF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419100</xdr:colOff>
      <xdr:row>15</xdr:row>
      <xdr:rowOff>25400</xdr:rowOff>
    </xdr:from>
    <xdr:to>
      <xdr:col>29</xdr:col>
      <xdr:colOff>736600</xdr:colOff>
      <xdr:row>15</xdr:row>
      <xdr:rowOff>38100</xdr:rowOff>
    </xdr:to>
    <xdr:cxnSp macro="">
      <xdr:nvCxnSpPr>
        <xdr:cNvPr id="4" name="Straight Connector 3">
          <a:extLst>
            <a:ext uri="{FF2B5EF4-FFF2-40B4-BE49-F238E27FC236}">
              <a16:creationId xmlns:a16="http://schemas.microsoft.com/office/drawing/2014/main" id="{098B961D-6A87-9366-93A4-955AFE497F50}"/>
            </a:ext>
          </a:extLst>
        </xdr:cNvPr>
        <xdr:cNvCxnSpPr/>
      </xdr:nvCxnSpPr>
      <xdr:spPr>
        <a:xfrm>
          <a:off x="20612100" y="3441700"/>
          <a:ext cx="6362700" cy="12700"/>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22</xdr:col>
      <xdr:colOff>355600</xdr:colOff>
      <xdr:row>28</xdr:row>
      <xdr:rowOff>0</xdr:rowOff>
    </xdr:from>
    <xdr:to>
      <xdr:col>29</xdr:col>
      <xdr:colOff>673100</xdr:colOff>
      <xdr:row>28</xdr:row>
      <xdr:rowOff>12700</xdr:rowOff>
    </xdr:to>
    <xdr:cxnSp macro="">
      <xdr:nvCxnSpPr>
        <xdr:cNvPr id="5" name="Straight Connector 4">
          <a:extLst>
            <a:ext uri="{FF2B5EF4-FFF2-40B4-BE49-F238E27FC236}">
              <a16:creationId xmlns:a16="http://schemas.microsoft.com/office/drawing/2014/main" id="{71F01206-B08D-3440-8880-0B1DEC64ED87}"/>
            </a:ext>
          </a:extLst>
        </xdr:cNvPr>
        <xdr:cNvCxnSpPr/>
      </xdr:nvCxnSpPr>
      <xdr:spPr>
        <a:xfrm>
          <a:off x="20548600" y="6223000"/>
          <a:ext cx="6362700" cy="12700"/>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50800</xdr:colOff>
      <xdr:row>8</xdr:row>
      <xdr:rowOff>139700</xdr:rowOff>
    </xdr:from>
    <xdr:to>
      <xdr:col>27</xdr:col>
      <xdr:colOff>685800</xdr:colOff>
      <xdr:row>27</xdr:row>
      <xdr:rowOff>0</xdr:rowOff>
    </xdr:to>
    <xdr:graphicFrame macro="">
      <xdr:nvGraphicFramePr>
        <xdr:cNvPr id="2" name="Chart 1">
          <a:extLst>
            <a:ext uri="{FF2B5EF4-FFF2-40B4-BE49-F238E27FC236}">
              <a16:creationId xmlns:a16="http://schemas.microsoft.com/office/drawing/2014/main" id="{57B6B4D1-AA89-66A1-2848-5FA1997265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508000</xdr:colOff>
      <xdr:row>12</xdr:row>
      <xdr:rowOff>152400</xdr:rowOff>
    </xdr:from>
    <xdr:to>
      <xdr:col>27</xdr:col>
      <xdr:colOff>596900</xdr:colOff>
      <xdr:row>12</xdr:row>
      <xdr:rowOff>165100</xdr:rowOff>
    </xdr:to>
    <xdr:cxnSp macro="">
      <xdr:nvCxnSpPr>
        <xdr:cNvPr id="4" name="Straight Connector 3">
          <a:extLst>
            <a:ext uri="{FF2B5EF4-FFF2-40B4-BE49-F238E27FC236}">
              <a16:creationId xmlns:a16="http://schemas.microsoft.com/office/drawing/2014/main" id="{61DB79E7-5C63-3BA1-EFAC-8050C013AEBE}"/>
            </a:ext>
          </a:extLst>
        </xdr:cNvPr>
        <xdr:cNvCxnSpPr/>
      </xdr:nvCxnSpPr>
      <xdr:spPr>
        <a:xfrm>
          <a:off x="17526000" y="2933700"/>
          <a:ext cx="6680200" cy="12700"/>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20</xdr:col>
      <xdr:colOff>457200</xdr:colOff>
      <xdr:row>24</xdr:row>
      <xdr:rowOff>177800</xdr:rowOff>
    </xdr:from>
    <xdr:to>
      <xdr:col>27</xdr:col>
      <xdr:colOff>546100</xdr:colOff>
      <xdr:row>24</xdr:row>
      <xdr:rowOff>190500</xdr:rowOff>
    </xdr:to>
    <xdr:cxnSp macro="">
      <xdr:nvCxnSpPr>
        <xdr:cNvPr id="5" name="Straight Connector 4">
          <a:extLst>
            <a:ext uri="{FF2B5EF4-FFF2-40B4-BE49-F238E27FC236}">
              <a16:creationId xmlns:a16="http://schemas.microsoft.com/office/drawing/2014/main" id="{8A819F0F-12FA-E241-B9FC-98DD1BD8655D}"/>
            </a:ext>
          </a:extLst>
        </xdr:cNvPr>
        <xdr:cNvCxnSpPr/>
      </xdr:nvCxnSpPr>
      <xdr:spPr>
        <a:xfrm>
          <a:off x="17475200" y="5549900"/>
          <a:ext cx="6680200" cy="12700"/>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364068</xdr:colOff>
      <xdr:row>43</xdr:row>
      <xdr:rowOff>177801</xdr:rowOff>
    </xdr:from>
    <xdr:to>
      <xdr:col>9</xdr:col>
      <xdr:colOff>330201</xdr:colOff>
      <xdr:row>69</xdr:row>
      <xdr:rowOff>152401</xdr:rowOff>
    </xdr:to>
    <xdr:graphicFrame macro="">
      <xdr:nvGraphicFramePr>
        <xdr:cNvPr id="2" name="Chart 1">
          <a:extLst>
            <a:ext uri="{FF2B5EF4-FFF2-40B4-BE49-F238E27FC236}">
              <a16:creationId xmlns:a16="http://schemas.microsoft.com/office/drawing/2014/main" id="{5D147D31-5559-8A99-1A0F-7C58A098DC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314960</xdr:colOff>
      <xdr:row>0</xdr:row>
      <xdr:rowOff>81280</xdr:rowOff>
    </xdr:from>
    <xdr:to>
      <xdr:col>19</xdr:col>
      <xdr:colOff>71120</xdr:colOff>
      <xdr:row>22</xdr:row>
      <xdr:rowOff>10160</xdr:rowOff>
    </xdr:to>
    <xdr:graphicFrame macro="">
      <xdr:nvGraphicFramePr>
        <xdr:cNvPr id="2" name="Chart 1">
          <a:extLst>
            <a:ext uri="{FF2B5EF4-FFF2-40B4-BE49-F238E27FC236}">
              <a16:creationId xmlns:a16="http://schemas.microsoft.com/office/drawing/2014/main" id="{FCC9D9AD-8C70-0641-82EB-BA40D754D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215900</xdr:colOff>
      <xdr:row>3</xdr:row>
      <xdr:rowOff>12700</xdr:rowOff>
    </xdr:from>
    <xdr:to>
      <xdr:col>5</xdr:col>
      <xdr:colOff>368300</xdr:colOff>
      <xdr:row>3</xdr:row>
      <xdr:rowOff>152400</xdr:rowOff>
    </xdr:to>
    <xdr:pic>
      <xdr:nvPicPr>
        <xdr:cNvPr id="19457" name="Picture 1">
          <a:extLst>
            <a:ext uri="{FF2B5EF4-FFF2-40B4-BE49-F238E27FC236}">
              <a16:creationId xmlns:a16="http://schemas.microsoft.com/office/drawing/2014/main" id="{5C8EF363-C7C0-9A7E-023F-10DC38D09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4600" y="622300"/>
          <a:ext cx="152400" cy="139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6</xdr:col>
      <xdr:colOff>254000</xdr:colOff>
      <xdr:row>3</xdr:row>
      <xdr:rowOff>12700</xdr:rowOff>
    </xdr:from>
    <xdr:to>
      <xdr:col>6</xdr:col>
      <xdr:colOff>368300</xdr:colOff>
      <xdr:row>3</xdr:row>
      <xdr:rowOff>165100</xdr:rowOff>
    </xdr:to>
    <xdr:pic>
      <xdr:nvPicPr>
        <xdr:cNvPr id="19458" name="Picture 2">
          <a:extLst>
            <a:ext uri="{FF2B5EF4-FFF2-40B4-BE49-F238E27FC236}">
              <a16:creationId xmlns:a16="http://schemas.microsoft.com/office/drawing/2014/main" id="{B836B276-0667-101F-B0B2-924F86EFD2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18200" y="622300"/>
          <a:ext cx="114300"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twoCellAnchor editAs="oneCell">
    <xdr:from>
      <xdr:col>7</xdr:col>
      <xdr:colOff>292100</xdr:colOff>
      <xdr:row>3</xdr:row>
      <xdr:rowOff>12700</xdr:rowOff>
    </xdr:from>
    <xdr:to>
      <xdr:col>7</xdr:col>
      <xdr:colOff>406400</xdr:colOff>
      <xdr:row>3</xdr:row>
      <xdr:rowOff>152400</xdr:rowOff>
    </xdr:to>
    <xdr:pic>
      <xdr:nvPicPr>
        <xdr:cNvPr id="19459" name="Picture 3">
          <a:extLst>
            <a:ext uri="{FF2B5EF4-FFF2-40B4-BE49-F238E27FC236}">
              <a16:creationId xmlns:a16="http://schemas.microsoft.com/office/drawing/2014/main" id="{6CCCD8D3-F3F1-B627-076A-127CFD70FF2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96100" y="622300"/>
          <a:ext cx="114300" cy="139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Yamileth/Mis%20documentos/Familia%20Lara%20Roldan/U_C_R/I%20semestre%202009/I%20parcial%202009/Soluci&#243;n%20primer%20parcial%20I-2009.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Volumes/Enrique%20Leo&#769;/UCR/Docencia/Exa&#769;menes/Solucio&#769;n%20de%20Exa&#769;menes/Me&#769;todos%20Cuantitativos/Solucion%201p-I-12.xlsx" TargetMode="External"/><Relationship Id="rId1" Type="http://schemas.openxmlformats.org/officeDocument/2006/relationships/externalLinkPath" Target="/Volumes/Enrique%20Leo&#769;/UCR/Docencia/Exa&#769;menes/Solucio&#769;n%20de%20Exa&#769;menes/Me&#769;todos%20Cuantitativos/Solucion%201p-I-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nrique/Documents/UCR/Profesor/Ex&#225;menes/Soluci&#243;n%20de%20Ex&#225;menes/M&#233;todos%20Cuantitativos/Soluci&#243;n%201p-1-12/Soluci&#243;n%20pron&#243;st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Árbol"/>
      <sheetName val="Pronóstico"/>
      <sheetName val="Inventario probabilístico"/>
      <sheetName val="Inventario determinístico"/>
      <sheetName val="Hoja1"/>
    </sheetNames>
    <sheetDataSet>
      <sheetData sheetId="0">
        <row r="38">
          <cell r="Q38">
            <v>0.2</v>
          </cell>
        </row>
        <row r="39">
          <cell r="Q39" t="str">
            <v>Éxito</v>
          </cell>
        </row>
        <row r="40">
          <cell r="X40">
            <v>10000000</v>
          </cell>
        </row>
        <row r="41">
          <cell r="Q41">
            <v>10000000</v>
          </cell>
          <cell r="R41">
            <v>10000000</v>
          </cell>
        </row>
        <row r="43">
          <cell r="Q43">
            <v>0.3</v>
          </cell>
        </row>
        <row r="44">
          <cell r="M44" t="str">
            <v>Publicar</v>
          </cell>
          <cell r="Q44" t="str">
            <v>Moderado</v>
          </cell>
        </row>
        <row r="45">
          <cell r="X45">
            <v>5000000</v>
          </cell>
        </row>
        <row r="46">
          <cell r="M46">
            <v>0</v>
          </cell>
          <cell r="N46">
            <v>-2500000</v>
          </cell>
          <cell r="Q46">
            <v>5000000</v>
          </cell>
          <cell r="R46">
            <v>5000000</v>
          </cell>
        </row>
        <row r="48">
          <cell r="Q48">
            <v>0.5</v>
          </cell>
        </row>
        <row r="49">
          <cell r="I49" t="str">
            <v>Sin Revisores</v>
          </cell>
          <cell r="Q49" t="str">
            <v>Pobre</v>
          </cell>
        </row>
        <row r="50">
          <cell r="K50">
            <v>2</v>
          </cell>
          <cell r="X50">
            <v>-12000000</v>
          </cell>
        </row>
        <row r="51">
          <cell r="I51">
            <v>0</v>
          </cell>
          <cell r="J51">
            <v>200000</v>
          </cell>
          <cell r="Q51">
            <v>-12000000</v>
          </cell>
          <cell r="R51">
            <v>-12000000</v>
          </cell>
        </row>
        <row r="54">
          <cell r="M54" t="str">
            <v>No publicar</v>
          </cell>
        </row>
        <row r="55">
          <cell r="X55">
            <v>200000</v>
          </cell>
        </row>
        <row r="56">
          <cell r="M56">
            <v>200000</v>
          </cell>
          <cell r="N56">
            <v>200000</v>
          </cell>
        </row>
        <row r="58">
          <cell r="U58">
            <v>0.76576576576576583</v>
          </cell>
        </row>
        <row r="59">
          <cell r="U59" t="str">
            <v>Éxito</v>
          </cell>
        </row>
        <row r="60">
          <cell r="X60">
            <v>9000000</v>
          </cell>
        </row>
        <row r="61">
          <cell r="U61">
            <v>10000000</v>
          </cell>
          <cell r="V61">
            <v>9000000</v>
          </cell>
        </row>
        <row r="63">
          <cell r="U63">
            <v>0.12162162162162161</v>
          </cell>
        </row>
        <row r="64">
          <cell r="Q64" t="str">
            <v>Publicar</v>
          </cell>
          <cell r="U64" t="str">
            <v>Moderado</v>
          </cell>
        </row>
        <row r="65">
          <cell r="X65">
            <v>4000000</v>
          </cell>
        </row>
        <row r="66">
          <cell r="Q66">
            <v>0</v>
          </cell>
          <cell r="R66">
            <v>5914414.4144144142</v>
          </cell>
          <cell r="U66">
            <v>5000000</v>
          </cell>
          <cell r="V66">
            <v>4000000</v>
          </cell>
        </row>
        <row r="68">
          <cell r="M68">
            <v>0.222</v>
          </cell>
          <cell r="U68">
            <v>0.11261261261261261</v>
          </cell>
        </row>
        <row r="69">
          <cell r="M69" t="str">
            <v>Muy Buena</v>
          </cell>
          <cell r="U69" t="str">
            <v>Pobre</v>
          </cell>
        </row>
        <row r="70">
          <cell r="G70">
            <v>2</v>
          </cell>
          <cell r="O70">
            <v>1</v>
          </cell>
          <cell r="X70">
            <v>-13000000</v>
          </cell>
        </row>
        <row r="71">
          <cell r="F71">
            <v>1006399.9999999998</v>
          </cell>
          <cell r="M71">
            <v>0</v>
          </cell>
          <cell r="N71">
            <v>5914414.4144144142</v>
          </cell>
          <cell r="U71">
            <v>-12000000</v>
          </cell>
          <cell r="V71">
            <v>-13000000</v>
          </cell>
        </row>
        <row r="74">
          <cell r="Q74" t="str">
            <v>No publicar</v>
          </cell>
        </row>
        <row r="75">
          <cell r="X75">
            <v>-800000</v>
          </cell>
        </row>
        <row r="76">
          <cell r="Q76">
            <v>200000</v>
          </cell>
          <cell r="R76">
            <v>-800000</v>
          </cell>
        </row>
        <row r="78">
          <cell r="U78">
            <v>8.0862533692722366E-2</v>
          </cell>
        </row>
        <row r="79">
          <cell r="U79" t="str">
            <v>Éxito</v>
          </cell>
        </row>
        <row r="80">
          <cell r="X80">
            <v>9000000</v>
          </cell>
        </row>
        <row r="81">
          <cell r="U81">
            <v>10000000</v>
          </cell>
          <cell r="V81">
            <v>9000000</v>
          </cell>
        </row>
        <row r="83">
          <cell r="U83">
            <v>0.66307277628032335</v>
          </cell>
        </row>
        <row r="84">
          <cell r="Q84" t="str">
            <v>Publicar</v>
          </cell>
          <cell r="U84" t="str">
            <v>Moderado</v>
          </cell>
        </row>
        <row r="85">
          <cell r="X85">
            <v>4000000</v>
          </cell>
        </row>
        <row r="86">
          <cell r="Q86">
            <v>0</v>
          </cell>
          <cell r="R86">
            <v>51212.938005390111</v>
          </cell>
          <cell r="U86">
            <v>5000000</v>
          </cell>
          <cell r="V86">
            <v>4000000</v>
          </cell>
        </row>
        <row r="88">
          <cell r="M88">
            <v>0.371</v>
          </cell>
          <cell r="U88">
            <v>0.2560646900269542</v>
          </cell>
        </row>
        <row r="89">
          <cell r="I89" t="str">
            <v>Con Revisores</v>
          </cell>
          <cell r="M89" t="str">
            <v>Aceptable</v>
          </cell>
          <cell r="U89" t="str">
            <v>Pobre</v>
          </cell>
        </row>
        <row r="90">
          <cell r="O90">
            <v>1</v>
          </cell>
          <cell r="X90">
            <v>-13000000</v>
          </cell>
        </row>
        <row r="91">
          <cell r="I91">
            <v>-1000000</v>
          </cell>
          <cell r="J91">
            <v>1006399.9999999998</v>
          </cell>
          <cell r="M91">
            <v>0</v>
          </cell>
          <cell r="N91">
            <v>51212.938005390111</v>
          </cell>
          <cell r="U91">
            <v>-12000000</v>
          </cell>
          <cell r="V91">
            <v>-13000000</v>
          </cell>
        </row>
        <row r="94">
          <cell r="Q94" t="str">
            <v>No publicar</v>
          </cell>
        </row>
        <row r="95">
          <cell r="X95">
            <v>-800000</v>
          </cell>
        </row>
        <row r="96">
          <cell r="Q96">
            <v>200000</v>
          </cell>
          <cell r="R96">
            <v>-800000</v>
          </cell>
        </row>
        <row r="98">
          <cell r="U98">
            <v>0</v>
          </cell>
        </row>
        <row r="99">
          <cell r="U99" t="str">
            <v>Éxito</v>
          </cell>
        </row>
        <row r="100">
          <cell r="X100">
            <v>9000000</v>
          </cell>
        </row>
        <row r="101">
          <cell r="U101">
            <v>10000000</v>
          </cell>
          <cell r="V101">
            <v>9000000</v>
          </cell>
        </row>
        <row r="103">
          <cell r="U103">
            <v>6.6339066339066333E-2</v>
          </cell>
        </row>
        <row r="104">
          <cell r="Q104" t="str">
            <v>Publicar</v>
          </cell>
          <cell r="U104" t="str">
            <v>Moderado</v>
          </cell>
        </row>
        <row r="105">
          <cell r="X105">
            <v>4000000</v>
          </cell>
        </row>
        <row r="106">
          <cell r="Q106">
            <v>0</v>
          </cell>
          <cell r="R106">
            <v>-11872235.872235872</v>
          </cell>
          <cell r="U106">
            <v>5000000</v>
          </cell>
          <cell r="V106">
            <v>4000000</v>
          </cell>
        </row>
        <row r="108">
          <cell r="M108">
            <v>0.40700000000000003</v>
          </cell>
          <cell r="U108">
            <v>0.93366093366093361</v>
          </cell>
        </row>
        <row r="109">
          <cell r="M109" t="str">
            <v>Dudosa</v>
          </cell>
          <cell r="U109" t="str">
            <v>Pobre</v>
          </cell>
        </row>
        <row r="110">
          <cell r="O110">
            <v>2</v>
          </cell>
          <cell r="X110">
            <v>-13000000</v>
          </cell>
        </row>
        <row r="111">
          <cell r="M111">
            <v>0</v>
          </cell>
          <cell r="N111">
            <v>-800000</v>
          </cell>
          <cell r="U111">
            <v>-12000000</v>
          </cell>
          <cell r="V111">
            <v>-13000000</v>
          </cell>
        </row>
        <row r="114">
          <cell r="Q114" t="str">
            <v>No publicar</v>
          </cell>
        </row>
        <row r="115">
          <cell r="X115">
            <v>-800000</v>
          </cell>
        </row>
        <row r="116">
          <cell r="Q116">
            <v>200000</v>
          </cell>
          <cell r="R116">
            <v>-800000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Árbol"/>
      <sheetName val="Pronosticos"/>
      <sheetName val="Protón"/>
    </sheetNames>
    <sheetDataSet>
      <sheetData sheetId="0">
        <row r="4">
          <cell r="Y4">
            <v>0.45000000000000007</v>
          </cell>
        </row>
        <row r="5">
          <cell r="Y5" t="str">
            <v>Grande</v>
          </cell>
        </row>
        <row r="6">
          <cell r="AB6">
            <v>21950000</v>
          </cell>
        </row>
        <row r="7">
          <cell r="Y7">
            <v>22000000</v>
          </cell>
          <cell r="Z7">
            <v>21950000</v>
          </cell>
        </row>
        <row r="9">
          <cell r="Y9">
            <v>0.4</v>
          </cell>
        </row>
        <row r="10">
          <cell r="U10" t="str">
            <v>Limitado</v>
          </cell>
          <cell r="Y10" t="str">
            <v>Medio</v>
          </cell>
        </row>
        <row r="11">
          <cell r="AB11">
            <v>7950000</v>
          </cell>
        </row>
        <row r="12">
          <cell r="U12">
            <v>0</v>
          </cell>
          <cell r="V12">
            <v>11550000.000000002</v>
          </cell>
          <cell r="Y12">
            <v>8000000</v>
          </cell>
          <cell r="Z12">
            <v>7950000</v>
          </cell>
        </row>
        <row r="14">
          <cell r="Y14">
            <v>0.15</v>
          </cell>
        </row>
        <row r="15">
          <cell r="Y15" t="str">
            <v>Fracaso</v>
          </cell>
        </row>
        <row r="16">
          <cell r="Q16">
            <v>0.6</v>
          </cell>
          <cell r="AB16">
            <v>-10050000</v>
          </cell>
        </row>
        <row r="17">
          <cell r="Q17" t="str">
            <v>Sobresaliente</v>
          </cell>
          <cell r="Y17">
            <v>-10000000</v>
          </cell>
          <cell r="Z17">
            <v>-10050000</v>
          </cell>
        </row>
        <row r="18">
          <cell r="S18">
            <v>1</v>
          </cell>
        </row>
        <row r="19">
          <cell r="Q19">
            <v>0</v>
          </cell>
          <cell r="R19">
            <v>11550000.000000002</v>
          </cell>
          <cell r="Y19">
            <v>0.45000000000000007</v>
          </cell>
        </row>
        <row r="20">
          <cell r="Y20" t="str">
            <v>Grande</v>
          </cell>
        </row>
        <row r="21">
          <cell r="AB21">
            <v>11950000</v>
          </cell>
        </row>
        <row r="22">
          <cell r="Y22">
            <v>12000000</v>
          </cell>
          <cell r="Z22">
            <v>11950000</v>
          </cell>
        </row>
        <row r="24">
          <cell r="Y24">
            <v>0.4</v>
          </cell>
        </row>
        <row r="25">
          <cell r="U25" t="str">
            <v>Amplio</v>
          </cell>
          <cell r="Y25" t="str">
            <v>Medio</v>
          </cell>
        </row>
        <row r="26">
          <cell r="AB26">
            <v>7950000</v>
          </cell>
        </row>
        <row r="27">
          <cell r="U27">
            <v>0</v>
          </cell>
          <cell r="V27">
            <v>8250000</v>
          </cell>
          <cell r="Y27">
            <v>8000000</v>
          </cell>
          <cell r="Z27">
            <v>7950000</v>
          </cell>
        </row>
        <row r="29">
          <cell r="Y29">
            <v>0.15</v>
          </cell>
        </row>
        <row r="30">
          <cell r="Y30" t="str">
            <v>Fracaso</v>
          </cell>
        </row>
        <row r="31">
          <cell r="AB31">
            <v>-2050000</v>
          </cell>
        </row>
        <row r="32">
          <cell r="Y32">
            <v>-2000000</v>
          </cell>
          <cell r="Z32">
            <v>-2050000</v>
          </cell>
        </row>
        <row r="34">
          <cell r="Y34">
            <v>0.1</v>
          </cell>
        </row>
        <row r="35">
          <cell r="Y35" t="str">
            <v>Grande</v>
          </cell>
        </row>
        <row r="36">
          <cell r="AB36">
            <v>21950000</v>
          </cell>
        </row>
        <row r="37">
          <cell r="Y37">
            <v>22000000</v>
          </cell>
          <cell r="Z37">
            <v>21950000</v>
          </cell>
        </row>
        <row r="39">
          <cell r="Y39">
            <v>0.4</v>
          </cell>
        </row>
        <row r="40">
          <cell r="U40" t="str">
            <v>Limitado</v>
          </cell>
          <cell r="Y40" t="str">
            <v>Medio</v>
          </cell>
        </row>
        <row r="41">
          <cell r="AB41">
            <v>7950000</v>
          </cell>
        </row>
        <row r="42">
          <cell r="U42">
            <v>0</v>
          </cell>
          <cell r="V42">
            <v>350000</v>
          </cell>
          <cell r="Y42">
            <v>8000000</v>
          </cell>
          <cell r="Z42">
            <v>7950000</v>
          </cell>
        </row>
        <row r="44">
          <cell r="Y44">
            <v>0.5</v>
          </cell>
        </row>
        <row r="45">
          <cell r="Y45" t="str">
            <v>Fracaso</v>
          </cell>
        </row>
        <row r="46">
          <cell r="Q46">
            <v>0.3</v>
          </cell>
          <cell r="AB46">
            <v>-10050000</v>
          </cell>
        </row>
        <row r="47">
          <cell r="M47" t="str">
            <v>Con audiencia</v>
          </cell>
          <cell r="Q47" t="str">
            <v>Buena</v>
          </cell>
          <cell r="Y47">
            <v>-10000000</v>
          </cell>
          <cell r="Z47">
            <v>-10050000</v>
          </cell>
        </row>
        <row r="48">
          <cell r="S48">
            <v>2</v>
          </cell>
        </row>
        <row r="49">
          <cell r="M49">
            <v>-50000</v>
          </cell>
          <cell r="N49">
            <v>8330000.0000000009</v>
          </cell>
          <cell r="Q49">
            <v>0</v>
          </cell>
          <cell r="R49">
            <v>3350000</v>
          </cell>
          <cell r="Y49">
            <v>0.1</v>
          </cell>
        </row>
        <row r="50">
          <cell r="Y50" t="str">
            <v>Grande</v>
          </cell>
        </row>
        <row r="51">
          <cell r="AB51">
            <v>11950000</v>
          </cell>
        </row>
        <row r="52">
          <cell r="Y52">
            <v>12000000</v>
          </cell>
          <cell r="Z52">
            <v>11950000</v>
          </cell>
        </row>
        <row r="54">
          <cell r="Y54">
            <v>0.4</v>
          </cell>
        </row>
        <row r="55">
          <cell r="U55" t="str">
            <v>Amplio</v>
          </cell>
          <cell r="Y55" t="str">
            <v>Medio</v>
          </cell>
        </row>
        <row r="56">
          <cell r="AB56">
            <v>7950000</v>
          </cell>
        </row>
        <row r="57">
          <cell r="U57">
            <v>0</v>
          </cell>
          <cell r="V57">
            <v>3350000</v>
          </cell>
          <cell r="Y57">
            <v>8000000</v>
          </cell>
          <cell r="Z57">
            <v>7950000</v>
          </cell>
        </row>
        <row r="59">
          <cell r="Y59">
            <v>0.5</v>
          </cell>
        </row>
        <row r="60">
          <cell r="Y60" t="str">
            <v>Fracaso</v>
          </cell>
        </row>
        <row r="61">
          <cell r="AB61">
            <v>-2050000</v>
          </cell>
        </row>
        <row r="62">
          <cell r="Y62">
            <v>-2000000</v>
          </cell>
          <cell r="Z62">
            <v>-2050000</v>
          </cell>
        </row>
        <row r="64">
          <cell r="Y64">
            <v>0</v>
          </cell>
        </row>
        <row r="65">
          <cell r="Y65" t="str">
            <v>Grande</v>
          </cell>
        </row>
        <row r="66">
          <cell r="AB66">
            <v>21950000</v>
          </cell>
        </row>
        <row r="67">
          <cell r="Y67">
            <v>22000000</v>
          </cell>
          <cell r="Z67">
            <v>21950000</v>
          </cell>
        </row>
        <row r="69">
          <cell r="Y69">
            <v>0.40000000000000008</v>
          </cell>
        </row>
        <row r="70">
          <cell r="U70" t="str">
            <v>Limitado</v>
          </cell>
          <cell r="Y70" t="str">
            <v>Medio</v>
          </cell>
        </row>
        <row r="71">
          <cell r="AB71">
            <v>7950000</v>
          </cell>
        </row>
        <row r="72">
          <cell r="U72">
            <v>0</v>
          </cell>
          <cell r="V72">
            <v>-2849999.9999999995</v>
          </cell>
          <cell r="Y72">
            <v>8000000</v>
          </cell>
          <cell r="Z72">
            <v>7950000</v>
          </cell>
        </row>
        <row r="74">
          <cell r="Y74">
            <v>0.6</v>
          </cell>
        </row>
        <row r="75">
          <cell r="Y75" t="str">
            <v>Fracaso</v>
          </cell>
        </row>
        <row r="76">
          <cell r="Q76">
            <v>0.1</v>
          </cell>
          <cell r="AB76">
            <v>-10050000</v>
          </cell>
        </row>
        <row r="77">
          <cell r="Q77" t="str">
            <v>Mala</v>
          </cell>
          <cell r="Y77">
            <v>-10000000</v>
          </cell>
          <cell r="Z77">
            <v>-10050000</v>
          </cell>
        </row>
        <row r="78">
          <cell r="K78">
            <v>1</v>
          </cell>
          <cell r="S78">
            <v>2</v>
          </cell>
        </row>
        <row r="79">
          <cell r="J79">
            <v>8330000.0000000009</v>
          </cell>
          <cell r="Q79">
            <v>0</v>
          </cell>
          <cell r="R79">
            <v>3950000</v>
          </cell>
          <cell r="Y79">
            <v>0</v>
          </cell>
        </row>
        <row r="80">
          <cell r="Y80" t="str">
            <v>Grande</v>
          </cell>
        </row>
        <row r="81">
          <cell r="AB81">
            <v>11950000</v>
          </cell>
        </row>
        <row r="82">
          <cell r="Y82">
            <v>12000000</v>
          </cell>
          <cell r="Z82">
            <v>11950000</v>
          </cell>
        </row>
        <row r="84">
          <cell r="Y84">
            <v>0.6</v>
          </cell>
        </row>
        <row r="85">
          <cell r="U85" t="str">
            <v>Amplio</v>
          </cell>
          <cell r="Y85" t="str">
            <v>Fracaso</v>
          </cell>
        </row>
        <row r="86">
          <cell r="AB86">
            <v>7950000</v>
          </cell>
        </row>
        <row r="87">
          <cell r="U87">
            <v>0</v>
          </cell>
          <cell r="V87">
            <v>3950000</v>
          </cell>
          <cell r="Y87">
            <v>8000000</v>
          </cell>
          <cell r="Z87">
            <v>7950000</v>
          </cell>
        </row>
        <row r="89">
          <cell r="Y89">
            <v>0.40000000000000008</v>
          </cell>
        </row>
        <row r="90">
          <cell r="Y90" t="str">
            <v>Medio</v>
          </cell>
        </row>
        <row r="91">
          <cell r="AB91">
            <v>-2050000</v>
          </cell>
        </row>
        <row r="92">
          <cell r="Y92">
            <v>-2000000</v>
          </cell>
          <cell r="Z92">
            <v>-2050000</v>
          </cell>
        </row>
        <row r="94">
          <cell r="U94">
            <v>0.3</v>
          </cell>
        </row>
        <row r="95">
          <cell r="U95" t="str">
            <v>Grande</v>
          </cell>
        </row>
        <row r="96">
          <cell r="AB96">
            <v>22000000</v>
          </cell>
        </row>
        <row r="97">
          <cell r="U97">
            <v>22000000</v>
          </cell>
          <cell r="V97">
            <v>22000000</v>
          </cell>
        </row>
        <row r="99">
          <cell r="U99">
            <v>0.4</v>
          </cell>
        </row>
        <row r="100">
          <cell r="Q100" t="str">
            <v>Limitado</v>
          </cell>
          <cell r="U100" t="str">
            <v>Medio</v>
          </cell>
        </row>
        <row r="101">
          <cell r="AB101">
            <v>8000000</v>
          </cell>
        </row>
        <row r="102">
          <cell r="Q102">
            <v>0</v>
          </cell>
          <cell r="R102">
            <v>6800000</v>
          </cell>
          <cell r="U102">
            <v>8000000</v>
          </cell>
          <cell r="V102">
            <v>8000000</v>
          </cell>
        </row>
        <row r="104">
          <cell r="U104">
            <v>0.3</v>
          </cell>
        </row>
        <row r="105">
          <cell r="U105" t="str">
            <v>Fracaso</v>
          </cell>
        </row>
        <row r="106">
          <cell r="AB106">
            <v>-10000000</v>
          </cell>
        </row>
        <row r="107">
          <cell r="M107" t="str">
            <v>Sin audiencia</v>
          </cell>
          <cell r="U107">
            <v>-10000000</v>
          </cell>
          <cell r="V107">
            <v>-10000000</v>
          </cell>
        </row>
        <row r="108">
          <cell r="O108">
            <v>1</v>
          </cell>
        </row>
        <row r="109">
          <cell r="M109">
            <v>0</v>
          </cell>
          <cell r="N109">
            <v>6800000</v>
          </cell>
          <cell r="U109">
            <v>0.3</v>
          </cell>
        </row>
        <row r="110">
          <cell r="U110" t="str">
            <v>Grande</v>
          </cell>
        </row>
        <row r="111">
          <cell r="AB111">
            <v>12000000</v>
          </cell>
        </row>
        <row r="112">
          <cell r="U112">
            <v>12000000</v>
          </cell>
          <cell r="V112">
            <v>12000000</v>
          </cell>
        </row>
        <row r="114">
          <cell r="U114">
            <v>0.4</v>
          </cell>
        </row>
        <row r="115">
          <cell r="Q115" t="str">
            <v>Amplio</v>
          </cell>
          <cell r="U115" t="str">
            <v>Medio</v>
          </cell>
        </row>
        <row r="116">
          <cell r="AB116">
            <v>8000000</v>
          </cell>
        </row>
        <row r="117">
          <cell r="Q117">
            <v>0</v>
          </cell>
          <cell r="R117">
            <v>6200000</v>
          </cell>
          <cell r="U117">
            <v>8000000</v>
          </cell>
          <cell r="V117">
            <v>8000000</v>
          </cell>
        </row>
        <row r="119">
          <cell r="U119">
            <v>0.3</v>
          </cell>
        </row>
        <row r="120">
          <cell r="U120" t="str">
            <v>Fracaso</v>
          </cell>
        </row>
        <row r="121">
          <cell r="AB121">
            <v>-2000000</v>
          </cell>
        </row>
        <row r="122">
          <cell r="U122">
            <v>-2000000</v>
          </cell>
          <cell r="V122">
            <v>-2000000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gunta 1"/>
      <sheetName val="Sheet1"/>
    </sheetNames>
    <sheetDataSet>
      <sheetData sheetId="0" refreshError="1"/>
      <sheetData sheetId="1">
        <row r="1">
          <cell r="B1" t="str">
            <v>Año 2010-2011</v>
          </cell>
          <cell r="C1" t="str">
            <v>Año 2011-2012</v>
          </cell>
        </row>
        <row r="2">
          <cell r="A2" t="str">
            <v>Junio</v>
          </cell>
          <cell r="B2">
            <v>526.38</v>
          </cell>
          <cell r="C2">
            <v>513.20000000000005</v>
          </cell>
        </row>
        <row r="3">
          <cell r="A3" t="str">
            <v>Julio</v>
          </cell>
          <cell r="B3">
            <v>521.02</v>
          </cell>
          <cell r="C3">
            <v>508.95</v>
          </cell>
        </row>
        <row r="4">
          <cell r="A4" t="str">
            <v>Agosto</v>
          </cell>
          <cell r="B4">
            <v>522.71</v>
          </cell>
          <cell r="C4">
            <v>510.88</v>
          </cell>
        </row>
        <row r="5">
          <cell r="A5" t="str">
            <v>Setiembre</v>
          </cell>
          <cell r="B5">
            <v>511.26</v>
          </cell>
          <cell r="C5">
            <v>519.51</v>
          </cell>
        </row>
        <row r="6">
          <cell r="A6" t="str">
            <v>Octubre</v>
          </cell>
          <cell r="B6">
            <v>515.73</v>
          </cell>
          <cell r="C6">
            <v>520.34</v>
          </cell>
        </row>
        <row r="7">
          <cell r="A7" t="str">
            <v>Noviembre</v>
          </cell>
          <cell r="B7">
            <v>510.18</v>
          </cell>
          <cell r="C7">
            <v>520.87</v>
          </cell>
        </row>
        <row r="8">
          <cell r="A8" t="str">
            <v>Diciembre</v>
          </cell>
          <cell r="B8">
            <v>512.84</v>
          </cell>
          <cell r="C8">
            <v>509.26</v>
          </cell>
        </row>
        <row r="9">
          <cell r="A9" t="str">
            <v>Enero</v>
          </cell>
          <cell r="B9">
            <v>508.09</v>
          </cell>
          <cell r="C9">
            <v>518.33000000000004</v>
          </cell>
        </row>
        <row r="10">
          <cell r="A10" t="str">
            <v>Febrero</v>
          </cell>
          <cell r="B10">
            <v>519.08000000000004</v>
          </cell>
          <cell r="C10">
            <v>516.23</v>
          </cell>
        </row>
        <row r="11">
          <cell r="A11" t="str">
            <v>Marzo</v>
          </cell>
          <cell r="B11">
            <v>506.72</v>
          </cell>
          <cell r="C11">
            <v>517.35</v>
          </cell>
        </row>
        <row r="12">
          <cell r="A12" t="str">
            <v>Abril</v>
          </cell>
          <cell r="B12">
            <v>515.24</v>
          </cell>
          <cell r="C12">
            <v>513.58000000000004</v>
          </cell>
        </row>
        <row r="13">
          <cell r="A13" t="str">
            <v>Mayo</v>
          </cell>
          <cell r="B13">
            <v>506.44</v>
          </cell>
          <cell r="C13">
            <v>512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CC889-D966-764C-A1B5-ACFBC1BC8A82}">
  <dimension ref="A2:I29"/>
  <sheetViews>
    <sheetView tabSelected="1" zoomScale="120" zoomScaleNormal="120" workbookViewId="0">
      <selection activeCell="E2" sqref="E2"/>
    </sheetView>
  </sheetViews>
  <sheetFormatPr baseColWidth="10" defaultRowHeight="16" x14ac:dyDescent="0.2"/>
  <cols>
    <col min="1" max="1" width="16.1640625" customWidth="1"/>
    <col min="4" max="4" width="13.1640625" customWidth="1"/>
    <col min="2000" max="2000" width="2.5" customWidth="1"/>
  </cols>
  <sheetData>
    <row r="2" spans="1:8" ht="17" x14ac:dyDescent="0.2">
      <c r="B2" s="1" t="s">
        <v>0</v>
      </c>
      <c r="C2" s="1" t="s">
        <v>1</v>
      </c>
      <c r="D2" s="1" t="s">
        <v>27</v>
      </c>
    </row>
    <row r="3" spans="1:8" x14ac:dyDescent="0.2">
      <c r="B3" s="2">
        <v>1</v>
      </c>
      <c r="C3" s="2">
        <v>2380</v>
      </c>
      <c r="D3" s="9">
        <f>FORECAST(B3,$C$3:$C$8,$B$3:$B$8)</f>
        <v>2385.7142857142858</v>
      </c>
    </row>
    <row r="4" spans="1:8" x14ac:dyDescent="0.2">
      <c r="B4" s="2">
        <v>2</v>
      </c>
      <c r="C4" s="2">
        <v>2620</v>
      </c>
      <c r="D4" s="9">
        <f t="shared" ref="D4:D10" si="0">FORECAST(B4,$C$3:$C$8,$B$3:$B$8)</f>
        <v>2591.4285714285716</v>
      </c>
    </row>
    <row r="5" spans="1:8" x14ac:dyDescent="0.2">
      <c r="B5" s="2">
        <v>3</v>
      </c>
      <c r="C5" s="2">
        <v>2760</v>
      </c>
      <c r="D5" s="9">
        <f t="shared" si="0"/>
        <v>2797.1428571428569</v>
      </c>
    </row>
    <row r="6" spans="1:8" x14ac:dyDescent="0.2">
      <c r="B6" s="2">
        <v>4</v>
      </c>
      <c r="C6" s="2">
        <v>3040</v>
      </c>
      <c r="D6" s="9">
        <f t="shared" si="0"/>
        <v>3002.8571428571431</v>
      </c>
    </row>
    <row r="7" spans="1:8" x14ac:dyDescent="0.2">
      <c r="B7" s="2">
        <v>5</v>
      </c>
      <c r="C7" s="2">
        <v>3160</v>
      </c>
      <c r="D7" s="9">
        <f t="shared" si="0"/>
        <v>3208.5714285714284</v>
      </c>
    </row>
    <row r="8" spans="1:8" x14ac:dyDescent="0.2">
      <c r="B8" s="2">
        <v>6</v>
      </c>
      <c r="C8" s="2">
        <v>3440</v>
      </c>
      <c r="D8" s="9">
        <f t="shared" si="0"/>
        <v>3414.2857142857142</v>
      </c>
    </row>
    <row r="9" spans="1:8" x14ac:dyDescent="0.2">
      <c r="D9" s="9"/>
    </row>
    <row r="10" spans="1:8" x14ac:dyDescent="0.2">
      <c r="B10" s="1">
        <v>10</v>
      </c>
      <c r="C10" s="10"/>
      <c r="D10" s="11">
        <f t="shared" si="0"/>
        <v>4237.1428571428569</v>
      </c>
      <c r="E10" s="6" t="s">
        <v>28</v>
      </c>
    </row>
    <row r="12" spans="1:8" x14ac:dyDescent="0.2">
      <c r="A12" t="s">
        <v>2</v>
      </c>
    </row>
    <row r="13" spans="1:8" ht="17" thickBot="1" x14ac:dyDescent="0.25"/>
    <row r="14" spans="1:8" x14ac:dyDescent="0.2">
      <c r="A14" s="5" t="s">
        <v>3</v>
      </c>
      <c r="B14" s="5"/>
    </row>
    <row r="15" spans="1:8" ht="16" customHeight="1" x14ac:dyDescent="0.2">
      <c r="A15" s="6" t="s">
        <v>4</v>
      </c>
      <c r="B15" s="6">
        <v>0.99555451159709663</v>
      </c>
      <c r="C15" s="245" t="s">
        <v>26</v>
      </c>
      <c r="D15" s="245"/>
      <c r="E15" s="245"/>
      <c r="F15" s="245"/>
      <c r="G15" s="245"/>
      <c r="H15" s="245"/>
    </row>
    <row r="16" spans="1:8" x14ac:dyDescent="0.2">
      <c r="A16" s="6" t="s">
        <v>5</v>
      </c>
      <c r="B16" s="6">
        <v>0.99112878556133366</v>
      </c>
      <c r="C16" s="245"/>
      <c r="D16" s="245"/>
      <c r="E16" s="245"/>
      <c r="F16" s="245"/>
      <c r="G16" s="245"/>
      <c r="H16" s="245"/>
    </row>
    <row r="17" spans="1:9" x14ac:dyDescent="0.2">
      <c r="A17" t="s">
        <v>6</v>
      </c>
      <c r="B17">
        <v>0.98891098195166705</v>
      </c>
    </row>
    <row r="18" spans="1:9" x14ac:dyDescent="0.2">
      <c r="A18" t="s">
        <v>7</v>
      </c>
      <c r="B18">
        <v>40.708019567928588</v>
      </c>
    </row>
    <row r="19" spans="1:9" ht="17" thickBot="1" x14ac:dyDescent="0.25">
      <c r="A19" s="3" t="s">
        <v>8</v>
      </c>
      <c r="B19" s="3">
        <v>6</v>
      </c>
    </row>
    <row r="21" spans="1:9" ht="17" thickBot="1" x14ac:dyDescent="0.25">
      <c r="A21" t="s">
        <v>9</v>
      </c>
    </row>
    <row r="22" spans="1:9" x14ac:dyDescent="0.2">
      <c r="A22" s="4"/>
      <c r="B22" s="4" t="s">
        <v>14</v>
      </c>
      <c r="C22" s="4" t="s">
        <v>15</v>
      </c>
      <c r="D22" s="4" t="s">
        <v>16</v>
      </c>
      <c r="E22" s="4" t="s">
        <v>17</v>
      </c>
      <c r="F22" s="4" t="s">
        <v>18</v>
      </c>
    </row>
    <row r="23" spans="1:9" x14ac:dyDescent="0.2">
      <c r="A23" t="s">
        <v>10</v>
      </c>
      <c r="B23">
        <v>1</v>
      </c>
      <c r="C23">
        <v>740571.42857142852</v>
      </c>
      <c r="D23">
        <v>740571.42857142852</v>
      </c>
      <c r="E23">
        <v>446.89655172413796</v>
      </c>
      <c r="F23">
        <v>2.9599624023553492E-5</v>
      </c>
    </row>
    <row r="24" spans="1:9" x14ac:dyDescent="0.2">
      <c r="A24" t="s">
        <v>11</v>
      </c>
      <c r="B24">
        <v>4</v>
      </c>
      <c r="C24">
        <v>6628.5714285714275</v>
      </c>
      <c r="D24">
        <v>1657.1428571428569</v>
      </c>
    </row>
    <row r="25" spans="1:9" ht="17" thickBot="1" x14ac:dyDescent="0.25">
      <c r="A25" s="3" t="s">
        <v>12</v>
      </c>
      <c r="B25" s="3">
        <v>5</v>
      </c>
      <c r="C25" s="3">
        <v>747200</v>
      </c>
      <c r="D25" s="3"/>
      <c r="E25" s="3"/>
      <c r="F25" s="3"/>
    </row>
    <row r="26" spans="1:9" ht="17" thickBot="1" x14ac:dyDescent="0.25"/>
    <row r="27" spans="1:9" x14ac:dyDescent="0.2">
      <c r="A27" s="4"/>
      <c r="B27" s="4" t="s">
        <v>19</v>
      </c>
      <c r="C27" s="4" t="s">
        <v>7</v>
      </c>
      <c r="D27" s="4" t="s">
        <v>20</v>
      </c>
      <c r="E27" s="4" t="s">
        <v>21</v>
      </c>
      <c r="F27" s="4" t="s">
        <v>22</v>
      </c>
      <c r="G27" s="4" t="s">
        <v>23</v>
      </c>
      <c r="H27" s="4" t="s">
        <v>24</v>
      </c>
      <c r="I27" s="4" t="s">
        <v>25</v>
      </c>
    </row>
    <row r="28" spans="1:9" x14ac:dyDescent="0.2">
      <c r="A28" t="s">
        <v>13</v>
      </c>
      <c r="B28">
        <v>2180</v>
      </c>
      <c r="C28">
        <v>37.897103796866531</v>
      </c>
      <c r="D28">
        <v>57.52418474206069</v>
      </c>
      <c r="E28">
        <v>5.4685841505000854E-7</v>
      </c>
      <c r="F28">
        <v>2074.7807716620173</v>
      </c>
      <c r="G28">
        <v>2285.2192283379827</v>
      </c>
      <c r="H28">
        <v>2074.7807716620173</v>
      </c>
      <c r="I28">
        <v>2285.2192283379827</v>
      </c>
    </row>
    <row r="29" spans="1:9" ht="17" thickBot="1" x14ac:dyDescent="0.25">
      <c r="A29" s="3" t="s">
        <v>0</v>
      </c>
      <c r="B29" s="3">
        <v>205.71428571428569</v>
      </c>
      <c r="C29" s="3">
        <v>9.7310779233865148</v>
      </c>
      <c r="D29" s="3">
        <v>21.139927902529323</v>
      </c>
      <c r="E29" s="3">
        <v>2.9599624023553492E-5</v>
      </c>
      <c r="F29" s="3">
        <v>178.6964820456009</v>
      </c>
      <c r="G29" s="3">
        <v>232.73208938297049</v>
      </c>
      <c r="H29" s="3">
        <v>178.6964820456009</v>
      </c>
      <c r="I29" s="3">
        <v>232.73208938297049</v>
      </c>
    </row>
  </sheetData>
  <mergeCells count="1">
    <mergeCell ref="C15:H1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8475D-9A4F-3E40-B449-AA632A2AFAAD}">
  <dimension ref="B1:AD43"/>
  <sheetViews>
    <sheetView workbookViewId="0">
      <selection activeCell="D2" sqref="D2"/>
    </sheetView>
  </sheetViews>
  <sheetFormatPr baseColWidth="10" defaultRowHeight="16" x14ac:dyDescent="0.2"/>
  <cols>
    <col min="1" max="1" width="4.33203125" customWidth="1"/>
    <col min="3" max="3" width="15.33203125" customWidth="1"/>
    <col min="4" max="4" width="14.6640625" customWidth="1"/>
    <col min="6" max="6" width="15" customWidth="1"/>
    <col min="11" max="11" width="11.6640625" bestFit="1" customWidth="1"/>
    <col min="12" max="12" width="15.83203125" customWidth="1"/>
    <col min="13" max="13" width="5.83203125" customWidth="1"/>
    <col min="14" max="14" width="15" customWidth="1"/>
    <col min="15" max="16" width="12.1640625" bestFit="1" customWidth="1"/>
    <col min="17" max="17" width="12.83203125" bestFit="1" customWidth="1"/>
    <col min="20" max="20" width="21.83203125" bestFit="1" customWidth="1"/>
    <col min="23" max="23" width="11.6640625" customWidth="1"/>
    <col min="25" max="25" width="11.6640625" bestFit="1" customWidth="1"/>
    <col min="27" max="27" width="12.6640625" customWidth="1"/>
  </cols>
  <sheetData>
    <row r="1" spans="2:30" ht="17" thickBot="1" x14ac:dyDescent="0.25"/>
    <row r="2" spans="2:30" x14ac:dyDescent="0.2">
      <c r="B2" s="107" t="s">
        <v>35</v>
      </c>
      <c r="C2" s="108">
        <v>0.3</v>
      </c>
    </row>
    <row r="3" spans="2:30" x14ac:dyDescent="0.2">
      <c r="B3" s="109" t="s">
        <v>170</v>
      </c>
      <c r="C3" s="110">
        <v>0.5</v>
      </c>
      <c r="G3" s="266" t="s">
        <v>82</v>
      </c>
      <c r="H3" s="267"/>
      <c r="I3" s="267"/>
      <c r="J3" s="267"/>
      <c r="K3" s="267"/>
      <c r="L3" s="268"/>
      <c r="O3" s="266" t="s">
        <v>226</v>
      </c>
      <c r="P3" s="267"/>
      <c r="Q3" s="267"/>
      <c r="R3" s="267"/>
      <c r="S3" s="267"/>
      <c r="T3" s="268"/>
    </row>
    <row r="4" spans="2:30" ht="17" thickBot="1" x14ac:dyDescent="0.25">
      <c r="B4" s="111" t="s">
        <v>171</v>
      </c>
      <c r="C4" s="112">
        <v>0.7</v>
      </c>
      <c r="G4" s="13" t="s">
        <v>85</v>
      </c>
      <c r="H4" s="37" t="s">
        <v>79</v>
      </c>
      <c r="I4" s="37" t="s">
        <v>80</v>
      </c>
      <c r="J4" s="37" t="s">
        <v>83</v>
      </c>
      <c r="K4" s="37" t="s">
        <v>27</v>
      </c>
      <c r="L4" s="37" t="s">
        <v>33</v>
      </c>
      <c r="O4" s="13" t="s">
        <v>85</v>
      </c>
      <c r="P4" s="37" t="s">
        <v>79</v>
      </c>
      <c r="Q4" s="37" t="s">
        <v>80</v>
      </c>
      <c r="R4" s="37" t="s">
        <v>83</v>
      </c>
      <c r="S4" s="37" t="s">
        <v>27</v>
      </c>
      <c r="T4" s="37" t="s">
        <v>33</v>
      </c>
    </row>
    <row r="5" spans="2:30" ht="17" thickBot="1" x14ac:dyDescent="0.25">
      <c r="B5" s="96" t="s">
        <v>84</v>
      </c>
      <c r="C5" s="97">
        <v>4</v>
      </c>
      <c r="G5" s="12">
        <v>-2</v>
      </c>
      <c r="H5" s="12"/>
      <c r="I5" s="12"/>
      <c r="J5" s="12">
        <v>1</v>
      </c>
      <c r="K5" s="12"/>
      <c r="L5" s="12"/>
      <c r="O5" s="12">
        <v>-2</v>
      </c>
      <c r="P5" s="12"/>
      <c r="Q5" s="12"/>
      <c r="R5" s="12">
        <v>1</v>
      </c>
      <c r="S5" s="12"/>
      <c r="T5" s="12"/>
    </row>
    <row r="6" spans="2:30" x14ac:dyDescent="0.2">
      <c r="G6" s="60">
        <v>-1</v>
      </c>
      <c r="H6" s="60"/>
      <c r="I6" s="60"/>
      <c r="J6" s="60">
        <v>1</v>
      </c>
      <c r="K6" s="60"/>
      <c r="L6" s="60"/>
      <c r="O6" s="60">
        <v>-1</v>
      </c>
      <c r="P6" s="60"/>
      <c r="Q6" s="60"/>
      <c r="R6" s="60">
        <v>1</v>
      </c>
      <c r="S6" s="60"/>
      <c r="T6" s="60"/>
      <c r="W6" s="270" t="s">
        <v>252</v>
      </c>
      <c r="X6" s="290"/>
      <c r="Y6" s="290"/>
      <c r="Z6" s="290"/>
      <c r="AA6" s="290"/>
      <c r="AB6" s="290"/>
      <c r="AC6" s="290"/>
      <c r="AD6" s="290"/>
    </row>
    <row r="7" spans="2:30" ht="34" x14ac:dyDescent="0.2">
      <c r="C7" s="50" t="s">
        <v>29</v>
      </c>
      <c r="D7" s="50" t="s">
        <v>224</v>
      </c>
      <c r="E7" s="50" t="s">
        <v>193</v>
      </c>
      <c r="F7" s="50" t="s">
        <v>225</v>
      </c>
      <c r="G7" s="73">
        <v>0</v>
      </c>
      <c r="H7" s="73"/>
      <c r="I7" s="73"/>
      <c r="J7" s="73">
        <v>1</v>
      </c>
      <c r="K7" s="73"/>
      <c r="L7" s="73"/>
      <c r="N7" s="50" t="s">
        <v>225</v>
      </c>
      <c r="O7" s="73">
        <v>0</v>
      </c>
      <c r="P7" s="73"/>
      <c r="Q7" s="73"/>
      <c r="R7" s="73">
        <v>1</v>
      </c>
      <c r="S7" s="73"/>
      <c r="T7" s="73"/>
      <c r="W7" s="37" t="s">
        <v>27</v>
      </c>
      <c r="X7" s="37" t="s">
        <v>238</v>
      </c>
      <c r="Y7" s="37" t="s">
        <v>239</v>
      </c>
      <c r="Z7" s="37" t="s">
        <v>240</v>
      </c>
      <c r="AA7" s="50" t="s">
        <v>241</v>
      </c>
      <c r="AB7" s="37" t="s">
        <v>242</v>
      </c>
      <c r="AC7" s="37" t="s">
        <v>243</v>
      </c>
      <c r="AD7" s="37" t="s">
        <v>244</v>
      </c>
    </row>
    <row r="8" spans="2:30" ht="17" x14ac:dyDescent="0.2">
      <c r="B8" s="50">
        <v>2021</v>
      </c>
      <c r="C8" s="106" t="s">
        <v>212</v>
      </c>
      <c r="D8" s="52">
        <v>500</v>
      </c>
      <c r="E8" s="60">
        <v>1</v>
      </c>
      <c r="F8" s="60">
        <f>SUM(D8:D10)</f>
        <v>2100</v>
      </c>
      <c r="G8" s="52">
        <v>1</v>
      </c>
      <c r="H8" s="60">
        <v>2100</v>
      </c>
      <c r="I8" s="60">
        <v>0</v>
      </c>
      <c r="J8" s="60">
        <v>1</v>
      </c>
      <c r="K8" s="60" t="s">
        <v>32</v>
      </c>
      <c r="L8" s="60" t="s">
        <v>32</v>
      </c>
      <c r="N8" s="60">
        <f>F8</f>
        <v>2100</v>
      </c>
      <c r="O8" s="52">
        <v>1</v>
      </c>
      <c r="P8" s="60">
        <v>2100</v>
      </c>
      <c r="Q8" s="60">
        <v>0</v>
      </c>
      <c r="R8" s="60">
        <v>1</v>
      </c>
      <c r="S8" s="60" t="s">
        <v>32</v>
      </c>
      <c r="T8" s="60" t="s">
        <v>32</v>
      </c>
      <c r="W8" s="71">
        <f>S20</f>
        <v>2748.6329043525984</v>
      </c>
      <c r="X8" s="73">
        <f>900+950+1200</f>
        <v>3050</v>
      </c>
      <c r="Y8" s="71">
        <f>X8-W8</f>
        <v>301.36709564740158</v>
      </c>
      <c r="Z8" s="71">
        <f>Y8</f>
        <v>301.36709564740158</v>
      </c>
      <c r="AA8" s="73">
        <f>ABS(Y8)</f>
        <v>301.36709564740158</v>
      </c>
      <c r="AB8" s="73">
        <f>AA8</f>
        <v>301.36709564740158</v>
      </c>
      <c r="AC8" s="73">
        <f>AB8/1</f>
        <v>301.36709564740158</v>
      </c>
      <c r="AD8" s="54">
        <f>Z8/AC8</f>
        <v>1</v>
      </c>
    </row>
    <row r="9" spans="2:30" ht="17" x14ac:dyDescent="0.2">
      <c r="C9" s="106" t="s">
        <v>213</v>
      </c>
      <c r="D9" s="52">
        <v>700</v>
      </c>
      <c r="E9" s="60">
        <f>E8+1</f>
        <v>2</v>
      </c>
      <c r="F9" s="60">
        <f>SUM(D11:D13)</f>
        <v>4500</v>
      </c>
      <c r="G9" s="52">
        <v>2</v>
      </c>
      <c r="H9" s="62">
        <f>($C$2*(F9/J5))+((1-$C$2)*(H8+I8))</f>
        <v>2820</v>
      </c>
      <c r="I9" s="62">
        <f>($C$3*(H9-H8))+((1-$C$3)*I8)</f>
        <v>360</v>
      </c>
      <c r="J9" s="62">
        <f>($C$4*(F9/H9))+((1-$C$4)*J5)</f>
        <v>1.4170212765957446</v>
      </c>
      <c r="K9" s="61">
        <f>(H8+(1*I8))*J5</f>
        <v>2100</v>
      </c>
      <c r="L9" s="62">
        <f>POWER(F9-K9,2)</f>
        <v>5760000</v>
      </c>
      <c r="N9" s="60">
        <f t="shared" ref="N9:N19" si="0">F9</f>
        <v>4500</v>
      </c>
      <c r="O9" s="52">
        <v>2</v>
      </c>
      <c r="P9" s="62">
        <f>($O$29*(N9/R5))+((1-$O$29)*(P8+Q8))</f>
        <v>2267.9537836259442</v>
      </c>
      <c r="Q9" s="62">
        <f>($P$29*(P9-P8))+((1-$P$29)*Q8)</f>
        <v>41.066938164186837</v>
      </c>
      <c r="R9" s="62">
        <f>($Q$29*(N9/P9))+((1-$Q$29)*R5)</f>
        <v>1.9841674166770364</v>
      </c>
      <c r="S9" s="61">
        <f>(P8+(1*Q8))*R5</f>
        <v>2100</v>
      </c>
      <c r="T9" s="62">
        <f>POWER(N9-S9,2)</f>
        <v>5760000</v>
      </c>
      <c r="W9" s="71">
        <f>S21</f>
        <v>6439.2805612994989</v>
      </c>
      <c r="X9" s="73">
        <f>1650+2110+2000</f>
        <v>5760</v>
      </c>
      <c r="Y9" s="71">
        <f t="shared" ref="Y9:Y10" si="1">X9-W9</f>
        <v>-679.28056129949891</v>
      </c>
      <c r="Z9" s="71">
        <f>Z8+Y9</f>
        <v>-377.91346565209733</v>
      </c>
      <c r="AA9" s="73">
        <f t="shared" ref="AA9:AA10" si="2">ABS(Y9)</f>
        <v>679.28056129949891</v>
      </c>
      <c r="AB9" s="73">
        <f>AB8+AA9</f>
        <v>980.6476569469005</v>
      </c>
      <c r="AC9" s="73">
        <f>AB9/2</f>
        <v>490.32382847345025</v>
      </c>
      <c r="AD9" s="54">
        <f t="shared" ref="AD9:AD10" si="3">Z9/AC9</f>
        <v>-0.77074260663340444</v>
      </c>
    </row>
    <row r="10" spans="2:30" ht="17" x14ac:dyDescent="0.2">
      <c r="C10" s="106" t="s">
        <v>214</v>
      </c>
      <c r="D10" s="52">
        <v>900</v>
      </c>
      <c r="E10" s="60">
        <f t="shared" ref="E10:E19" si="4">E9+1</f>
        <v>3</v>
      </c>
      <c r="F10" s="60">
        <f>SUM(D14:D16)</f>
        <v>2250</v>
      </c>
      <c r="G10" s="60">
        <f>G9+1</f>
        <v>3</v>
      </c>
      <c r="H10" s="62">
        <f t="shared" ref="H10:H18" si="5">($C$2*(F10/J6))+((1-$C$2)*(H9+I9))</f>
        <v>2901</v>
      </c>
      <c r="I10" s="62">
        <f t="shared" ref="I10:I19" si="6">($C$3*(H10-H9))+((1-$C$3)*I9)</f>
        <v>220.5</v>
      </c>
      <c r="J10" s="62">
        <f t="shared" ref="J10:J19" si="7">($C$4*(F10/H10))+((1-$C$4)*J6)</f>
        <v>0.84291623578076524</v>
      </c>
      <c r="K10" s="61">
        <f t="shared" ref="K10:K19" si="8">(H9+(1*I9))*J6</f>
        <v>3180</v>
      </c>
      <c r="L10" s="62">
        <f t="shared" ref="L10:L19" si="9">POWER(F10-K10,2)</f>
        <v>864900</v>
      </c>
      <c r="N10" s="60">
        <f t="shared" si="0"/>
        <v>2250</v>
      </c>
      <c r="O10" s="60">
        <f>O9+1</f>
        <v>3</v>
      </c>
      <c r="P10" s="62">
        <f t="shared" ref="P10:P19" si="10">($O$29*(N10/R6))+((1-$O$29)*(P9+Q9))</f>
        <v>2304.8904078163869</v>
      </c>
      <c r="Q10" s="62">
        <f t="shared" ref="Q10:Q19" si="11">($P$29*(P10-P9))+((1-$P$29)*Q9)</f>
        <v>40.05702135911983</v>
      </c>
      <c r="R10" s="62">
        <f t="shared" ref="R10:R19" si="12">($Q$29*(N10/P10))+((1-$Q$29)*R6)</f>
        <v>0.97618524176670551</v>
      </c>
      <c r="S10" s="61">
        <f t="shared" ref="S10:S19" si="13">(P9+(1*Q9))*R6</f>
        <v>2309.0207217901311</v>
      </c>
      <c r="T10" s="62">
        <f t="shared" ref="T10:T19" si="14">POWER(N10-S10,2)</f>
        <v>3483.4456006280584</v>
      </c>
      <c r="W10" s="71">
        <f>S22</f>
        <v>2147.8570012232062</v>
      </c>
      <c r="X10" s="73">
        <f>530+590+650</f>
        <v>1770</v>
      </c>
      <c r="Y10" s="71">
        <f t="shared" si="1"/>
        <v>-377.85700122320623</v>
      </c>
      <c r="Z10" s="71">
        <f>Z9+Y10</f>
        <v>-755.77046687530355</v>
      </c>
      <c r="AA10" s="73">
        <f t="shared" si="2"/>
        <v>377.85700122320623</v>
      </c>
      <c r="AB10" s="73">
        <f>AB9+AA10</f>
        <v>1358.5046581701067</v>
      </c>
      <c r="AC10" s="71">
        <f>AB10/3</f>
        <v>452.83488605670226</v>
      </c>
      <c r="AD10" s="54">
        <f t="shared" si="3"/>
        <v>-1.6689758014374114</v>
      </c>
    </row>
    <row r="11" spans="2:30" ht="17" x14ac:dyDescent="0.2">
      <c r="C11" s="106" t="s">
        <v>215</v>
      </c>
      <c r="D11" s="52">
        <v>1000</v>
      </c>
      <c r="E11" s="60">
        <f t="shared" si="4"/>
        <v>4</v>
      </c>
      <c r="F11" s="60">
        <f>SUM(D17:D19)</f>
        <v>7050</v>
      </c>
      <c r="G11" s="60">
        <f t="shared" ref="G11:G19" si="15">G10+1</f>
        <v>4</v>
      </c>
      <c r="H11" s="62">
        <f t="shared" si="5"/>
        <v>4300.0499999999993</v>
      </c>
      <c r="I11" s="62">
        <f t="shared" si="6"/>
        <v>809.77499999999964</v>
      </c>
      <c r="J11" s="62">
        <f t="shared" si="7"/>
        <v>1.4476610737084454</v>
      </c>
      <c r="K11" s="61">
        <f t="shared" si="8"/>
        <v>3121.5</v>
      </c>
      <c r="L11" s="62">
        <f t="shared" si="9"/>
        <v>15433112.25</v>
      </c>
      <c r="N11" s="60">
        <f t="shared" si="0"/>
        <v>7050</v>
      </c>
      <c r="O11" s="60">
        <f t="shared" ref="O11:O19" si="16">O10+1</f>
        <v>4</v>
      </c>
      <c r="P11" s="62">
        <f t="shared" si="10"/>
        <v>2674.2105047709019</v>
      </c>
      <c r="Q11" s="62">
        <f t="shared" si="11"/>
        <v>120.56623093632714</v>
      </c>
      <c r="R11" s="62">
        <f t="shared" si="12"/>
        <v>2.6362920897298507</v>
      </c>
      <c r="S11" s="61">
        <f t="shared" si="13"/>
        <v>2344.9474291755068</v>
      </c>
      <c r="T11" s="62">
        <f t="shared" si="14"/>
        <v>22137519.694222171</v>
      </c>
    </row>
    <row r="12" spans="2:30" ht="17" x14ac:dyDescent="0.2">
      <c r="C12" s="106" t="s">
        <v>216</v>
      </c>
      <c r="D12" s="52">
        <v>2000</v>
      </c>
      <c r="E12" s="60">
        <f t="shared" si="4"/>
        <v>5</v>
      </c>
      <c r="F12" s="60">
        <f>SUM(D20:D22)</f>
        <v>2650</v>
      </c>
      <c r="G12" s="60">
        <f t="shared" si="15"/>
        <v>5</v>
      </c>
      <c r="H12" s="62">
        <f t="shared" si="5"/>
        <v>4371.8774999999987</v>
      </c>
      <c r="I12" s="62">
        <f t="shared" si="6"/>
        <v>440.80124999999953</v>
      </c>
      <c r="J12" s="62">
        <f t="shared" si="7"/>
        <v>0.72430283099194814</v>
      </c>
      <c r="K12" s="61">
        <f t="shared" si="8"/>
        <v>5109.8249999999989</v>
      </c>
      <c r="L12" s="62">
        <f t="shared" si="9"/>
        <v>6050739.030624995</v>
      </c>
      <c r="N12" s="60">
        <f t="shared" si="0"/>
        <v>2650</v>
      </c>
      <c r="O12" s="60">
        <f t="shared" si="16"/>
        <v>5</v>
      </c>
      <c r="P12" s="62">
        <f t="shared" si="10"/>
        <v>2784.6451521476279</v>
      </c>
      <c r="Q12" s="62">
        <f t="shared" si="11"/>
        <v>118.0889237476181</v>
      </c>
      <c r="R12" s="62">
        <f t="shared" si="12"/>
        <v>0.95164728545617949</v>
      </c>
      <c r="S12" s="61">
        <f t="shared" si="13"/>
        <v>2794.7767357072289</v>
      </c>
      <c r="T12" s="62">
        <f t="shared" si="14"/>
        <v>20960.30320204081</v>
      </c>
      <c r="W12" s="93"/>
      <c r="X12" s="93"/>
      <c r="Y12" s="93"/>
      <c r="Z12" s="93"/>
      <c r="AA12" s="93"/>
      <c r="AB12" s="93"/>
      <c r="AC12" s="93"/>
    </row>
    <row r="13" spans="2:30" ht="17" x14ac:dyDescent="0.2">
      <c r="C13" s="106" t="s">
        <v>217</v>
      </c>
      <c r="D13" s="52">
        <v>1500</v>
      </c>
      <c r="E13" s="60">
        <f t="shared" si="4"/>
        <v>6</v>
      </c>
      <c r="F13" s="60">
        <f>SUM(D23:D25)</f>
        <v>5000</v>
      </c>
      <c r="G13" s="60">
        <f t="shared" si="15"/>
        <v>6</v>
      </c>
      <c r="H13" s="62">
        <f t="shared" si="5"/>
        <v>4427.4336835585573</v>
      </c>
      <c r="I13" s="62">
        <f t="shared" si="6"/>
        <v>248.17871677927906</v>
      </c>
      <c r="J13" s="62">
        <f t="shared" si="7"/>
        <v>1.2156320577047803</v>
      </c>
      <c r="K13" s="61">
        <f t="shared" si="8"/>
        <v>6819.66818617021</v>
      </c>
      <c r="L13" s="62">
        <f t="shared" si="9"/>
        <v>3311192.3077599821</v>
      </c>
      <c r="N13" s="60">
        <f t="shared" si="0"/>
        <v>5000</v>
      </c>
      <c r="O13" s="60">
        <f t="shared" si="16"/>
        <v>6</v>
      </c>
      <c r="P13" s="62">
        <f t="shared" si="10"/>
        <v>2875.9464672067484</v>
      </c>
      <c r="Q13" s="62">
        <f t="shared" si="11"/>
        <v>111.53899646508064</v>
      </c>
      <c r="R13" s="62">
        <f t="shared" si="12"/>
        <v>1.7385580910538401</v>
      </c>
      <c r="S13" s="61">
        <f t="shared" si="13"/>
        <v>5759.5103726694751</v>
      </c>
      <c r="T13" s="62">
        <f t="shared" si="14"/>
        <v>576856.00619252503</v>
      </c>
      <c r="W13" s="93"/>
      <c r="X13" s="93"/>
      <c r="Y13" s="93"/>
      <c r="Z13" s="93"/>
      <c r="AA13" s="93"/>
      <c r="AB13" s="93"/>
      <c r="AC13" s="93"/>
    </row>
    <row r="14" spans="2:30" ht="17" x14ac:dyDescent="0.2">
      <c r="C14" s="106" t="s">
        <v>218</v>
      </c>
      <c r="D14" s="52">
        <v>750</v>
      </c>
      <c r="E14" s="60">
        <f t="shared" si="4"/>
        <v>7</v>
      </c>
      <c r="F14" s="60">
        <f>SUM(D26:D28)</f>
        <v>2280</v>
      </c>
      <c r="G14" s="60">
        <f t="shared" si="15"/>
        <v>7</v>
      </c>
      <c r="H14" s="62">
        <f t="shared" si="5"/>
        <v>4084.3972117050171</v>
      </c>
      <c r="I14" s="62">
        <f t="shared" si="6"/>
        <v>-47.428877537130575</v>
      </c>
      <c r="J14" s="62">
        <f t="shared" si="7"/>
        <v>0.64363020555480044</v>
      </c>
      <c r="K14" s="61">
        <f t="shared" si="8"/>
        <v>3941.1496044626374</v>
      </c>
      <c r="L14" s="62">
        <f t="shared" si="9"/>
        <v>2759418.0084063765</v>
      </c>
      <c r="N14" s="60">
        <f t="shared" si="0"/>
        <v>2280</v>
      </c>
      <c r="O14" s="60">
        <f t="shared" si="16"/>
        <v>7</v>
      </c>
      <c r="P14" s="62">
        <f t="shared" si="10"/>
        <v>2941.8675936228829</v>
      </c>
      <c r="Q14" s="62">
        <f t="shared" si="11"/>
        <v>100.38481935732183</v>
      </c>
      <c r="R14" s="62">
        <f t="shared" si="12"/>
        <v>0.77501788487774903</v>
      </c>
      <c r="S14" s="61">
        <f t="shared" si="13"/>
        <v>2916.3392196290029</v>
      </c>
      <c r="T14" s="62">
        <f t="shared" si="14"/>
        <v>404927.60243804834</v>
      </c>
      <c r="W14" s="93"/>
      <c r="X14" s="93"/>
      <c r="Y14" s="93"/>
      <c r="Z14" s="93"/>
      <c r="AA14" s="93"/>
      <c r="AB14" s="93"/>
      <c r="AC14" s="93"/>
    </row>
    <row r="15" spans="2:30" ht="17" x14ac:dyDescent="0.2">
      <c r="C15" s="106" t="s">
        <v>219</v>
      </c>
      <c r="D15" s="52">
        <v>800</v>
      </c>
      <c r="E15" s="60">
        <f t="shared" si="4"/>
        <v>8</v>
      </c>
      <c r="F15" s="60">
        <f>SUM(D29:D31)</f>
        <v>8800</v>
      </c>
      <c r="G15" s="60">
        <f t="shared" si="15"/>
        <v>8</v>
      </c>
      <c r="H15" s="62">
        <f t="shared" si="5"/>
        <v>4649.5091022759098</v>
      </c>
      <c r="I15" s="62">
        <f t="shared" si="6"/>
        <v>258.84150651688105</v>
      </c>
      <c r="J15" s="62">
        <f t="shared" si="7"/>
        <v>1.7591693707539293</v>
      </c>
      <c r="K15" s="61">
        <f t="shared" si="8"/>
        <v>5844.1619131684765</v>
      </c>
      <c r="L15" s="62">
        <f t="shared" si="9"/>
        <v>8736978.7955638412</v>
      </c>
      <c r="N15" s="60">
        <f t="shared" si="0"/>
        <v>8800</v>
      </c>
      <c r="O15" s="60">
        <f t="shared" si="16"/>
        <v>8</v>
      </c>
      <c r="P15" s="62">
        <f t="shared" si="10"/>
        <v>3062.950562104757</v>
      </c>
      <c r="Q15" s="62">
        <f t="shared" si="11"/>
        <v>105.44579263139939</v>
      </c>
      <c r="R15" s="62">
        <f t="shared" si="12"/>
        <v>2.8730466984595844</v>
      </c>
      <c r="S15" s="61">
        <f t="shared" si="13"/>
        <v>8020.2659713012645</v>
      </c>
      <c r="T15" s="62">
        <f t="shared" si="14"/>
        <v>607985.15551076049</v>
      </c>
      <c r="W15" s="93"/>
      <c r="X15" s="93"/>
      <c r="Y15" s="93"/>
      <c r="Z15" s="93"/>
      <c r="AA15" s="93"/>
      <c r="AB15" s="93"/>
      <c r="AC15" s="93"/>
    </row>
    <row r="16" spans="2:30" ht="17" x14ac:dyDescent="0.2">
      <c r="C16" s="106" t="s">
        <v>220</v>
      </c>
      <c r="D16" s="52">
        <v>700</v>
      </c>
      <c r="E16" s="60">
        <f t="shared" si="4"/>
        <v>9</v>
      </c>
      <c r="F16" s="60">
        <f>SUM(D32:D34)</f>
        <v>2450</v>
      </c>
      <c r="G16" s="60">
        <f t="shared" si="15"/>
        <v>9</v>
      </c>
      <c r="H16" s="62">
        <f t="shared" si="5"/>
        <v>4450.6143440030337</v>
      </c>
      <c r="I16" s="62">
        <f t="shared" si="6"/>
        <v>29.973374122002497</v>
      </c>
      <c r="J16" s="62">
        <f t="shared" si="7"/>
        <v>0.60263090966719868</v>
      </c>
      <c r="K16" s="61">
        <f t="shared" si="8"/>
        <v>3555.1322414496703</v>
      </c>
      <c r="L16" s="62">
        <f t="shared" si="9"/>
        <v>1221317.2710915725</v>
      </c>
      <c r="N16" s="60">
        <f t="shared" si="0"/>
        <v>2450</v>
      </c>
      <c r="O16" s="60">
        <f t="shared" si="16"/>
        <v>9</v>
      </c>
      <c r="P16" s="62">
        <f t="shared" si="10"/>
        <v>3126.8338745548667</v>
      </c>
      <c r="Q16" s="62">
        <f t="shared" si="11"/>
        <v>95.283212386368206</v>
      </c>
      <c r="R16" s="62">
        <f t="shared" si="12"/>
        <v>0.78354018738804276</v>
      </c>
      <c r="S16" s="61">
        <f t="shared" si="13"/>
        <v>3015.1957902339177</v>
      </c>
      <c r="T16" s="62">
        <f t="shared" si="14"/>
        <v>319446.28129814268</v>
      </c>
      <c r="W16" s="93"/>
      <c r="X16" s="93"/>
      <c r="Y16" s="93"/>
      <c r="Z16" s="93"/>
      <c r="AA16" s="93"/>
      <c r="AB16" s="93"/>
      <c r="AC16" s="93"/>
    </row>
    <row r="17" spans="2:29" ht="17" x14ac:dyDescent="0.2">
      <c r="C17" s="106" t="s">
        <v>221</v>
      </c>
      <c r="D17" s="52">
        <v>2050</v>
      </c>
      <c r="E17" s="60">
        <f t="shared" si="4"/>
        <v>10</v>
      </c>
      <c r="F17" s="60">
        <f>SUM(D35:D37)</f>
        <v>5750</v>
      </c>
      <c r="G17" s="60">
        <f t="shared" si="15"/>
        <v>10</v>
      </c>
      <c r="H17" s="62">
        <f t="shared" si="5"/>
        <v>4555.4263003835849</v>
      </c>
      <c r="I17" s="62">
        <f t="shared" si="6"/>
        <v>67.392665251276867</v>
      </c>
      <c r="J17" s="62">
        <f t="shared" si="7"/>
        <v>1.2482512720485723</v>
      </c>
      <c r="K17" s="61">
        <f t="shared" si="8"/>
        <v>5446.7460675111042</v>
      </c>
      <c r="L17" s="62">
        <f t="shared" si="9"/>
        <v>91962.947569979748</v>
      </c>
      <c r="N17" s="60">
        <f t="shared" si="0"/>
        <v>5750</v>
      </c>
      <c r="O17" s="60">
        <f t="shared" si="16"/>
        <v>10</v>
      </c>
      <c r="P17" s="62">
        <f t="shared" si="10"/>
        <v>3228.0809403730732</v>
      </c>
      <c r="Q17" s="62">
        <f t="shared" si="11"/>
        <v>96.741454021763801</v>
      </c>
      <c r="R17" s="62">
        <f t="shared" si="12"/>
        <v>1.7812440599260393</v>
      </c>
      <c r="S17" s="61">
        <f t="shared" si="13"/>
        <v>5601.837731824513</v>
      </c>
      <c r="T17" s="62">
        <f t="shared" si="14"/>
        <v>21952.057710904941</v>
      </c>
      <c r="W17" s="93"/>
      <c r="X17" s="93"/>
      <c r="Y17" s="93"/>
      <c r="Z17" s="93"/>
      <c r="AA17" s="93"/>
      <c r="AB17" s="93"/>
      <c r="AC17" s="93"/>
    </row>
    <row r="18" spans="2:29" ht="17" x14ac:dyDescent="0.2">
      <c r="C18" s="106" t="s">
        <v>222</v>
      </c>
      <c r="D18" s="52">
        <v>2000</v>
      </c>
      <c r="E18" s="60">
        <f t="shared" si="4"/>
        <v>11</v>
      </c>
      <c r="F18" s="60">
        <f>SUM(D38:D40)</f>
        <v>1950</v>
      </c>
      <c r="G18" s="60">
        <f t="shared" si="15"/>
        <v>11</v>
      </c>
      <c r="H18" s="62">
        <f t="shared" si="5"/>
        <v>4144.8802771248993</v>
      </c>
      <c r="I18" s="62">
        <f t="shared" si="6"/>
        <v>-171.57667900370438</v>
      </c>
      <c r="J18" s="62">
        <f t="shared" si="7"/>
        <v>0.5224109983055446</v>
      </c>
      <c r="K18" s="61">
        <f t="shared" si="8"/>
        <v>2975.3859210941964</v>
      </c>
      <c r="L18" s="62">
        <f t="shared" si="9"/>
        <v>1051416.2871781937</v>
      </c>
      <c r="N18" s="60">
        <f t="shared" si="0"/>
        <v>1950</v>
      </c>
      <c r="O18" s="60">
        <f t="shared" si="16"/>
        <v>11</v>
      </c>
      <c r="P18" s="62">
        <f t="shared" si="10"/>
        <v>3268.2253685459846</v>
      </c>
      <c r="Q18" s="62">
        <f t="shared" si="11"/>
        <v>82.902727018220006</v>
      </c>
      <c r="R18" s="62">
        <f t="shared" si="12"/>
        <v>0.5966540798462574</v>
      </c>
      <c r="S18" s="61">
        <f t="shared" si="13"/>
        <v>2576.7968196980596</v>
      </c>
      <c r="T18" s="62">
        <f t="shared" si="14"/>
        <v>392874.25318360183</v>
      </c>
      <c r="W18" s="93"/>
      <c r="X18" s="93"/>
      <c r="Y18" s="93"/>
      <c r="Z18" s="93"/>
      <c r="AA18" s="93"/>
      <c r="AB18" s="93"/>
      <c r="AC18" s="93"/>
    </row>
    <row r="19" spans="2:29" ht="17" x14ac:dyDescent="0.2">
      <c r="C19" s="106" t="s">
        <v>223</v>
      </c>
      <c r="D19" s="52">
        <v>3000</v>
      </c>
      <c r="E19" s="60">
        <f t="shared" si="4"/>
        <v>12</v>
      </c>
      <c r="F19" s="60">
        <f>SUM(D41:D43)</f>
        <v>9150</v>
      </c>
      <c r="G19" s="60">
        <f t="shared" si="15"/>
        <v>12</v>
      </c>
      <c r="H19" s="62">
        <f>($C$2*(F19/J15))+((1-$C$2)*(H18+I18))</f>
        <v>4341.7080358166359</v>
      </c>
      <c r="I19" s="62">
        <f t="shared" si="6"/>
        <v>12.625539844016089</v>
      </c>
      <c r="J19" s="62">
        <f t="shared" si="7"/>
        <v>2.002976677904079</v>
      </c>
      <c r="K19" s="61">
        <f t="shared" si="8"/>
        <v>6989.7139905211861</v>
      </c>
      <c r="L19" s="62">
        <f t="shared" si="9"/>
        <v>4666835.6427498981</v>
      </c>
      <c r="N19" s="60">
        <f t="shared" si="0"/>
        <v>9150</v>
      </c>
      <c r="O19" s="60">
        <f t="shared" si="16"/>
        <v>12</v>
      </c>
      <c r="P19" s="62">
        <f t="shared" si="10"/>
        <v>3339.4864045179543</v>
      </c>
      <c r="Q19" s="62">
        <f t="shared" si="11"/>
        <v>80.056178426092444</v>
      </c>
      <c r="R19" s="62">
        <f t="shared" si="12"/>
        <v>2.7399422820290766</v>
      </c>
      <c r="S19" s="61">
        <f t="shared" si="13"/>
        <v>9627.9475110758922</v>
      </c>
      <c r="T19" s="62">
        <f t="shared" si="14"/>
        <v>228433.82334364008</v>
      </c>
    </row>
    <row r="20" spans="2:29" ht="17" x14ac:dyDescent="0.2">
      <c r="B20" s="50">
        <v>2022</v>
      </c>
      <c r="C20" s="106" t="s">
        <v>212</v>
      </c>
      <c r="D20" s="52">
        <v>800</v>
      </c>
      <c r="E20" s="39">
        <v>13</v>
      </c>
      <c r="F20" s="25"/>
      <c r="K20" s="115">
        <f>(H16+(4*I16))*J16</f>
        <v>2754.3292975561812</v>
      </c>
      <c r="N20" s="25"/>
      <c r="S20" s="115">
        <f>(P16+(4*Q16))*R16</f>
        <v>2748.6329043525984</v>
      </c>
    </row>
    <row r="21" spans="2:29" ht="17" x14ac:dyDescent="0.2">
      <c r="C21" s="106" t="s">
        <v>213</v>
      </c>
      <c r="D21" s="52">
        <v>950</v>
      </c>
      <c r="E21" s="39">
        <v>14</v>
      </c>
      <c r="F21" s="25"/>
      <c r="K21" s="115">
        <f t="shared" ref="K21:K23" si="17">(H17+(4*I17))*J17</f>
        <v>6022.8085946839319</v>
      </c>
      <c r="N21" s="25"/>
      <c r="S21" s="115">
        <f t="shared" ref="S21:S23" si="18">(P17+(4*Q17))*R17</f>
        <v>6439.2805612994989</v>
      </c>
    </row>
    <row r="22" spans="2:29" ht="17" x14ac:dyDescent="0.2">
      <c r="C22" s="106" t="s">
        <v>214</v>
      </c>
      <c r="D22" s="52">
        <v>900</v>
      </c>
      <c r="E22" s="39">
        <v>15</v>
      </c>
      <c r="F22" s="25"/>
      <c r="K22" s="115">
        <f t="shared" si="17"/>
        <v>1806.7968667726802</v>
      </c>
      <c r="N22" s="25"/>
      <c r="S22" s="115">
        <f t="shared" si="18"/>
        <v>2147.8570012232062</v>
      </c>
    </row>
    <row r="23" spans="2:29" ht="17" x14ac:dyDescent="0.2">
      <c r="C23" s="106" t="s">
        <v>215</v>
      </c>
      <c r="D23" s="52">
        <v>1550</v>
      </c>
      <c r="E23" s="39">
        <v>16</v>
      </c>
      <c r="F23" s="25"/>
      <c r="K23" s="115">
        <f t="shared" si="17"/>
        <v>8797.4945854234993</v>
      </c>
      <c r="N23" s="25"/>
      <c r="S23" s="115">
        <f t="shared" si="18"/>
        <v>10027.397232829258</v>
      </c>
    </row>
    <row r="24" spans="2:29" ht="17" x14ac:dyDescent="0.2">
      <c r="C24" s="106" t="s">
        <v>216</v>
      </c>
      <c r="D24" s="52">
        <v>1600</v>
      </c>
      <c r="E24" s="25"/>
      <c r="F24" s="25"/>
      <c r="N24" s="25"/>
    </row>
    <row r="25" spans="2:29" ht="17" x14ac:dyDescent="0.2">
      <c r="C25" s="106" t="s">
        <v>217</v>
      </c>
      <c r="D25" s="52">
        <v>1850</v>
      </c>
      <c r="E25" s="25"/>
      <c r="F25" s="25"/>
      <c r="L25" s="85">
        <f>AVERAGE(L9:L19)</f>
        <v>4540715.6855404396</v>
      </c>
      <c r="N25" s="25"/>
      <c r="T25" s="85">
        <f>AVERAGE(T9:T19)</f>
        <v>2770403.511154769</v>
      </c>
    </row>
    <row r="26" spans="2:29" ht="17" x14ac:dyDescent="0.2">
      <c r="C26" s="106" t="s">
        <v>218</v>
      </c>
      <c r="D26" s="52">
        <v>900</v>
      </c>
      <c r="E26" s="25"/>
      <c r="F26" s="25"/>
    </row>
    <row r="27" spans="2:29" ht="17" x14ac:dyDescent="0.2">
      <c r="C27" s="106" t="s">
        <v>219</v>
      </c>
      <c r="D27" s="52">
        <v>780</v>
      </c>
      <c r="E27" s="25"/>
      <c r="F27" s="25"/>
      <c r="O27" s="39" t="s">
        <v>35</v>
      </c>
      <c r="P27" s="39" t="s">
        <v>170</v>
      </c>
      <c r="Q27" s="39" t="s">
        <v>171</v>
      </c>
      <c r="R27" s="24"/>
    </row>
    <row r="28" spans="2:29" ht="17" x14ac:dyDescent="0.2">
      <c r="C28" s="106" t="s">
        <v>220</v>
      </c>
      <c r="D28" s="52">
        <v>600</v>
      </c>
      <c r="E28" s="25"/>
      <c r="F28" s="25"/>
      <c r="N28" s="26" t="s">
        <v>227</v>
      </c>
      <c r="O28" s="60" t="s">
        <v>230</v>
      </c>
      <c r="P28" s="60" t="s">
        <v>231</v>
      </c>
      <c r="Q28" s="60" t="s">
        <v>232</v>
      </c>
      <c r="R28" s="24"/>
    </row>
    <row r="29" spans="2:29" ht="17" x14ac:dyDescent="0.2">
      <c r="C29" s="106" t="s">
        <v>221</v>
      </c>
      <c r="D29" s="52">
        <v>2700</v>
      </c>
      <c r="E29" s="25"/>
      <c r="F29" s="25"/>
      <c r="N29" s="26" t="s">
        <v>228</v>
      </c>
      <c r="O29" s="99">
        <v>6.9980743177476656E-2</v>
      </c>
      <c r="P29" s="99">
        <v>0.24451332549702165</v>
      </c>
      <c r="Q29" s="99">
        <v>1</v>
      </c>
      <c r="R29" s="24"/>
    </row>
    <row r="30" spans="2:29" ht="17" x14ac:dyDescent="0.2">
      <c r="C30" s="106" t="s">
        <v>222</v>
      </c>
      <c r="D30" s="52">
        <v>2800</v>
      </c>
      <c r="E30" s="25"/>
      <c r="F30" s="25"/>
      <c r="N30" s="26" t="s">
        <v>229</v>
      </c>
      <c r="O30" s="42">
        <f>T25</f>
        <v>2770403.511154769</v>
      </c>
      <c r="P30" s="24"/>
      <c r="Q30" s="24"/>
      <c r="R30" s="24"/>
    </row>
    <row r="31" spans="2:29" ht="17" x14ac:dyDescent="0.2">
      <c r="C31" s="106" t="s">
        <v>223</v>
      </c>
      <c r="D31" s="52">
        <v>3300</v>
      </c>
      <c r="E31" s="25"/>
      <c r="F31" s="25"/>
    </row>
    <row r="32" spans="2:29" ht="18" thickBot="1" x14ac:dyDescent="0.25">
      <c r="B32" s="50">
        <v>2023</v>
      </c>
      <c r="C32" s="106" t="s">
        <v>212</v>
      </c>
      <c r="D32" s="52">
        <v>900</v>
      </c>
      <c r="E32" s="25"/>
      <c r="F32" s="25"/>
      <c r="N32" s="26" t="s">
        <v>233</v>
      </c>
      <c r="O32" s="26"/>
      <c r="P32" s="26"/>
      <c r="Q32" s="26"/>
      <c r="R32" s="39" t="s">
        <v>234</v>
      </c>
      <c r="S32" s="39" t="s">
        <v>235</v>
      </c>
      <c r="T32" s="39" t="s">
        <v>237</v>
      </c>
    </row>
    <row r="33" spans="3:30" ht="17" x14ac:dyDescent="0.2">
      <c r="C33" s="106" t="s">
        <v>213</v>
      </c>
      <c r="D33" s="52">
        <v>700</v>
      </c>
      <c r="E33" s="25"/>
      <c r="F33" s="25"/>
      <c r="N33" s="26" t="s">
        <v>35</v>
      </c>
      <c r="O33" s="60">
        <v>1</v>
      </c>
      <c r="P33" s="60">
        <v>0</v>
      </c>
      <c r="Q33" s="60">
        <v>0</v>
      </c>
      <c r="R33" s="60">
        <f>O29</f>
        <v>6.9980743177476656E-2</v>
      </c>
      <c r="S33" s="60" t="s">
        <v>236</v>
      </c>
      <c r="T33" s="60">
        <v>1</v>
      </c>
      <c r="W33" s="246" t="s">
        <v>245</v>
      </c>
      <c r="X33" s="283"/>
      <c r="Y33" s="283"/>
      <c r="Z33" s="283"/>
      <c r="AA33" s="283"/>
      <c r="AB33" s="283"/>
      <c r="AC33" s="283"/>
      <c r="AD33" s="284"/>
    </row>
    <row r="34" spans="3:30" ht="17" x14ac:dyDescent="0.2">
      <c r="C34" s="106" t="s">
        <v>214</v>
      </c>
      <c r="D34" s="52">
        <v>850</v>
      </c>
      <c r="E34" s="25"/>
      <c r="F34" s="25"/>
      <c r="N34" s="26" t="s">
        <v>170</v>
      </c>
      <c r="O34" s="60">
        <v>0</v>
      </c>
      <c r="P34" s="60">
        <v>1</v>
      </c>
      <c r="Q34" s="60">
        <v>0</v>
      </c>
      <c r="R34" s="60">
        <f>P29</f>
        <v>0.24451332549702165</v>
      </c>
      <c r="S34" s="60" t="s">
        <v>236</v>
      </c>
      <c r="T34" s="60">
        <v>1</v>
      </c>
      <c r="W34" s="285"/>
      <c r="X34" s="265"/>
      <c r="Y34" s="265"/>
      <c r="Z34" s="265"/>
      <c r="AA34" s="265"/>
      <c r="AB34" s="265"/>
      <c r="AC34" s="265"/>
      <c r="AD34" s="286"/>
    </row>
    <row r="35" spans="3:30" ht="17" x14ac:dyDescent="0.2">
      <c r="C35" s="106" t="s">
        <v>215</v>
      </c>
      <c r="D35" s="52">
        <v>1700</v>
      </c>
      <c r="E35" s="25"/>
      <c r="F35" s="25"/>
      <c r="N35" s="26" t="s">
        <v>171</v>
      </c>
      <c r="O35" s="60">
        <v>0</v>
      </c>
      <c r="P35" s="60">
        <v>0</v>
      </c>
      <c r="Q35" s="60">
        <v>1</v>
      </c>
      <c r="R35" s="60">
        <f>Q29</f>
        <v>1</v>
      </c>
      <c r="S35" s="60" t="s">
        <v>236</v>
      </c>
      <c r="T35" s="60">
        <v>1</v>
      </c>
      <c r="W35" s="285"/>
      <c r="X35" s="265"/>
      <c r="Y35" s="265"/>
      <c r="Z35" s="265"/>
      <c r="AA35" s="265"/>
      <c r="AB35" s="265"/>
      <c r="AC35" s="265"/>
      <c r="AD35" s="286"/>
    </row>
    <row r="36" spans="3:30" ht="18" thickBot="1" x14ac:dyDescent="0.25">
      <c r="C36" s="106" t="s">
        <v>216</v>
      </c>
      <c r="D36" s="52">
        <v>2000</v>
      </c>
      <c r="E36" s="25"/>
      <c r="F36" s="25"/>
      <c r="W36" s="287"/>
      <c r="X36" s="288"/>
      <c r="Y36" s="288"/>
      <c r="Z36" s="288"/>
      <c r="AA36" s="288"/>
      <c r="AB36" s="288"/>
      <c r="AC36" s="288"/>
      <c r="AD36" s="289"/>
    </row>
    <row r="37" spans="3:30" ht="17" x14ac:dyDescent="0.2">
      <c r="C37" s="106" t="s">
        <v>217</v>
      </c>
      <c r="D37" s="52">
        <v>2050</v>
      </c>
      <c r="E37" s="25"/>
      <c r="F37" s="25"/>
    </row>
    <row r="38" spans="3:30" ht="17" x14ac:dyDescent="0.2">
      <c r="C38" s="106" t="s">
        <v>218</v>
      </c>
      <c r="D38" s="52">
        <v>550</v>
      </c>
      <c r="E38" s="25"/>
      <c r="F38" s="25"/>
    </row>
    <row r="39" spans="3:30" ht="17" x14ac:dyDescent="0.2">
      <c r="C39" s="106" t="s">
        <v>219</v>
      </c>
      <c r="D39" s="52">
        <v>650</v>
      </c>
      <c r="E39" s="25"/>
      <c r="F39" s="25"/>
    </row>
    <row r="40" spans="3:30" ht="17" x14ac:dyDescent="0.2">
      <c r="C40" s="106" t="s">
        <v>220</v>
      </c>
      <c r="D40" s="52">
        <v>750</v>
      </c>
      <c r="E40" s="25"/>
      <c r="F40" s="25"/>
    </row>
    <row r="41" spans="3:30" ht="17" x14ac:dyDescent="0.2">
      <c r="C41" s="106" t="s">
        <v>221</v>
      </c>
      <c r="D41" s="52">
        <v>2850</v>
      </c>
      <c r="E41" s="25"/>
      <c r="F41" s="25"/>
    </row>
    <row r="42" spans="3:30" ht="17" x14ac:dyDescent="0.2">
      <c r="C42" s="106" t="s">
        <v>222</v>
      </c>
      <c r="D42" s="52">
        <v>2800</v>
      </c>
      <c r="E42" s="25"/>
      <c r="F42" s="25"/>
    </row>
    <row r="43" spans="3:30" ht="17" x14ac:dyDescent="0.2">
      <c r="C43" s="106" t="s">
        <v>223</v>
      </c>
      <c r="D43" s="52">
        <v>3500</v>
      </c>
      <c r="E43" s="25"/>
      <c r="F43" s="25"/>
    </row>
  </sheetData>
  <mergeCells count="4">
    <mergeCell ref="G3:L3"/>
    <mergeCell ref="O3:T3"/>
    <mergeCell ref="W33:AD36"/>
    <mergeCell ref="W6:AD6"/>
  </mergeCells>
  <pageMargins left="0.7" right="0.7" top="0.75" bottom="0.75" header="0.3" footer="0.3"/>
  <ignoredErrors>
    <ignoredError sqref="F8:F9" formulaRange="1"/>
    <ignoredError sqref="F10:F19" formula="1" formulaRange="1"/>
    <ignoredError sqref="AA8:AA10" formula="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5A73-96E1-D346-A4B2-69587B25C97F}">
  <dimension ref="B2:AN50"/>
  <sheetViews>
    <sheetView workbookViewId="0">
      <selection activeCell="B2" sqref="B2"/>
    </sheetView>
  </sheetViews>
  <sheetFormatPr baseColWidth="10" defaultRowHeight="16" x14ac:dyDescent="0.2"/>
  <cols>
    <col min="1" max="1" width="5.1640625" customWidth="1"/>
    <col min="3" max="3" width="14" customWidth="1"/>
    <col min="9" max="9" width="11.6640625" bestFit="1" customWidth="1"/>
    <col min="11" max="11" width="4.5" customWidth="1"/>
    <col min="13" max="13" width="11.5" bestFit="1" customWidth="1"/>
    <col min="14" max="14" width="12.6640625" bestFit="1" customWidth="1"/>
    <col min="15" max="15" width="22.1640625" customWidth="1"/>
    <col min="17" max="17" width="11.6640625" bestFit="1" customWidth="1"/>
    <col min="21" max="21" width="13.5" customWidth="1"/>
    <col min="23" max="23" width="14" customWidth="1"/>
    <col min="25" max="25" width="15.6640625" customWidth="1"/>
  </cols>
  <sheetData>
    <row r="2" spans="2:40" x14ac:dyDescent="0.2">
      <c r="B2" s="24"/>
      <c r="C2" s="24"/>
      <c r="E2" s="270" t="s">
        <v>174</v>
      </c>
      <c r="F2" s="270"/>
      <c r="G2" s="270"/>
      <c r="H2" s="270"/>
      <c r="I2" s="270"/>
      <c r="J2" s="270"/>
      <c r="K2" s="24"/>
      <c r="L2" s="270" t="s">
        <v>253</v>
      </c>
      <c r="M2" s="270"/>
      <c r="N2" s="270"/>
      <c r="O2" s="270"/>
      <c r="P2" s="270"/>
      <c r="Q2" s="270"/>
      <c r="R2" s="270"/>
      <c r="S2" s="24"/>
      <c r="T2" s="24"/>
      <c r="U2" s="270" t="s">
        <v>252</v>
      </c>
      <c r="V2" s="270"/>
      <c r="W2" s="270"/>
      <c r="X2" s="270"/>
      <c r="Y2" s="270"/>
      <c r="Z2" s="270"/>
      <c r="AA2" s="270"/>
      <c r="AB2" s="270"/>
      <c r="AC2" s="24"/>
      <c r="AD2" s="24"/>
      <c r="AE2" s="24"/>
      <c r="AF2" s="24"/>
      <c r="AG2" s="24"/>
      <c r="AH2" s="24"/>
      <c r="AI2" s="24"/>
      <c r="AJ2" s="24"/>
      <c r="AK2" s="24"/>
      <c r="AL2" s="24"/>
      <c r="AM2" s="24"/>
      <c r="AN2" s="24"/>
    </row>
    <row r="3" spans="2:40" ht="34" x14ac:dyDescent="0.2">
      <c r="B3" s="24"/>
      <c r="C3" s="117" t="s">
        <v>29</v>
      </c>
      <c r="D3" s="37" t="s">
        <v>125</v>
      </c>
      <c r="E3" s="37" t="s">
        <v>246</v>
      </c>
      <c r="F3" s="37" t="s">
        <v>247</v>
      </c>
      <c r="G3" s="37" t="s">
        <v>75</v>
      </c>
      <c r="H3" s="37" t="s">
        <v>76</v>
      </c>
      <c r="I3" s="37" t="s">
        <v>27</v>
      </c>
      <c r="J3" s="37" t="s">
        <v>33</v>
      </c>
      <c r="K3" s="38"/>
      <c r="L3" s="37" t="s">
        <v>193</v>
      </c>
      <c r="M3" s="37" t="s">
        <v>248</v>
      </c>
      <c r="N3" s="50" t="s">
        <v>187</v>
      </c>
      <c r="O3" s="50" t="s">
        <v>251</v>
      </c>
      <c r="P3" s="123" t="s">
        <v>249</v>
      </c>
      <c r="Q3" s="37" t="s">
        <v>27</v>
      </c>
      <c r="R3" s="37" t="s">
        <v>33</v>
      </c>
      <c r="S3" s="24"/>
      <c r="T3" s="24"/>
      <c r="U3" s="37" t="s">
        <v>27</v>
      </c>
      <c r="V3" s="37" t="s">
        <v>238</v>
      </c>
      <c r="W3" s="37" t="s">
        <v>239</v>
      </c>
      <c r="X3" s="37" t="s">
        <v>240</v>
      </c>
      <c r="Y3" s="50" t="s">
        <v>241</v>
      </c>
      <c r="Z3" s="37" t="s">
        <v>242</v>
      </c>
      <c r="AA3" s="37" t="s">
        <v>243</v>
      </c>
      <c r="AB3" s="37" t="s">
        <v>244</v>
      </c>
      <c r="AC3" s="24"/>
      <c r="AD3" s="24"/>
      <c r="AE3" s="24"/>
      <c r="AF3" s="24"/>
      <c r="AG3" s="24"/>
      <c r="AH3" s="24"/>
      <c r="AI3" s="24"/>
      <c r="AJ3" s="24"/>
      <c r="AK3" s="24"/>
      <c r="AL3" s="24"/>
      <c r="AM3" s="24"/>
      <c r="AN3" s="24"/>
    </row>
    <row r="4" spans="2:40" ht="17" x14ac:dyDescent="0.2">
      <c r="B4" s="24">
        <v>2021</v>
      </c>
      <c r="C4" s="121" t="s">
        <v>212</v>
      </c>
      <c r="D4" s="118">
        <v>80</v>
      </c>
      <c r="E4" s="41"/>
      <c r="F4" s="41"/>
      <c r="G4" s="41"/>
      <c r="H4" s="41"/>
      <c r="I4" s="41"/>
      <c r="J4" s="41"/>
      <c r="K4" s="24"/>
      <c r="L4" s="41">
        <v>1</v>
      </c>
      <c r="M4" s="41">
        <f>(D4+D16+D28)/3</f>
        <v>90</v>
      </c>
      <c r="N4" s="42">
        <f>M4/$D$45</f>
        <v>0.95744680851063835</v>
      </c>
      <c r="O4" s="43">
        <f>D4/N4</f>
        <v>83.555555555555557</v>
      </c>
      <c r="P4" s="43">
        <f>FORECAST(L4,$O$4:$O$39,$L$4:$L$39)</f>
        <v>85.85997696735204</v>
      </c>
      <c r="Q4" s="43">
        <f>P4*N4</f>
        <v>82.206360926188125</v>
      </c>
      <c r="R4" s="61" t="s">
        <v>32</v>
      </c>
      <c r="S4" s="24"/>
      <c r="T4" s="24"/>
      <c r="U4" s="71">
        <v>90</v>
      </c>
      <c r="V4" s="71">
        <f>Q40</f>
        <v>98.238989878029685</v>
      </c>
      <c r="W4" s="71">
        <f>V4-U4</f>
        <v>8.2389898780296846</v>
      </c>
      <c r="X4" s="71">
        <f>W4</f>
        <v>8.2389898780296846</v>
      </c>
      <c r="Y4" s="71">
        <f>ABS(W4)</f>
        <v>8.2389898780296846</v>
      </c>
      <c r="Z4" s="71">
        <f>Y4</f>
        <v>8.2389898780296846</v>
      </c>
      <c r="AA4" s="116">
        <f>Z4/1</f>
        <v>8.2389898780296846</v>
      </c>
      <c r="AB4" s="62">
        <f>X4/AA4</f>
        <v>1</v>
      </c>
      <c r="AC4" s="24"/>
      <c r="AD4" s="24"/>
      <c r="AE4" s="24"/>
      <c r="AF4" s="24"/>
      <c r="AG4" s="24"/>
      <c r="AH4" s="24"/>
      <c r="AI4" s="24"/>
      <c r="AJ4" s="24"/>
      <c r="AK4" s="24"/>
      <c r="AL4" s="24"/>
      <c r="AM4" s="24"/>
      <c r="AN4" s="24"/>
    </row>
    <row r="5" spans="2:40" ht="17" x14ac:dyDescent="0.2">
      <c r="B5" s="24"/>
      <c r="C5" s="121" t="s">
        <v>213</v>
      </c>
      <c r="D5" s="41">
        <v>70</v>
      </c>
      <c r="E5" s="41"/>
      <c r="F5" s="41"/>
      <c r="G5" s="41"/>
      <c r="H5" s="41"/>
      <c r="I5" s="41"/>
      <c r="J5" s="41"/>
      <c r="K5" s="24"/>
      <c r="L5" s="41">
        <f>L4+1</f>
        <v>2</v>
      </c>
      <c r="M5" s="41">
        <f t="shared" ref="M5:M15" si="0">(D5+D17+D29)/3</f>
        <v>80</v>
      </c>
      <c r="N5" s="42">
        <f t="shared" ref="N5:N15" si="1">M5/$D$45</f>
        <v>0.85106382978723405</v>
      </c>
      <c r="O5" s="43">
        <f t="shared" ref="O5:O39" si="2">D5/N5</f>
        <v>82.25</v>
      </c>
      <c r="P5" s="43">
        <f t="shared" ref="P5:P43" si="3">FORECAST(L5,$O$4:$O$39,$L$4:$L$39)</f>
        <v>86.325121140646218</v>
      </c>
      <c r="Q5" s="43">
        <f t="shared" ref="Q5:Q43" si="4">P5*N5</f>
        <v>73.468188204805287</v>
      </c>
      <c r="R5" s="43">
        <f>POWER(D5-Q5,2)</f>
        <v>12.028329423950519</v>
      </c>
      <c r="S5" s="24"/>
      <c r="T5" s="24"/>
      <c r="U5" s="71">
        <v>95</v>
      </c>
      <c r="V5" s="71">
        <f>Q41</f>
        <v>87.719413939775549</v>
      </c>
      <c r="W5" s="71">
        <f t="shared" ref="W5:W7" si="5">V5-U5</f>
        <v>-7.2805860602244508</v>
      </c>
      <c r="X5" s="71">
        <f>X4+W5</f>
        <v>0.95840381780523387</v>
      </c>
      <c r="Y5" s="71">
        <f t="shared" ref="Y5:Y6" si="6">ABS(W5)</f>
        <v>7.2805860602244508</v>
      </c>
      <c r="Z5" s="71">
        <f>Z4+Y5</f>
        <v>15.519575938254135</v>
      </c>
      <c r="AA5" s="116">
        <f>Z5/2</f>
        <v>7.7597879691270677</v>
      </c>
      <c r="AB5" s="62">
        <f t="shared" ref="AB5:AB6" si="7">X5/AA5</f>
        <v>0.12350902133129404</v>
      </c>
      <c r="AC5" s="24"/>
      <c r="AD5" s="24"/>
      <c r="AE5" s="24"/>
      <c r="AF5" s="24"/>
      <c r="AG5" s="24"/>
      <c r="AH5" s="24"/>
      <c r="AI5" s="24"/>
      <c r="AJ5" s="24"/>
      <c r="AK5" s="24"/>
      <c r="AL5" s="24"/>
      <c r="AM5" s="24"/>
      <c r="AN5" s="24"/>
    </row>
    <row r="6" spans="2:40" ht="17" x14ac:dyDescent="0.2">
      <c r="B6" s="24"/>
      <c r="C6" s="121" t="s">
        <v>214</v>
      </c>
      <c r="D6" s="41">
        <v>80</v>
      </c>
      <c r="E6" s="43">
        <f>(D6+D5+D4)/3</f>
        <v>76.666666666666671</v>
      </c>
      <c r="F6" s="41"/>
      <c r="G6" s="41"/>
      <c r="H6" s="41"/>
      <c r="I6" s="41"/>
      <c r="J6" s="41"/>
      <c r="K6" s="24"/>
      <c r="L6" s="41">
        <f t="shared" ref="L6:L42" si="8">L5+1</f>
        <v>3</v>
      </c>
      <c r="M6" s="41">
        <f t="shared" si="0"/>
        <v>85</v>
      </c>
      <c r="N6" s="42">
        <f t="shared" si="1"/>
        <v>0.9042553191489362</v>
      </c>
      <c r="O6" s="43">
        <f t="shared" si="2"/>
        <v>88.470588235294116</v>
      </c>
      <c r="P6" s="43">
        <f t="shared" si="3"/>
        <v>86.790265313940381</v>
      </c>
      <c r="Q6" s="43">
        <f t="shared" si="4"/>
        <v>78.480559060478001</v>
      </c>
      <c r="R6" s="43">
        <f t="shared" ref="R6:R8" si="9">POWER(D6-Q6,2)</f>
        <v>2.3087007686954957</v>
      </c>
      <c r="S6" s="24"/>
      <c r="T6" s="24"/>
      <c r="U6" s="71">
        <v>100</v>
      </c>
      <c r="V6" s="71">
        <f>Q42</f>
        <v>93.622486403883912</v>
      </c>
      <c r="W6" s="71">
        <f t="shared" si="5"/>
        <v>-6.3775135961160885</v>
      </c>
      <c r="X6" s="71">
        <f>X5+W6</f>
        <v>-5.4191097783108546</v>
      </c>
      <c r="Y6" s="71">
        <f t="shared" si="6"/>
        <v>6.3775135961160885</v>
      </c>
      <c r="Z6" s="71">
        <f>Z5+Y6</f>
        <v>21.897089534370224</v>
      </c>
      <c r="AA6" s="116">
        <f>Z6/3</f>
        <v>7.2990298447900743</v>
      </c>
      <c r="AB6" s="62">
        <f t="shared" si="7"/>
        <v>-0.74244247434868682</v>
      </c>
      <c r="AC6" s="24"/>
      <c r="AD6" s="24"/>
      <c r="AE6" s="24"/>
      <c r="AF6" s="24"/>
      <c r="AG6" s="24"/>
      <c r="AH6" s="24"/>
      <c r="AI6" s="24"/>
      <c r="AJ6" s="24"/>
      <c r="AK6" s="24"/>
      <c r="AL6" s="24"/>
      <c r="AM6" s="24"/>
      <c r="AN6" s="24"/>
    </row>
    <row r="7" spans="2:40" ht="17" x14ac:dyDescent="0.2">
      <c r="B7" s="24"/>
      <c r="C7" s="121" t="s">
        <v>215</v>
      </c>
      <c r="D7" s="41">
        <v>90</v>
      </c>
      <c r="E7" s="43">
        <f t="shared" ref="E7:F39" si="10">(D7+D6+D5)/3</f>
        <v>80</v>
      </c>
      <c r="F7" s="41"/>
      <c r="G7" s="41"/>
      <c r="H7" s="41"/>
      <c r="I7" s="41"/>
      <c r="J7" s="41"/>
      <c r="K7" s="24"/>
      <c r="L7" s="41">
        <f t="shared" si="8"/>
        <v>4</v>
      </c>
      <c r="M7" s="41">
        <f t="shared" si="0"/>
        <v>100</v>
      </c>
      <c r="N7" s="42">
        <f t="shared" si="1"/>
        <v>1.0638297872340425</v>
      </c>
      <c r="O7" s="43">
        <f t="shared" si="2"/>
        <v>84.600000000000009</v>
      </c>
      <c r="P7" s="43">
        <f t="shared" si="3"/>
        <v>87.255409487234544</v>
      </c>
      <c r="Q7" s="43">
        <f t="shared" si="4"/>
        <v>92.824903709823985</v>
      </c>
      <c r="R7" s="43">
        <f t="shared" si="9"/>
        <v>7.9800809697773154</v>
      </c>
      <c r="S7" s="24"/>
      <c r="T7" s="24"/>
      <c r="U7" s="71">
        <v>115</v>
      </c>
      <c r="V7" s="71">
        <f>Q43</f>
        <v>110.63893587853683</v>
      </c>
      <c r="W7" s="71">
        <f t="shared" si="5"/>
        <v>-4.3610641214631727</v>
      </c>
      <c r="X7" s="71">
        <f>X6+W7</f>
        <v>-9.7801738997740273</v>
      </c>
      <c r="Y7" s="71">
        <f t="shared" ref="Y7" si="11">ABS(W7)</f>
        <v>4.3610641214631727</v>
      </c>
      <c r="Z7" s="71">
        <f>Z6+Y7</f>
        <v>26.258153655833397</v>
      </c>
      <c r="AA7" s="116">
        <f>Z7/3</f>
        <v>8.7527178852777983</v>
      </c>
      <c r="AB7" s="62">
        <f t="shared" ref="AB7" si="12">X7/AA7</f>
        <v>-1.1173870822712595</v>
      </c>
      <c r="AC7" s="24"/>
      <c r="AD7" s="24"/>
      <c r="AE7" s="24"/>
      <c r="AF7" s="24"/>
      <c r="AG7" s="24"/>
      <c r="AH7" s="24"/>
      <c r="AI7" s="24"/>
      <c r="AJ7" s="24"/>
      <c r="AK7" s="24"/>
      <c r="AL7" s="24"/>
      <c r="AM7" s="24"/>
      <c r="AN7" s="24"/>
    </row>
    <row r="8" spans="2:40" ht="17" x14ac:dyDescent="0.2">
      <c r="B8" s="24"/>
      <c r="C8" s="121" t="s">
        <v>216</v>
      </c>
      <c r="D8" s="41">
        <v>113</v>
      </c>
      <c r="E8" s="43">
        <f t="shared" si="10"/>
        <v>94.333333333333329</v>
      </c>
      <c r="F8" s="43">
        <f>(E8+E7+E6)/3</f>
        <v>83.666666666666671</v>
      </c>
      <c r="G8" s="42">
        <f>(2*E8)-F8</f>
        <v>104.99999999999999</v>
      </c>
      <c r="H8" s="42">
        <f>(2/(3-1))*(E8-F8)</f>
        <v>10.666666666666657</v>
      </c>
      <c r="I8" s="60" t="s">
        <v>32</v>
      </c>
      <c r="J8" s="41"/>
      <c r="K8" s="24"/>
      <c r="L8" s="41">
        <f t="shared" si="8"/>
        <v>5</v>
      </c>
      <c r="M8" s="41">
        <f t="shared" si="0"/>
        <v>123</v>
      </c>
      <c r="N8" s="42">
        <f t="shared" si="1"/>
        <v>1.3085106382978724</v>
      </c>
      <c r="O8" s="43">
        <f t="shared" si="2"/>
        <v>86.357723577235774</v>
      </c>
      <c r="P8" s="43">
        <f t="shared" si="3"/>
        <v>87.720553660528722</v>
      </c>
      <c r="Q8" s="43">
        <f t="shared" si="4"/>
        <v>114.78327766218121</v>
      </c>
      <c r="R8" s="43">
        <f t="shared" si="9"/>
        <v>3.1800792204344668</v>
      </c>
      <c r="S8" s="24"/>
      <c r="T8" s="24"/>
      <c r="U8" s="24"/>
      <c r="V8" s="24"/>
      <c r="W8" s="24"/>
      <c r="X8" s="24"/>
      <c r="Y8" s="24"/>
      <c r="Z8" s="24"/>
      <c r="AA8" s="24"/>
      <c r="AB8" s="24"/>
      <c r="AC8" s="24"/>
      <c r="AD8" s="24"/>
      <c r="AE8" s="24"/>
      <c r="AF8" s="24"/>
      <c r="AG8" s="24"/>
      <c r="AH8" s="24"/>
      <c r="AI8" s="24"/>
      <c r="AJ8" s="24"/>
      <c r="AK8" s="24"/>
      <c r="AL8" s="24"/>
      <c r="AM8" s="24"/>
      <c r="AN8" s="24"/>
    </row>
    <row r="9" spans="2:40" ht="17" x14ac:dyDescent="0.2">
      <c r="B9" s="24"/>
      <c r="C9" s="121" t="s">
        <v>217</v>
      </c>
      <c r="D9" s="41">
        <v>110</v>
      </c>
      <c r="E9" s="43">
        <f t="shared" si="10"/>
        <v>104.33333333333333</v>
      </c>
      <c r="F9" s="43">
        <f t="shared" si="10"/>
        <v>92.888888888888872</v>
      </c>
      <c r="G9" s="42">
        <f t="shared" ref="G9:G39" si="13">(2*E9)-F9</f>
        <v>115.77777777777779</v>
      </c>
      <c r="H9" s="42">
        <f t="shared" ref="H9:H39" si="14">(2/(3-1))*(E9-F9)</f>
        <v>11.444444444444457</v>
      </c>
      <c r="I9" s="43">
        <f>G8+(H8*1)</f>
        <v>115.66666666666664</v>
      </c>
      <c r="J9" s="42">
        <f>POWER(D9-I9,2)</f>
        <v>32.111111111110844</v>
      </c>
      <c r="K9" s="24"/>
      <c r="L9" s="41">
        <f t="shared" si="8"/>
        <v>6</v>
      </c>
      <c r="M9" s="41">
        <f t="shared" si="0"/>
        <v>115</v>
      </c>
      <c r="N9" s="42">
        <f t="shared" si="1"/>
        <v>1.2234042553191489</v>
      </c>
      <c r="O9" s="43">
        <f t="shared" si="2"/>
        <v>89.913043478260875</v>
      </c>
      <c r="P9" s="43">
        <f t="shared" si="3"/>
        <v>88.185697833822886</v>
      </c>
      <c r="Q9" s="43">
        <f t="shared" si="4"/>
        <v>107.88675798818757</v>
      </c>
      <c r="R9" s="43">
        <f>POWER(D9-Q9,2)</f>
        <v>4.4657918004890531</v>
      </c>
      <c r="S9" s="24"/>
      <c r="T9" s="24"/>
      <c r="U9" s="24"/>
      <c r="V9" s="24"/>
      <c r="W9" s="24"/>
      <c r="X9" s="24"/>
      <c r="Y9" s="24"/>
      <c r="Z9" s="24"/>
      <c r="AA9" s="24"/>
      <c r="AB9" s="24"/>
      <c r="AC9" s="24"/>
      <c r="AD9" s="24"/>
      <c r="AE9" s="24"/>
      <c r="AF9" s="24"/>
      <c r="AG9" s="24"/>
      <c r="AH9" s="24"/>
      <c r="AI9" s="24"/>
      <c r="AJ9" s="24"/>
      <c r="AK9" s="24"/>
      <c r="AL9" s="24"/>
      <c r="AM9" s="24"/>
      <c r="AN9" s="24"/>
    </row>
    <row r="10" spans="2:40" ht="17" x14ac:dyDescent="0.2">
      <c r="B10" s="24"/>
      <c r="C10" s="121" t="s">
        <v>218</v>
      </c>
      <c r="D10" s="41">
        <v>100</v>
      </c>
      <c r="E10" s="43">
        <f t="shared" si="10"/>
        <v>107.66666666666667</v>
      </c>
      <c r="F10" s="43">
        <f t="shared" si="10"/>
        <v>102.1111111111111</v>
      </c>
      <c r="G10" s="42">
        <f t="shared" si="13"/>
        <v>113.22222222222224</v>
      </c>
      <c r="H10" s="42">
        <f t="shared" si="14"/>
        <v>5.5555555555555713</v>
      </c>
      <c r="I10" s="43">
        <f t="shared" ref="I10:I39" si="15">G9+(H9*1)</f>
        <v>127.22222222222224</v>
      </c>
      <c r="J10" s="42">
        <f t="shared" ref="J10:J39" si="16">POWER(D10-I10,2)</f>
        <v>741.04938271605045</v>
      </c>
      <c r="K10" s="24"/>
      <c r="L10" s="41">
        <f t="shared" si="8"/>
        <v>7</v>
      </c>
      <c r="M10" s="41">
        <f t="shared" si="0"/>
        <v>105</v>
      </c>
      <c r="N10" s="42">
        <f t="shared" si="1"/>
        <v>1.1170212765957446</v>
      </c>
      <c r="O10" s="43">
        <f t="shared" si="2"/>
        <v>89.523809523809533</v>
      </c>
      <c r="P10" s="43">
        <f t="shared" si="3"/>
        <v>88.650842007117049</v>
      </c>
      <c r="Q10" s="43">
        <f t="shared" si="4"/>
        <v>99.02487671007755</v>
      </c>
      <c r="R10" s="43">
        <f t="shared" ref="R10:R39" si="17">POWER(D10-Q10,2)</f>
        <v>0.95086543054918338</v>
      </c>
      <c r="S10" s="24"/>
      <c r="T10" s="24"/>
      <c r="U10" s="24"/>
      <c r="V10" s="24"/>
      <c r="W10" s="24"/>
      <c r="X10" s="24"/>
      <c r="Y10" s="24"/>
      <c r="Z10" s="24"/>
      <c r="AA10" s="24"/>
      <c r="AB10" s="24"/>
      <c r="AC10" s="24"/>
      <c r="AD10" s="24"/>
      <c r="AE10" s="24"/>
      <c r="AF10" s="24"/>
      <c r="AG10" s="24"/>
      <c r="AH10" s="24"/>
      <c r="AI10" s="24"/>
      <c r="AJ10" s="24"/>
      <c r="AK10" s="24"/>
      <c r="AL10" s="24"/>
      <c r="AM10" s="24"/>
      <c r="AN10" s="24"/>
    </row>
    <row r="11" spans="2:40" ht="17" x14ac:dyDescent="0.2">
      <c r="B11" s="24"/>
      <c r="C11" s="121" t="s">
        <v>219</v>
      </c>
      <c r="D11" s="41">
        <v>88</v>
      </c>
      <c r="E11" s="43">
        <f t="shared" si="10"/>
        <v>99.333333333333329</v>
      </c>
      <c r="F11" s="43">
        <f t="shared" si="10"/>
        <v>103.77777777777777</v>
      </c>
      <c r="G11" s="42">
        <f t="shared" si="13"/>
        <v>94.888888888888886</v>
      </c>
      <c r="H11" s="42">
        <f t="shared" si="14"/>
        <v>-4.4444444444444429</v>
      </c>
      <c r="I11" s="43">
        <f t="shared" si="15"/>
        <v>118.77777777777781</v>
      </c>
      <c r="J11" s="42">
        <f t="shared" si="16"/>
        <v>947.27160493827387</v>
      </c>
      <c r="K11" s="24"/>
      <c r="L11" s="41">
        <f t="shared" si="8"/>
        <v>8</v>
      </c>
      <c r="M11" s="41">
        <f t="shared" si="0"/>
        <v>100</v>
      </c>
      <c r="N11" s="42">
        <f t="shared" si="1"/>
        <v>1.0638297872340425</v>
      </c>
      <c r="O11" s="43">
        <f t="shared" si="2"/>
        <v>82.72</v>
      </c>
      <c r="P11" s="43">
        <f t="shared" si="3"/>
        <v>89.115986180411227</v>
      </c>
      <c r="Q11" s="43">
        <f t="shared" si="4"/>
        <v>94.804240617458746</v>
      </c>
      <c r="R11" s="43">
        <f t="shared" si="17"/>
        <v>46.29769038027537</v>
      </c>
      <c r="S11" s="24"/>
      <c r="T11" s="24"/>
      <c r="U11" s="24"/>
      <c r="V11" s="24"/>
      <c r="W11" s="24"/>
      <c r="X11" s="24"/>
      <c r="Y11" s="24"/>
      <c r="Z11" s="24"/>
      <c r="AA11" s="24"/>
      <c r="AB11" s="24"/>
      <c r="AC11" s="24"/>
      <c r="AD11" s="24"/>
      <c r="AE11" s="24"/>
      <c r="AF11" s="24"/>
      <c r="AG11" s="24"/>
      <c r="AH11" s="24"/>
      <c r="AI11" s="24"/>
      <c r="AJ11" s="24"/>
      <c r="AK11" s="24"/>
      <c r="AL11" s="24"/>
      <c r="AM11" s="24"/>
      <c r="AN11" s="24"/>
    </row>
    <row r="12" spans="2:40" ht="17" x14ac:dyDescent="0.2">
      <c r="B12" s="24"/>
      <c r="C12" s="121" t="s">
        <v>220</v>
      </c>
      <c r="D12" s="41">
        <v>85</v>
      </c>
      <c r="E12" s="43">
        <f t="shared" si="10"/>
        <v>91</v>
      </c>
      <c r="F12" s="43">
        <f t="shared" si="10"/>
        <v>99.333333333333329</v>
      </c>
      <c r="G12" s="42">
        <f t="shared" si="13"/>
        <v>82.666666666666671</v>
      </c>
      <c r="H12" s="42">
        <f t="shared" si="14"/>
        <v>-8.3333333333333286</v>
      </c>
      <c r="I12" s="43">
        <f t="shared" si="15"/>
        <v>90.444444444444443</v>
      </c>
      <c r="J12" s="42">
        <f t="shared" si="16"/>
        <v>29.641975308641957</v>
      </c>
      <c r="K12" s="24"/>
      <c r="L12" s="41">
        <f t="shared" si="8"/>
        <v>9</v>
      </c>
      <c r="M12" s="41">
        <f t="shared" si="0"/>
        <v>90</v>
      </c>
      <c r="N12" s="42">
        <f t="shared" si="1"/>
        <v>0.95744680851063835</v>
      </c>
      <c r="O12" s="43">
        <f t="shared" si="2"/>
        <v>88.777777777777771</v>
      </c>
      <c r="P12" s="43">
        <f t="shared" si="3"/>
        <v>89.58113035370539</v>
      </c>
      <c r="Q12" s="43">
        <f t="shared" si="4"/>
        <v>85.769167359930691</v>
      </c>
      <c r="R12" s="43">
        <f t="shared" si="17"/>
        <v>0.59161842758274907</v>
      </c>
      <c r="S12" s="24"/>
      <c r="T12" s="24"/>
      <c r="U12" s="24"/>
      <c r="V12" s="24"/>
      <c r="W12" s="24"/>
      <c r="X12" s="24"/>
      <c r="Y12" s="24"/>
      <c r="Z12" s="24"/>
      <c r="AA12" s="24"/>
      <c r="AB12" s="24"/>
      <c r="AC12" s="24"/>
      <c r="AD12" s="24"/>
      <c r="AE12" s="24"/>
      <c r="AF12" s="24"/>
      <c r="AG12" s="24"/>
      <c r="AH12" s="24"/>
      <c r="AI12" s="24"/>
      <c r="AJ12" s="24"/>
      <c r="AK12" s="24"/>
      <c r="AL12" s="24"/>
      <c r="AM12" s="24"/>
      <c r="AN12" s="24"/>
    </row>
    <row r="13" spans="2:40" ht="17" x14ac:dyDescent="0.2">
      <c r="B13" s="24"/>
      <c r="C13" s="121" t="s">
        <v>221</v>
      </c>
      <c r="D13" s="41">
        <v>77</v>
      </c>
      <c r="E13" s="43">
        <f t="shared" si="10"/>
        <v>83.333333333333329</v>
      </c>
      <c r="F13" s="43">
        <f t="shared" si="10"/>
        <v>91.222222222222214</v>
      </c>
      <c r="G13" s="42">
        <f t="shared" si="13"/>
        <v>75.444444444444443</v>
      </c>
      <c r="H13" s="42">
        <f t="shared" si="14"/>
        <v>-7.8888888888888857</v>
      </c>
      <c r="I13" s="43">
        <f t="shared" si="15"/>
        <v>74.333333333333343</v>
      </c>
      <c r="J13" s="42">
        <f t="shared" si="16"/>
        <v>7.111111111111061</v>
      </c>
      <c r="K13" s="24"/>
      <c r="L13" s="41">
        <f t="shared" si="8"/>
        <v>10</v>
      </c>
      <c r="M13" s="41">
        <f t="shared" si="0"/>
        <v>80</v>
      </c>
      <c r="N13" s="42">
        <f t="shared" si="1"/>
        <v>0.85106382978723405</v>
      </c>
      <c r="O13" s="43">
        <f t="shared" si="2"/>
        <v>90.474999999999994</v>
      </c>
      <c r="P13" s="43">
        <f t="shared" si="3"/>
        <v>90.046274526999554</v>
      </c>
      <c r="Q13" s="43">
        <f t="shared" si="4"/>
        <v>76.635127257020898</v>
      </c>
      <c r="R13" s="43">
        <f t="shared" si="17"/>
        <v>0.13313211856909407</v>
      </c>
      <c r="S13" s="24"/>
      <c r="T13" s="24"/>
      <c r="U13" s="24"/>
      <c r="V13" s="24"/>
      <c r="W13" s="24"/>
      <c r="X13" s="24"/>
      <c r="Y13" s="24"/>
      <c r="Z13" s="24"/>
      <c r="AA13" s="24"/>
      <c r="AB13" s="24"/>
      <c r="AC13" s="24"/>
      <c r="AD13" s="24"/>
      <c r="AE13" s="24"/>
      <c r="AF13" s="24"/>
      <c r="AG13" s="24"/>
      <c r="AH13" s="24"/>
      <c r="AI13" s="24"/>
      <c r="AJ13" s="24"/>
      <c r="AK13" s="24"/>
      <c r="AL13" s="24"/>
      <c r="AM13" s="24"/>
      <c r="AN13" s="24"/>
    </row>
    <row r="14" spans="2:40" ht="17" x14ac:dyDescent="0.2">
      <c r="B14" s="24"/>
      <c r="C14" s="121" t="s">
        <v>222</v>
      </c>
      <c r="D14" s="41">
        <v>75</v>
      </c>
      <c r="E14" s="43">
        <f t="shared" si="10"/>
        <v>79</v>
      </c>
      <c r="F14" s="43">
        <f t="shared" si="10"/>
        <v>84.444444444444443</v>
      </c>
      <c r="G14" s="42">
        <f t="shared" si="13"/>
        <v>73.555555555555557</v>
      </c>
      <c r="H14" s="42">
        <f t="shared" si="14"/>
        <v>-5.4444444444444429</v>
      </c>
      <c r="I14" s="43">
        <f t="shared" si="15"/>
        <v>67.555555555555557</v>
      </c>
      <c r="J14" s="42">
        <f t="shared" si="16"/>
        <v>55.419753086419732</v>
      </c>
      <c r="K14" s="24"/>
      <c r="L14" s="41">
        <f t="shared" si="8"/>
        <v>11</v>
      </c>
      <c r="M14" s="41">
        <f t="shared" si="0"/>
        <v>80</v>
      </c>
      <c r="N14" s="42">
        <f t="shared" si="1"/>
        <v>0.85106382978723405</v>
      </c>
      <c r="O14" s="43">
        <f t="shared" si="2"/>
        <v>88.125</v>
      </c>
      <c r="P14" s="43">
        <f t="shared" si="3"/>
        <v>90.511418700293731</v>
      </c>
      <c r="Q14" s="43">
        <f t="shared" si="4"/>
        <v>77.030994638547853</v>
      </c>
      <c r="R14" s="43">
        <f t="shared" si="17"/>
        <v>4.1249392218101226</v>
      </c>
      <c r="S14" s="24"/>
      <c r="T14" s="24"/>
      <c r="U14" s="24"/>
      <c r="V14" s="24"/>
      <c r="W14" s="24"/>
      <c r="X14" s="24"/>
      <c r="Y14" s="24"/>
      <c r="Z14" s="24"/>
      <c r="AA14" s="24"/>
      <c r="AB14" s="24"/>
      <c r="AC14" s="24"/>
      <c r="AD14" s="24"/>
      <c r="AE14" s="24"/>
      <c r="AF14" s="24"/>
      <c r="AG14" s="24"/>
      <c r="AH14" s="24"/>
      <c r="AI14" s="24"/>
      <c r="AJ14" s="24"/>
      <c r="AK14" s="24"/>
      <c r="AL14" s="24"/>
      <c r="AM14" s="24"/>
      <c r="AN14" s="24"/>
    </row>
    <row r="15" spans="2:40" ht="17" x14ac:dyDescent="0.2">
      <c r="B15" s="24"/>
      <c r="C15" s="121" t="s">
        <v>223</v>
      </c>
      <c r="D15" s="41">
        <v>82</v>
      </c>
      <c r="E15" s="43">
        <f t="shared" si="10"/>
        <v>78</v>
      </c>
      <c r="F15" s="43">
        <f t="shared" si="10"/>
        <v>80.1111111111111</v>
      </c>
      <c r="G15" s="42">
        <f t="shared" si="13"/>
        <v>75.8888888888889</v>
      </c>
      <c r="H15" s="42">
        <f t="shared" si="14"/>
        <v>-2.1111111111111001</v>
      </c>
      <c r="I15" s="43">
        <f t="shared" si="15"/>
        <v>68.111111111111114</v>
      </c>
      <c r="J15" s="42">
        <f t="shared" si="16"/>
        <v>192.90123456790116</v>
      </c>
      <c r="K15" s="24"/>
      <c r="L15" s="41">
        <f t="shared" si="8"/>
        <v>12</v>
      </c>
      <c r="M15" s="41">
        <f t="shared" si="0"/>
        <v>80</v>
      </c>
      <c r="N15" s="42">
        <f t="shared" si="1"/>
        <v>0.85106382978723405</v>
      </c>
      <c r="O15" s="43">
        <f t="shared" si="2"/>
        <v>96.35</v>
      </c>
      <c r="P15" s="43">
        <f t="shared" si="3"/>
        <v>90.976562873587895</v>
      </c>
      <c r="Q15" s="43">
        <f t="shared" si="4"/>
        <v>77.426862020074807</v>
      </c>
      <c r="R15" s="43">
        <f t="shared" si="17"/>
        <v>20.913590983434272</v>
      </c>
      <c r="S15" s="24"/>
      <c r="T15" s="24"/>
      <c r="U15" s="24"/>
      <c r="V15" s="24"/>
      <c r="W15" s="24"/>
      <c r="X15" s="24"/>
      <c r="Y15" s="24"/>
      <c r="Z15" s="24"/>
      <c r="AA15" s="24"/>
      <c r="AB15" s="24"/>
      <c r="AC15" s="24"/>
      <c r="AD15" s="24"/>
      <c r="AE15" s="24"/>
      <c r="AF15" s="24"/>
      <c r="AG15" s="24"/>
      <c r="AH15" s="24"/>
      <c r="AI15" s="24"/>
      <c r="AJ15" s="24"/>
      <c r="AK15" s="24"/>
      <c r="AL15" s="24"/>
      <c r="AM15" s="24"/>
      <c r="AN15" s="24"/>
    </row>
    <row r="16" spans="2:40" ht="17" x14ac:dyDescent="0.2">
      <c r="B16" s="24">
        <v>2022</v>
      </c>
      <c r="C16" s="121" t="s">
        <v>212</v>
      </c>
      <c r="D16" s="41">
        <v>85</v>
      </c>
      <c r="E16" s="43">
        <f t="shared" si="10"/>
        <v>80.666666666666671</v>
      </c>
      <c r="F16" s="43">
        <f t="shared" si="10"/>
        <v>79.222222222222229</v>
      </c>
      <c r="G16" s="42">
        <f t="shared" si="13"/>
        <v>82.111111111111114</v>
      </c>
      <c r="H16" s="42">
        <f t="shared" si="14"/>
        <v>1.4444444444444429</v>
      </c>
      <c r="I16" s="43">
        <f t="shared" si="15"/>
        <v>73.7777777777778</v>
      </c>
      <c r="J16" s="42">
        <f t="shared" si="16"/>
        <v>125.93827160493778</v>
      </c>
      <c r="K16" s="24"/>
      <c r="L16" s="41">
        <f t="shared" si="8"/>
        <v>13</v>
      </c>
      <c r="M16" s="41"/>
      <c r="N16" s="42">
        <v>0.95744680851063835</v>
      </c>
      <c r="O16" s="43">
        <f t="shared" si="2"/>
        <v>88.777777777777771</v>
      </c>
      <c r="P16" s="43">
        <f t="shared" si="3"/>
        <v>91.441707046882073</v>
      </c>
      <c r="Q16" s="43">
        <f t="shared" si="4"/>
        <v>87.550570576801988</v>
      </c>
      <c r="R16" s="43">
        <f t="shared" si="17"/>
        <v>6.5054102672480258</v>
      </c>
      <c r="S16" s="24"/>
      <c r="T16" s="24"/>
      <c r="U16" s="24"/>
      <c r="V16" s="24"/>
      <c r="W16" s="24"/>
      <c r="X16" s="24"/>
      <c r="Y16" s="24"/>
      <c r="Z16" s="24"/>
      <c r="AA16" s="24"/>
      <c r="AB16" s="24"/>
      <c r="AC16" s="24"/>
      <c r="AD16" s="24"/>
      <c r="AE16" s="24"/>
      <c r="AF16" s="24"/>
      <c r="AG16" s="24"/>
      <c r="AH16" s="24"/>
      <c r="AI16" s="24"/>
      <c r="AJ16" s="24"/>
      <c r="AK16" s="24"/>
      <c r="AL16" s="24"/>
      <c r="AM16" s="24"/>
      <c r="AN16" s="24"/>
    </row>
    <row r="17" spans="2:40" ht="17" x14ac:dyDescent="0.2">
      <c r="B17" s="24"/>
      <c r="C17" s="121" t="s">
        <v>213</v>
      </c>
      <c r="D17" s="41">
        <v>85</v>
      </c>
      <c r="E17" s="43">
        <f t="shared" si="10"/>
        <v>84</v>
      </c>
      <c r="F17" s="43">
        <f t="shared" si="10"/>
        <v>80.8888888888889</v>
      </c>
      <c r="G17" s="42">
        <f t="shared" si="13"/>
        <v>87.1111111111111</v>
      </c>
      <c r="H17" s="42">
        <f t="shared" si="14"/>
        <v>3.1111111111111001</v>
      </c>
      <c r="I17" s="43">
        <f t="shared" si="15"/>
        <v>83.555555555555557</v>
      </c>
      <c r="J17" s="42">
        <f t="shared" si="16"/>
        <v>2.0864197530864153</v>
      </c>
      <c r="K17" s="24"/>
      <c r="L17" s="41">
        <f t="shared" si="8"/>
        <v>14</v>
      </c>
      <c r="M17" s="41"/>
      <c r="N17" s="42">
        <v>0.85106382978723405</v>
      </c>
      <c r="O17" s="43">
        <f t="shared" si="2"/>
        <v>99.875</v>
      </c>
      <c r="P17" s="43">
        <f t="shared" si="3"/>
        <v>91.906851220176236</v>
      </c>
      <c r="Q17" s="43">
        <f t="shared" si="4"/>
        <v>78.218596783128717</v>
      </c>
      <c r="R17" s="43">
        <f t="shared" si="17"/>
        <v>45.987429589792185</v>
      </c>
      <c r="S17" s="24"/>
      <c r="T17" s="24"/>
      <c r="U17" s="24"/>
      <c r="V17" s="24"/>
      <c r="W17" s="24"/>
      <c r="X17" s="24"/>
      <c r="Y17" s="24"/>
      <c r="Z17" s="24"/>
      <c r="AA17" s="24"/>
      <c r="AB17" s="24"/>
      <c r="AC17" s="24"/>
      <c r="AD17" s="24"/>
      <c r="AE17" s="24"/>
      <c r="AF17" s="24"/>
      <c r="AG17" s="24"/>
      <c r="AH17" s="24"/>
      <c r="AI17" s="24"/>
      <c r="AJ17" s="24"/>
      <c r="AK17" s="24"/>
      <c r="AL17" s="24"/>
      <c r="AM17" s="24"/>
      <c r="AN17" s="24"/>
    </row>
    <row r="18" spans="2:40" ht="17" x14ac:dyDescent="0.2">
      <c r="B18" s="24"/>
      <c r="C18" s="121" t="s">
        <v>214</v>
      </c>
      <c r="D18" s="41">
        <v>93</v>
      </c>
      <c r="E18" s="43">
        <f t="shared" si="10"/>
        <v>87.666666666666671</v>
      </c>
      <c r="F18" s="43">
        <f t="shared" si="10"/>
        <v>84.111111111111128</v>
      </c>
      <c r="G18" s="42">
        <f t="shared" si="13"/>
        <v>91.222222222222214</v>
      </c>
      <c r="H18" s="42">
        <f t="shared" si="14"/>
        <v>3.5555555555555429</v>
      </c>
      <c r="I18" s="43">
        <f t="shared" si="15"/>
        <v>90.2222222222222</v>
      </c>
      <c r="J18" s="42">
        <f t="shared" si="16"/>
        <v>7.7160493827161725</v>
      </c>
      <c r="K18" s="24"/>
      <c r="L18" s="41">
        <f t="shared" si="8"/>
        <v>15</v>
      </c>
      <c r="M18" s="41"/>
      <c r="N18" s="42">
        <v>0.9042553191489362</v>
      </c>
      <c r="O18" s="43">
        <f t="shared" si="2"/>
        <v>102.84705882352941</v>
      </c>
      <c r="P18" s="43">
        <f t="shared" si="3"/>
        <v>92.371995393470399</v>
      </c>
      <c r="Q18" s="43">
        <f t="shared" si="4"/>
        <v>83.527868174946647</v>
      </c>
      <c r="R18" s="43">
        <f t="shared" si="17"/>
        <v>89.721281311188562</v>
      </c>
      <c r="S18" s="24"/>
      <c r="T18" s="24"/>
      <c r="U18" s="24"/>
      <c r="V18" s="24"/>
      <c r="W18" s="24"/>
      <c r="X18" s="24"/>
      <c r="Y18" s="24"/>
      <c r="Z18" s="24"/>
      <c r="AA18" s="24"/>
      <c r="AB18" s="24"/>
      <c r="AC18" s="24"/>
      <c r="AD18" s="24"/>
      <c r="AE18" s="24"/>
      <c r="AF18" s="24"/>
      <c r="AG18" s="24"/>
      <c r="AH18" s="24"/>
      <c r="AI18" s="24"/>
      <c r="AJ18" s="24"/>
      <c r="AK18" s="24"/>
      <c r="AL18" s="24"/>
      <c r="AM18" s="24"/>
      <c r="AN18" s="24"/>
    </row>
    <row r="19" spans="2:40" ht="17" x14ac:dyDescent="0.2">
      <c r="B19" s="24"/>
      <c r="C19" s="121" t="s">
        <v>215</v>
      </c>
      <c r="D19" s="41">
        <v>95</v>
      </c>
      <c r="E19" s="43">
        <f t="shared" si="10"/>
        <v>91</v>
      </c>
      <c r="F19" s="43">
        <f t="shared" si="10"/>
        <v>87.555555555555557</v>
      </c>
      <c r="G19" s="42">
        <f t="shared" si="13"/>
        <v>94.444444444444443</v>
      </c>
      <c r="H19" s="42">
        <f t="shared" si="14"/>
        <v>3.4444444444444429</v>
      </c>
      <c r="I19" s="43">
        <f t="shared" si="15"/>
        <v>94.777777777777757</v>
      </c>
      <c r="J19" s="42">
        <f t="shared" si="16"/>
        <v>4.9382716049391838E-2</v>
      </c>
      <c r="K19" s="24"/>
      <c r="L19" s="41">
        <f t="shared" si="8"/>
        <v>16</v>
      </c>
      <c r="M19" s="41"/>
      <c r="N19" s="42">
        <v>1.0638297872340425</v>
      </c>
      <c r="O19" s="43">
        <f t="shared" si="2"/>
        <v>89.3</v>
      </c>
      <c r="P19" s="43">
        <f t="shared" si="3"/>
        <v>92.837139566764577</v>
      </c>
      <c r="Q19" s="43">
        <f t="shared" si="4"/>
        <v>98.762914432728266</v>
      </c>
      <c r="R19" s="43">
        <f t="shared" si="17"/>
        <v>14.159525028034688</v>
      </c>
      <c r="S19" s="24"/>
      <c r="T19" s="24"/>
      <c r="U19" s="24"/>
      <c r="V19" s="24"/>
      <c r="W19" s="24"/>
      <c r="X19" s="24"/>
      <c r="Y19" s="24"/>
      <c r="Z19" s="24"/>
      <c r="AA19" s="24"/>
      <c r="AB19" s="24"/>
      <c r="AC19" s="24"/>
      <c r="AD19" s="24"/>
      <c r="AE19" s="24"/>
      <c r="AF19" s="24"/>
      <c r="AG19" s="24"/>
      <c r="AH19" s="24"/>
      <c r="AI19" s="24"/>
      <c r="AJ19" s="24"/>
      <c r="AK19" s="24"/>
      <c r="AL19" s="24"/>
      <c r="AM19" s="24"/>
      <c r="AN19" s="24"/>
    </row>
    <row r="20" spans="2:40" ht="17" x14ac:dyDescent="0.2">
      <c r="B20" s="24"/>
      <c r="C20" s="121" t="s">
        <v>216</v>
      </c>
      <c r="D20" s="41">
        <v>125</v>
      </c>
      <c r="E20" s="43">
        <f t="shared" si="10"/>
        <v>104.33333333333333</v>
      </c>
      <c r="F20" s="43">
        <f t="shared" si="10"/>
        <v>94.333333333333329</v>
      </c>
      <c r="G20" s="42">
        <f t="shared" si="13"/>
        <v>114.33333333333333</v>
      </c>
      <c r="H20" s="42">
        <f t="shared" si="14"/>
        <v>10</v>
      </c>
      <c r="I20" s="43">
        <f t="shared" si="15"/>
        <v>97.888888888888886</v>
      </c>
      <c r="J20" s="42">
        <f t="shared" si="16"/>
        <v>735.01234567901247</v>
      </c>
      <c r="K20" s="24"/>
      <c r="L20" s="41">
        <f t="shared" si="8"/>
        <v>17</v>
      </c>
      <c r="M20" s="41"/>
      <c r="N20" s="42">
        <v>1.3085106382978724</v>
      </c>
      <c r="O20" s="43">
        <f t="shared" si="2"/>
        <v>95.528455284552848</v>
      </c>
      <c r="P20" s="43">
        <f t="shared" si="3"/>
        <v>93.302283740058741</v>
      </c>
      <c r="Q20" s="43">
        <f t="shared" si="4"/>
        <v>122.08703085135346</v>
      </c>
      <c r="R20" s="43">
        <f t="shared" si="17"/>
        <v>8.4853892609665422</v>
      </c>
      <c r="S20" s="24"/>
      <c r="T20" s="24"/>
      <c r="U20" s="24"/>
      <c r="V20" s="24"/>
      <c r="W20" s="24"/>
      <c r="X20" s="24"/>
      <c r="Y20" s="24"/>
      <c r="Z20" s="24"/>
      <c r="AA20" s="24"/>
      <c r="AB20" s="24"/>
      <c r="AC20" s="24"/>
      <c r="AD20" s="24"/>
      <c r="AE20" s="24"/>
      <c r="AF20" s="24"/>
      <c r="AG20" s="24"/>
      <c r="AH20" s="24"/>
      <c r="AI20" s="24"/>
      <c r="AJ20" s="24"/>
      <c r="AK20" s="24"/>
      <c r="AL20" s="24"/>
      <c r="AM20" s="24"/>
      <c r="AN20" s="24"/>
    </row>
    <row r="21" spans="2:40" ht="17" x14ac:dyDescent="0.2">
      <c r="B21" s="24"/>
      <c r="C21" s="121" t="s">
        <v>217</v>
      </c>
      <c r="D21" s="41">
        <v>115</v>
      </c>
      <c r="E21" s="43">
        <f t="shared" si="10"/>
        <v>111.66666666666667</v>
      </c>
      <c r="F21" s="43">
        <f t="shared" si="10"/>
        <v>102.33333333333333</v>
      </c>
      <c r="G21" s="42">
        <f t="shared" si="13"/>
        <v>121.00000000000001</v>
      </c>
      <c r="H21" s="42">
        <f t="shared" si="14"/>
        <v>9.3333333333333428</v>
      </c>
      <c r="I21" s="43">
        <f t="shared" si="15"/>
        <v>124.33333333333333</v>
      </c>
      <c r="J21" s="42">
        <f t="shared" si="16"/>
        <v>87.111111111111029</v>
      </c>
      <c r="K21" s="24"/>
      <c r="L21" s="41">
        <f t="shared" si="8"/>
        <v>18</v>
      </c>
      <c r="M21" s="41"/>
      <c r="N21" s="42">
        <v>1.2234042553191489</v>
      </c>
      <c r="O21" s="43">
        <f t="shared" si="2"/>
        <v>94</v>
      </c>
      <c r="P21" s="43">
        <f t="shared" si="3"/>
        <v>93.767427913352904</v>
      </c>
      <c r="Q21" s="43">
        <f t="shared" si="4"/>
        <v>114.71547031952748</v>
      </c>
      <c r="R21" s="43">
        <f t="shared" si="17"/>
        <v>8.0957139069792391E-2</v>
      </c>
      <c r="S21" s="24"/>
      <c r="T21" s="24"/>
      <c r="U21" s="24"/>
      <c r="V21" s="24"/>
      <c r="W21" s="24"/>
      <c r="X21" s="24"/>
      <c r="Y21" s="24"/>
      <c r="Z21" s="24"/>
      <c r="AA21" s="24"/>
      <c r="AB21" s="24"/>
      <c r="AC21" s="24"/>
      <c r="AD21" s="24"/>
      <c r="AE21" s="24"/>
      <c r="AF21" s="24"/>
      <c r="AG21" s="24"/>
      <c r="AH21" s="24"/>
      <c r="AI21" s="24"/>
      <c r="AJ21" s="24"/>
      <c r="AK21" s="24"/>
      <c r="AL21" s="24"/>
      <c r="AM21" s="24"/>
      <c r="AN21" s="24"/>
    </row>
    <row r="22" spans="2:40" ht="17" x14ac:dyDescent="0.2">
      <c r="B22" s="24"/>
      <c r="C22" s="121" t="s">
        <v>218</v>
      </c>
      <c r="D22" s="41">
        <v>102</v>
      </c>
      <c r="E22" s="43">
        <f t="shared" si="10"/>
        <v>114</v>
      </c>
      <c r="F22" s="43">
        <f t="shared" si="10"/>
        <v>110</v>
      </c>
      <c r="G22" s="42">
        <f t="shared" si="13"/>
        <v>118</v>
      </c>
      <c r="H22" s="42">
        <f t="shared" si="14"/>
        <v>4</v>
      </c>
      <c r="I22" s="43">
        <f t="shared" si="15"/>
        <v>130.33333333333337</v>
      </c>
      <c r="J22" s="42">
        <f t="shared" si="16"/>
        <v>802.77777777777987</v>
      </c>
      <c r="K22" s="24"/>
      <c r="L22" s="41">
        <f t="shared" si="8"/>
        <v>19</v>
      </c>
      <c r="M22" s="41"/>
      <c r="N22" s="42">
        <v>1.1170212765957446</v>
      </c>
      <c r="O22" s="43">
        <f t="shared" si="2"/>
        <v>91.314285714285717</v>
      </c>
      <c r="P22" s="43">
        <f t="shared" si="3"/>
        <v>94.232572086647082</v>
      </c>
      <c r="Q22" s="43">
        <f t="shared" si="4"/>
        <v>105.25978796912705</v>
      </c>
      <c r="R22" s="43">
        <f t="shared" si="17"/>
        <v>10.626217603665433</v>
      </c>
      <c r="S22" s="24"/>
      <c r="T22" s="24"/>
      <c r="U22" s="24"/>
      <c r="V22" s="24"/>
      <c r="W22" s="24"/>
      <c r="X22" s="24"/>
      <c r="Y22" s="24"/>
      <c r="Z22" s="24"/>
      <c r="AA22" s="24"/>
      <c r="AB22" s="24"/>
      <c r="AC22" s="24"/>
      <c r="AD22" s="24"/>
      <c r="AE22" s="24"/>
      <c r="AF22" s="24"/>
      <c r="AG22" s="24"/>
      <c r="AH22" s="24"/>
      <c r="AI22" s="24"/>
      <c r="AJ22" s="24"/>
      <c r="AK22" s="24"/>
      <c r="AL22" s="24"/>
      <c r="AM22" s="24"/>
      <c r="AN22" s="24"/>
    </row>
    <row r="23" spans="2:40" ht="17" x14ac:dyDescent="0.2">
      <c r="B23" s="24"/>
      <c r="C23" s="121" t="s">
        <v>219</v>
      </c>
      <c r="D23" s="41">
        <v>102</v>
      </c>
      <c r="E23" s="43">
        <f t="shared" si="10"/>
        <v>106.33333333333333</v>
      </c>
      <c r="F23" s="43">
        <f t="shared" si="10"/>
        <v>110.66666666666667</v>
      </c>
      <c r="G23" s="42">
        <f t="shared" si="13"/>
        <v>101.99999999999999</v>
      </c>
      <c r="H23" s="42">
        <f t="shared" si="14"/>
        <v>-4.3333333333333428</v>
      </c>
      <c r="I23" s="43">
        <f t="shared" si="15"/>
        <v>122</v>
      </c>
      <c r="J23" s="42">
        <f t="shared" si="16"/>
        <v>400</v>
      </c>
      <c r="K23" s="24"/>
      <c r="L23" s="41">
        <f t="shared" si="8"/>
        <v>20</v>
      </c>
      <c r="M23" s="41"/>
      <c r="N23" s="42">
        <v>1.0638297872340425</v>
      </c>
      <c r="O23" s="43">
        <f t="shared" si="2"/>
        <v>95.88</v>
      </c>
      <c r="P23" s="43">
        <f t="shared" si="3"/>
        <v>94.697716259941245</v>
      </c>
      <c r="Q23" s="43">
        <f t="shared" si="4"/>
        <v>100.74225134036303</v>
      </c>
      <c r="R23" s="43">
        <f t="shared" si="17"/>
        <v>1.5819316908186041</v>
      </c>
      <c r="S23" s="24"/>
      <c r="T23" s="24"/>
      <c r="U23" s="24"/>
      <c r="V23" s="24"/>
      <c r="W23" s="24"/>
      <c r="X23" s="24"/>
      <c r="Y23" s="24"/>
      <c r="Z23" s="24"/>
      <c r="AA23" s="24"/>
      <c r="AB23" s="24"/>
      <c r="AC23" s="24"/>
      <c r="AD23" s="24"/>
      <c r="AE23" s="24"/>
      <c r="AF23" s="24"/>
      <c r="AG23" s="24"/>
      <c r="AH23" s="24"/>
      <c r="AI23" s="24"/>
      <c r="AJ23" s="24"/>
      <c r="AK23" s="24"/>
      <c r="AL23" s="24"/>
      <c r="AM23" s="24"/>
      <c r="AN23" s="24"/>
    </row>
    <row r="24" spans="2:40" ht="17" x14ac:dyDescent="0.2">
      <c r="B24" s="24"/>
      <c r="C24" s="121" t="s">
        <v>220</v>
      </c>
      <c r="D24" s="41">
        <v>90</v>
      </c>
      <c r="E24" s="43">
        <f t="shared" si="10"/>
        <v>98</v>
      </c>
      <c r="F24" s="43">
        <f t="shared" si="10"/>
        <v>106.1111111111111</v>
      </c>
      <c r="G24" s="42">
        <f t="shared" si="13"/>
        <v>89.8888888888889</v>
      </c>
      <c r="H24" s="42">
        <f t="shared" si="14"/>
        <v>-8.1111111111111001</v>
      </c>
      <c r="I24" s="43">
        <f t="shared" si="15"/>
        <v>97.666666666666643</v>
      </c>
      <c r="J24" s="42">
        <f t="shared" si="16"/>
        <v>58.777777777777416</v>
      </c>
      <c r="K24" s="24"/>
      <c r="L24" s="41">
        <f t="shared" si="8"/>
        <v>21</v>
      </c>
      <c r="M24" s="41"/>
      <c r="N24" s="42">
        <v>0.95744680851063835</v>
      </c>
      <c r="O24" s="43">
        <f t="shared" si="2"/>
        <v>94</v>
      </c>
      <c r="P24" s="43">
        <f t="shared" si="3"/>
        <v>95.162860433235409</v>
      </c>
      <c r="Q24" s="43">
        <f t="shared" si="4"/>
        <v>91.113377010544539</v>
      </c>
      <c r="R24" s="43">
        <f t="shared" si="17"/>
        <v>1.2396083676090952</v>
      </c>
      <c r="S24" s="24"/>
      <c r="T24" s="24"/>
      <c r="U24" s="24"/>
      <c r="V24" s="24"/>
      <c r="W24" s="24"/>
      <c r="X24" s="24"/>
      <c r="Y24" s="24"/>
      <c r="Z24" s="24"/>
      <c r="AA24" s="24"/>
      <c r="AB24" s="24"/>
      <c r="AC24" s="24"/>
      <c r="AD24" s="24"/>
      <c r="AE24" s="24"/>
      <c r="AF24" s="24"/>
      <c r="AG24" s="24"/>
      <c r="AH24" s="24"/>
      <c r="AI24" s="24"/>
      <c r="AJ24" s="24"/>
      <c r="AK24" s="24"/>
      <c r="AL24" s="24"/>
      <c r="AM24" s="24"/>
      <c r="AN24" s="24"/>
    </row>
    <row r="25" spans="2:40" ht="17" x14ac:dyDescent="0.2">
      <c r="B25" s="24"/>
      <c r="C25" s="121" t="s">
        <v>221</v>
      </c>
      <c r="D25" s="41">
        <v>78</v>
      </c>
      <c r="E25" s="43">
        <f t="shared" si="10"/>
        <v>90</v>
      </c>
      <c r="F25" s="43">
        <f t="shared" si="10"/>
        <v>98.1111111111111</v>
      </c>
      <c r="G25" s="42">
        <f t="shared" si="13"/>
        <v>81.8888888888889</v>
      </c>
      <c r="H25" s="42">
        <f t="shared" si="14"/>
        <v>-8.1111111111111001</v>
      </c>
      <c r="I25" s="43">
        <f t="shared" si="15"/>
        <v>81.7777777777778</v>
      </c>
      <c r="J25" s="42">
        <f t="shared" si="16"/>
        <v>14.271604938271771</v>
      </c>
      <c r="K25" s="24"/>
      <c r="L25" s="41">
        <f t="shared" si="8"/>
        <v>22</v>
      </c>
      <c r="M25" s="41"/>
      <c r="N25" s="42">
        <v>0.85106382978723405</v>
      </c>
      <c r="O25" s="43">
        <f t="shared" si="2"/>
        <v>91.65</v>
      </c>
      <c r="P25" s="43">
        <f t="shared" si="3"/>
        <v>95.628004606529586</v>
      </c>
      <c r="Q25" s="43">
        <f t="shared" si="4"/>
        <v>81.385535835344328</v>
      </c>
      <c r="R25" s="43">
        <f t="shared" si="17"/>
        <v>11.461852892400616</v>
      </c>
      <c r="S25" s="24"/>
      <c r="T25" s="24"/>
      <c r="U25" s="24"/>
      <c r="V25" s="24"/>
      <c r="W25" s="24"/>
      <c r="X25" s="24"/>
      <c r="Y25" s="24"/>
      <c r="Z25" s="24"/>
      <c r="AA25" s="24"/>
      <c r="AB25" s="24"/>
      <c r="AC25" s="24"/>
      <c r="AD25" s="24"/>
      <c r="AE25" s="24"/>
      <c r="AF25" s="24"/>
      <c r="AG25" s="24"/>
      <c r="AH25" s="24"/>
      <c r="AI25" s="24"/>
      <c r="AJ25" s="24"/>
      <c r="AK25" s="24"/>
      <c r="AL25" s="24"/>
      <c r="AM25" s="24"/>
      <c r="AN25" s="24"/>
    </row>
    <row r="26" spans="2:40" ht="17" x14ac:dyDescent="0.2">
      <c r="B26" s="24"/>
      <c r="C26" s="121" t="s">
        <v>222</v>
      </c>
      <c r="D26" s="41">
        <v>82</v>
      </c>
      <c r="E26" s="43">
        <f t="shared" si="10"/>
        <v>83.333333333333329</v>
      </c>
      <c r="F26" s="43">
        <f t="shared" si="10"/>
        <v>90.444444444444443</v>
      </c>
      <c r="G26" s="42">
        <f t="shared" si="13"/>
        <v>76.222222222222214</v>
      </c>
      <c r="H26" s="42">
        <f t="shared" si="14"/>
        <v>-7.1111111111111143</v>
      </c>
      <c r="I26" s="43">
        <f t="shared" si="15"/>
        <v>73.7777777777778</v>
      </c>
      <c r="J26" s="42">
        <f t="shared" si="16"/>
        <v>67.604938271604581</v>
      </c>
      <c r="K26" s="24"/>
      <c r="L26" s="41">
        <f t="shared" si="8"/>
        <v>23</v>
      </c>
      <c r="M26" s="41"/>
      <c r="N26" s="42">
        <v>0.85106382978723405</v>
      </c>
      <c r="O26" s="43">
        <f t="shared" si="2"/>
        <v>96.35</v>
      </c>
      <c r="P26" s="43">
        <f t="shared" si="3"/>
        <v>96.09314877982375</v>
      </c>
      <c r="Q26" s="43">
        <f t="shared" si="4"/>
        <v>81.781403216871283</v>
      </c>
      <c r="R26" s="43">
        <f t="shared" si="17"/>
        <v>4.7784553594223428E-2</v>
      </c>
      <c r="S26" s="24"/>
      <c r="T26" s="24"/>
      <c r="U26" s="24"/>
      <c r="V26" s="24"/>
      <c r="W26" s="24"/>
      <c r="X26" s="24"/>
      <c r="Y26" s="24"/>
      <c r="Z26" s="24"/>
      <c r="AA26" s="24"/>
      <c r="AB26" s="24"/>
      <c r="AC26" s="24"/>
      <c r="AD26" s="24"/>
      <c r="AE26" s="24"/>
      <c r="AF26" s="24"/>
      <c r="AG26" s="24"/>
      <c r="AH26" s="24"/>
      <c r="AI26" s="24"/>
      <c r="AJ26" s="24"/>
      <c r="AK26" s="24"/>
      <c r="AL26" s="24"/>
      <c r="AM26" s="24"/>
      <c r="AN26" s="24"/>
    </row>
    <row r="27" spans="2:40" ht="17" x14ac:dyDescent="0.2">
      <c r="B27" s="24"/>
      <c r="C27" s="121" t="s">
        <v>223</v>
      </c>
      <c r="D27" s="41">
        <v>78</v>
      </c>
      <c r="E27" s="43">
        <f t="shared" si="10"/>
        <v>79.333333333333329</v>
      </c>
      <c r="F27" s="43">
        <f t="shared" si="10"/>
        <v>84.222222222222214</v>
      </c>
      <c r="G27" s="42">
        <f t="shared" si="13"/>
        <v>74.444444444444443</v>
      </c>
      <c r="H27" s="42">
        <f t="shared" si="14"/>
        <v>-4.8888888888888857</v>
      </c>
      <c r="I27" s="43">
        <f t="shared" si="15"/>
        <v>69.1111111111111</v>
      </c>
      <c r="J27" s="42">
        <f t="shared" si="16"/>
        <v>79.01234567901254</v>
      </c>
      <c r="K27" s="24"/>
      <c r="L27" s="41">
        <f t="shared" si="8"/>
        <v>24</v>
      </c>
      <c r="M27" s="41"/>
      <c r="N27" s="42">
        <v>0.85106382978723405</v>
      </c>
      <c r="O27" s="43">
        <f t="shared" si="2"/>
        <v>91.65</v>
      </c>
      <c r="P27" s="43">
        <f t="shared" si="3"/>
        <v>96.558292953117913</v>
      </c>
      <c r="Q27" s="43">
        <f t="shared" si="4"/>
        <v>82.177270598398223</v>
      </c>
      <c r="R27" s="43">
        <f t="shared" si="17"/>
        <v>17.449589652242253</v>
      </c>
      <c r="S27" s="24"/>
      <c r="T27" s="24"/>
      <c r="U27" s="24"/>
      <c r="V27" s="24"/>
      <c r="W27" s="24"/>
      <c r="X27" s="24"/>
      <c r="Y27" s="24"/>
      <c r="Z27" s="24"/>
      <c r="AA27" s="24"/>
      <c r="AB27" s="24"/>
      <c r="AC27" s="24"/>
      <c r="AD27" s="24"/>
      <c r="AE27" s="24"/>
      <c r="AF27" s="24"/>
      <c r="AG27" s="24"/>
      <c r="AH27" s="24"/>
      <c r="AI27" s="24"/>
      <c r="AJ27" s="24"/>
      <c r="AK27" s="24"/>
      <c r="AL27" s="24"/>
      <c r="AM27" s="24"/>
      <c r="AN27" s="24"/>
    </row>
    <row r="28" spans="2:40" ht="17" x14ac:dyDescent="0.2">
      <c r="B28" s="24">
        <v>2023</v>
      </c>
      <c r="C28" s="121" t="s">
        <v>212</v>
      </c>
      <c r="D28" s="41">
        <v>105</v>
      </c>
      <c r="E28" s="43">
        <f t="shared" si="10"/>
        <v>88.333333333333329</v>
      </c>
      <c r="F28" s="43">
        <f t="shared" si="10"/>
        <v>83.666666666666671</v>
      </c>
      <c r="G28" s="42">
        <f t="shared" si="13"/>
        <v>92.999999999999986</v>
      </c>
      <c r="H28" s="42">
        <f t="shared" si="14"/>
        <v>4.6666666666666572</v>
      </c>
      <c r="I28" s="43">
        <f t="shared" si="15"/>
        <v>69.555555555555557</v>
      </c>
      <c r="J28" s="42">
        <f t="shared" si="16"/>
        <v>1256.3086419753085</v>
      </c>
      <c r="K28" s="24"/>
      <c r="L28" s="41">
        <f t="shared" si="8"/>
        <v>25</v>
      </c>
      <c r="M28" s="41"/>
      <c r="N28" s="42">
        <v>0.95744680851063835</v>
      </c>
      <c r="O28" s="43">
        <f t="shared" si="2"/>
        <v>109.66666666666666</v>
      </c>
      <c r="P28" s="43">
        <f t="shared" si="3"/>
        <v>97.023437126412091</v>
      </c>
      <c r="Q28" s="43">
        <f t="shared" si="4"/>
        <v>92.894780227415836</v>
      </c>
      <c r="R28" s="43">
        <f t="shared" si="17"/>
        <v>146.53634574256259</v>
      </c>
      <c r="S28" s="24"/>
      <c r="T28" s="24"/>
      <c r="U28" s="24"/>
      <c r="V28" s="24"/>
      <c r="W28" s="24"/>
      <c r="X28" s="24"/>
      <c r="Y28" s="24"/>
      <c r="Z28" s="24"/>
      <c r="AA28" s="24"/>
      <c r="AB28" s="24"/>
      <c r="AC28" s="24"/>
      <c r="AD28" s="24"/>
      <c r="AE28" s="24"/>
      <c r="AF28" s="24"/>
      <c r="AG28" s="24"/>
      <c r="AH28" s="24"/>
      <c r="AI28" s="24"/>
      <c r="AJ28" s="24"/>
      <c r="AK28" s="24"/>
      <c r="AL28" s="24"/>
      <c r="AM28" s="24"/>
      <c r="AN28" s="24"/>
    </row>
    <row r="29" spans="2:40" ht="17" x14ac:dyDescent="0.2">
      <c r="B29" s="26"/>
      <c r="C29" s="121" t="s">
        <v>213</v>
      </c>
      <c r="D29" s="41">
        <v>85</v>
      </c>
      <c r="E29" s="43">
        <f t="shared" si="10"/>
        <v>89.333333333333329</v>
      </c>
      <c r="F29" s="43">
        <f t="shared" si="10"/>
        <v>85.666666666666671</v>
      </c>
      <c r="G29" s="42">
        <f t="shared" si="13"/>
        <v>92.999999999999986</v>
      </c>
      <c r="H29" s="42">
        <f t="shared" si="14"/>
        <v>3.6666666666666572</v>
      </c>
      <c r="I29" s="43">
        <f t="shared" si="15"/>
        <v>97.666666666666643</v>
      </c>
      <c r="J29" s="42">
        <f t="shared" si="16"/>
        <v>160.44444444444383</v>
      </c>
      <c r="K29" s="24"/>
      <c r="L29" s="41">
        <f t="shared" si="8"/>
        <v>26</v>
      </c>
      <c r="M29" s="41"/>
      <c r="N29" s="42">
        <v>0.85106382978723405</v>
      </c>
      <c r="O29" s="43">
        <f t="shared" si="2"/>
        <v>99.875</v>
      </c>
      <c r="P29" s="43">
        <f t="shared" si="3"/>
        <v>97.488581299706254</v>
      </c>
      <c r="Q29" s="43">
        <f t="shared" si="4"/>
        <v>82.969005361452133</v>
      </c>
      <c r="R29" s="43">
        <f t="shared" si="17"/>
        <v>4.1249392218101804</v>
      </c>
      <c r="S29" s="24"/>
      <c r="T29" s="24"/>
      <c r="U29" s="24"/>
      <c r="V29" s="24"/>
      <c r="W29" s="24"/>
      <c r="X29" s="24"/>
      <c r="Y29" s="24"/>
      <c r="Z29" s="24"/>
      <c r="AA29" s="24"/>
      <c r="AB29" s="24"/>
      <c r="AC29" s="24"/>
      <c r="AD29" s="24"/>
      <c r="AE29" s="24"/>
      <c r="AF29" s="24"/>
      <c r="AG29" s="24"/>
      <c r="AH29" s="24"/>
      <c r="AI29" s="24"/>
      <c r="AJ29" s="24"/>
      <c r="AK29" s="24"/>
      <c r="AL29" s="24"/>
      <c r="AM29" s="24"/>
      <c r="AN29" s="24"/>
    </row>
    <row r="30" spans="2:40" ht="17" x14ac:dyDescent="0.2">
      <c r="B30" s="24"/>
      <c r="C30" s="121" t="s">
        <v>214</v>
      </c>
      <c r="D30" s="41">
        <v>82</v>
      </c>
      <c r="E30" s="43">
        <f t="shared" si="10"/>
        <v>90.666666666666671</v>
      </c>
      <c r="F30" s="43">
        <f t="shared" si="10"/>
        <v>89.444444444444443</v>
      </c>
      <c r="G30" s="42">
        <f t="shared" si="13"/>
        <v>91.8888888888889</v>
      </c>
      <c r="H30" s="42">
        <f t="shared" si="14"/>
        <v>1.2222222222222285</v>
      </c>
      <c r="I30" s="43">
        <f t="shared" si="15"/>
        <v>96.666666666666643</v>
      </c>
      <c r="J30" s="42">
        <f t="shared" si="16"/>
        <v>215.1111111111104</v>
      </c>
      <c r="K30" s="24"/>
      <c r="L30" s="41">
        <f t="shared" si="8"/>
        <v>27</v>
      </c>
      <c r="M30" s="41"/>
      <c r="N30" s="42">
        <v>0.9042553191489362</v>
      </c>
      <c r="O30" s="43">
        <f t="shared" si="2"/>
        <v>90.682352941176461</v>
      </c>
      <c r="P30" s="43">
        <f t="shared" si="3"/>
        <v>97.953725473000418</v>
      </c>
      <c r="Q30" s="43">
        <f t="shared" si="4"/>
        <v>88.575177289415279</v>
      </c>
      <c r="R30" s="43">
        <f t="shared" si="17"/>
        <v>43.23295638724246</v>
      </c>
      <c r="S30" s="24"/>
      <c r="T30" s="24"/>
      <c r="U30" s="24"/>
      <c r="V30" s="24"/>
      <c r="W30" s="24"/>
      <c r="X30" s="24"/>
      <c r="Y30" s="24"/>
      <c r="Z30" s="24"/>
      <c r="AA30" s="24"/>
      <c r="AB30" s="24"/>
      <c r="AC30" s="24"/>
      <c r="AD30" s="24"/>
      <c r="AE30" s="24"/>
      <c r="AF30" s="24"/>
      <c r="AG30" s="24"/>
      <c r="AH30" s="24"/>
      <c r="AI30" s="24"/>
      <c r="AJ30" s="24"/>
      <c r="AK30" s="24"/>
      <c r="AL30" s="24"/>
      <c r="AM30" s="24"/>
      <c r="AN30" s="24"/>
    </row>
    <row r="31" spans="2:40" ht="17" x14ac:dyDescent="0.2">
      <c r="B31" s="24"/>
      <c r="C31" s="121" t="s">
        <v>215</v>
      </c>
      <c r="D31" s="41">
        <v>115</v>
      </c>
      <c r="E31" s="43">
        <f t="shared" si="10"/>
        <v>94</v>
      </c>
      <c r="F31" s="43">
        <f t="shared" si="10"/>
        <v>91.333333333333329</v>
      </c>
      <c r="G31" s="42">
        <f t="shared" si="13"/>
        <v>96.666666666666671</v>
      </c>
      <c r="H31" s="42">
        <f t="shared" si="14"/>
        <v>2.6666666666666714</v>
      </c>
      <c r="I31" s="43">
        <f t="shared" si="15"/>
        <v>93.111111111111128</v>
      </c>
      <c r="J31" s="42">
        <f t="shared" si="16"/>
        <v>479.1234567901227</v>
      </c>
      <c r="K31" s="24"/>
      <c r="L31" s="41">
        <f t="shared" si="8"/>
        <v>28</v>
      </c>
      <c r="M31" s="41"/>
      <c r="N31" s="42">
        <v>1.0638297872340425</v>
      </c>
      <c r="O31" s="43">
        <f t="shared" si="2"/>
        <v>108.10000000000001</v>
      </c>
      <c r="P31" s="43">
        <f t="shared" si="3"/>
        <v>98.418869646294596</v>
      </c>
      <c r="Q31" s="43">
        <f t="shared" si="4"/>
        <v>104.70092515563255</v>
      </c>
      <c r="R31" s="43">
        <f t="shared" si="17"/>
        <v>106.07094264988248</v>
      </c>
      <c r="S31" s="24"/>
      <c r="T31" s="24"/>
      <c r="U31" s="24"/>
      <c r="V31" s="24"/>
      <c r="W31" s="24"/>
      <c r="X31" s="24"/>
      <c r="Y31" s="24"/>
      <c r="Z31" s="24"/>
      <c r="AA31" s="24"/>
      <c r="AB31" s="24"/>
      <c r="AC31" s="24"/>
      <c r="AD31" s="24"/>
      <c r="AE31" s="24"/>
      <c r="AF31" s="24"/>
      <c r="AG31" s="24"/>
      <c r="AH31" s="24"/>
      <c r="AI31" s="24"/>
      <c r="AJ31" s="24"/>
      <c r="AK31" s="24"/>
      <c r="AL31" s="24"/>
      <c r="AM31" s="24"/>
      <c r="AN31" s="24"/>
    </row>
    <row r="32" spans="2:40" ht="17" x14ac:dyDescent="0.2">
      <c r="B32" s="24"/>
      <c r="C32" s="121" t="s">
        <v>216</v>
      </c>
      <c r="D32" s="41">
        <v>131</v>
      </c>
      <c r="E32" s="43">
        <f t="shared" si="10"/>
        <v>109.33333333333333</v>
      </c>
      <c r="F32" s="43">
        <f t="shared" si="10"/>
        <v>98</v>
      </c>
      <c r="G32" s="42">
        <f t="shared" si="13"/>
        <v>120.66666666666666</v>
      </c>
      <c r="H32" s="42">
        <f t="shared" si="14"/>
        <v>11.333333333333329</v>
      </c>
      <c r="I32" s="43">
        <f t="shared" si="15"/>
        <v>99.333333333333343</v>
      </c>
      <c r="J32" s="42">
        <f t="shared" si="16"/>
        <v>1002.7777777777771</v>
      </c>
      <c r="K32" s="24"/>
      <c r="L32" s="41">
        <f t="shared" si="8"/>
        <v>29</v>
      </c>
      <c r="M32" s="41"/>
      <c r="N32" s="42">
        <v>1.3085106382978724</v>
      </c>
      <c r="O32" s="43">
        <f t="shared" si="2"/>
        <v>100.11382113821138</v>
      </c>
      <c r="P32" s="43">
        <f t="shared" si="3"/>
        <v>98.884013819588759</v>
      </c>
      <c r="Q32" s="43">
        <f t="shared" si="4"/>
        <v>129.39078404052572</v>
      </c>
      <c r="R32" s="43">
        <f t="shared" si="17"/>
        <v>2.5895760042267399</v>
      </c>
      <c r="S32" s="24"/>
      <c r="T32" s="24"/>
      <c r="U32" s="24"/>
      <c r="V32" s="24"/>
      <c r="W32" s="24"/>
      <c r="X32" s="24"/>
      <c r="Y32" s="24"/>
      <c r="Z32" s="24"/>
      <c r="AA32" s="24"/>
      <c r="AB32" s="24"/>
      <c r="AC32" s="24"/>
      <c r="AD32" s="24"/>
      <c r="AE32" s="24"/>
      <c r="AF32" s="24"/>
      <c r="AG32" s="24"/>
      <c r="AH32" s="24"/>
      <c r="AI32" s="24"/>
      <c r="AJ32" s="24"/>
      <c r="AK32" s="24"/>
      <c r="AL32" s="24"/>
      <c r="AM32" s="24"/>
      <c r="AN32" s="24"/>
    </row>
    <row r="33" spans="2:40" ht="17" x14ac:dyDescent="0.2">
      <c r="B33" s="24"/>
      <c r="C33" s="121" t="s">
        <v>217</v>
      </c>
      <c r="D33" s="41">
        <v>120</v>
      </c>
      <c r="E33" s="43">
        <f t="shared" si="10"/>
        <v>122</v>
      </c>
      <c r="F33" s="43">
        <f t="shared" si="10"/>
        <v>108.44444444444444</v>
      </c>
      <c r="G33" s="42">
        <f t="shared" si="13"/>
        <v>135.55555555555554</v>
      </c>
      <c r="H33" s="42">
        <f t="shared" si="14"/>
        <v>13.555555555555557</v>
      </c>
      <c r="I33" s="43">
        <f t="shared" si="15"/>
        <v>132</v>
      </c>
      <c r="J33" s="42">
        <f t="shared" si="16"/>
        <v>144</v>
      </c>
      <c r="K33" s="24"/>
      <c r="L33" s="41">
        <f t="shared" si="8"/>
        <v>30</v>
      </c>
      <c r="M33" s="41"/>
      <c r="N33" s="42">
        <v>1.2234042553191489</v>
      </c>
      <c r="O33" s="43">
        <f t="shared" si="2"/>
        <v>98.08695652173914</v>
      </c>
      <c r="P33" s="43">
        <f t="shared" si="3"/>
        <v>99.349157992882922</v>
      </c>
      <c r="Q33" s="43">
        <f t="shared" si="4"/>
        <v>121.5441826508674</v>
      </c>
      <c r="R33" s="43">
        <f t="shared" si="17"/>
        <v>2.3845000592398655</v>
      </c>
      <c r="S33" s="24"/>
      <c r="T33" s="24"/>
      <c r="U33" s="24"/>
      <c r="V33" s="24"/>
      <c r="W33" s="24"/>
      <c r="X33" s="24"/>
      <c r="Y33" s="24"/>
      <c r="Z33" s="24"/>
      <c r="AA33" s="24"/>
      <c r="AB33" s="24"/>
      <c r="AC33" s="24"/>
      <c r="AD33" s="24"/>
      <c r="AE33" s="24"/>
      <c r="AF33" s="24"/>
      <c r="AG33" s="24"/>
      <c r="AH33" s="24"/>
      <c r="AI33" s="24"/>
      <c r="AJ33" s="24"/>
      <c r="AK33" s="24"/>
      <c r="AL33" s="24"/>
      <c r="AM33" s="24"/>
      <c r="AN33" s="24"/>
    </row>
    <row r="34" spans="2:40" ht="17" x14ac:dyDescent="0.2">
      <c r="B34" s="24"/>
      <c r="C34" s="121" t="s">
        <v>218</v>
      </c>
      <c r="D34" s="41">
        <v>113</v>
      </c>
      <c r="E34" s="43">
        <f t="shared" si="10"/>
        <v>121.33333333333333</v>
      </c>
      <c r="F34" s="43">
        <f t="shared" si="10"/>
        <v>117.55555555555554</v>
      </c>
      <c r="G34" s="42">
        <f t="shared" si="13"/>
        <v>125.11111111111111</v>
      </c>
      <c r="H34" s="42">
        <f t="shared" si="14"/>
        <v>3.7777777777777857</v>
      </c>
      <c r="I34" s="43">
        <f t="shared" si="15"/>
        <v>149.11111111111109</v>
      </c>
      <c r="J34" s="42">
        <f t="shared" si="16"/>
        <v>1304.0123456790104</v>
      </c>
      <c r="K34" s="24"/>
      <c r="L34" s="41">
        <f t="shared" si="8"/>
        <v>31</v>
      </c>
      <c r="M34" s="41"/>
      <c r="N34" s="42">
        <v>1.1170212765957446</v>
      </c>
      <c r="O34" s="43">
        <f t="shared" si="2"/>
        <v>101.16190476190476</v>
      </c>
      <c r="P34" s="43">
        <f t="shared" si="3"/>
        <v>99.8143021661771</v>
      </c>
      <c r="Q34" s="43">
        <f t="shared" si="4"/>
        <v>111.49469922817654</v>
      </c>
      <c r="R34" s="43">
        <f t="shared" si="17"/>
        <v>2.2659304136522946</v>
      </c>
      <c r="S34" s="24"/>
      <c r="T34" s="24"/>
      <c r="U34" s="24"/>
      <c r="V34" s="24"/>
      <c r="W34" s="24"/>
      <c r="X34" s="24"/>
      <c r="Y34" s="24"/>
      <c r="Z34" s="24"/>
      <c r="AA34" s="24"/>
      <c r="AB34" s="24"/>
      <c r="AC34" s="24"/>
      <c r="AD34" s="24"/>
      <c r="AE34" s="24"/>
      <c r="AF34" s="24"/>
      <c r="AG34" s="24"/>
      <c r="AH34" s="24"/>
      <c r="AI34" s="24"/>
      <c r="AJ34" s="24"/>
      <c r="AK34" s="24"/>
      <c r="AL34" s="24"/>
      <c r="AM34" s="24"/>
      <c r="AN34" s="24"/>
    </row>
    <row r="35" spans="2:40" ht="17" x14ac:dyDescent="0.2">
      <c r="B35" s="24"/>
      <c r="C35" s="121" t="s">
        <v>219</v>
      </c>
      <c r="D35" s="41">
        <v>110</v>
      </c>
      <c r="E35" s="43">
        <f t="shared" si="10"/>
        <v>114.33333333333333</v>
      </c>
      <c r="F35" s="43">
        <f t="shared" si="10"/>
        <v>119.22222222222221</v>
      </c>
      <c r="G35" s="42">
        <f t="shared" si="13"/>
        <v>109.44444444444444</v>
      </c>
      <c r="H35" s="42">
        <f t="shared" si="14"/>
        <v>-4.8888888888888857</v>
      </c>
      <c r="I35" s="43">
        <f t="shared" si="15"/>
        <v>128.88888888888891</v>
      </c>
      <c r="J35" s="42">
        <f t="shared" si="16"/>
        <v>356.79012345679109</v>
      </c>
      <c r="K35" s="24"/>
      <c r="L35" s="41">
        <f t="shared" si="8"/>
        <v>32</v>
      </c>
      <c r="M35" s="41"/>
      <c r="N35" s="42">
        <v>1.0638297872340425</v>
      </c>
      <c r="O35" s="43">
        <f t="shared" si="2"/>
        <v>103.4</v>
      </c>
      <c r="P35" s="43">
        <f t="shared" si="3"/>
        <v>100.27944633947126</v>
      </c>
      <c r="Q35" s="43">
        <f t="shared" si="4"/>
        <v>106.68026206326731</v>
      </c>
      <c r="R35" s="43">
        <f t="shared" si="17"/>
        <v>11.020659968582239</v>
      </c>
      <c r="S35" s="24"/>
      <c r="T35" s="24"/>
      <c r="U35" s="24"/>
      <c r="V35" s="24"/>
      <c r="W35" s="24"/>
      <c r="X35" s="24"/>
      <c r="Y35" s="24"/>
      <c r="Z35" s="24"/>
      <c r="AA35" s="24"/>
      <c r="AB35" s="24"/>
      <c r="AC35" s="24"/>
      <c r="AD35" s="24"/>
      <c r="AE35" s="24"/>
      <c r="AF35" s="24"/>
      <c r="AG35" s="24"/>
      <c r="AH35" s="24"/>
      <c r="AI35" s="24"/>
      <c r="AJ35" s="24"/>
      <c r="AK35" s="24"/>
      <c r="AL35" s="24"/>
      <c r="AM35" s="24"/>
      <c r="AN35" s="24"/>
    </row>
    <row r="36" spans="2:40" ht="17" x14ac:dyDescent="0.2">
      <c r="B36" s="24"/>
      <c r="C36" s="121" t="s">
        <v>220</v>
      </c>
      <c r="D36" s="41">
        <v>95</v>
      </c>
      <c r="E36" s="43">
        <f t="shared" si="10"/>
        <v>106</v>
      </c>
      <c r="F36" s="43">
        <f t="shared" si="10"/>
        <v>113.88888888888887</v>
      </c>
      <c r="G36" s="42">
        <f t="shared" si="13"/>
        <v>98.111111111111128</v>
      </c>
      <c r="H36" s="42">
        <f t="shared" si="14"/>
        <v>-7.8888888888888715</v>
      </c>
      <c r="I36" s="43">
        <f t="shared" si="15"/>
        <v>104.55555555555556</v>
      </c>
      <c r="J36" s="42">
        <f t="shared" si="16"/>
        <v>91.308641975308674</v>
      </c>
      <c r="K36" s="24"/>
      <c r="L36" s="41">
        <f t="shared" si="8"/>
        <v>33</v>
      </c>
      <c r="M36" s="41"/>
      <c r="N36" s="42">
        <v>0.95744680851063835</v>
      </c>
      <c r="O36" s="43">
        <f t="shared" si="2"/>
        <v>99.222222222222214</v>
      </c>
      <c r="P36" s="43">
        <f t="shared" si="3"/>
        <v>100.74459051276543</v>
      </c>
      <c r="Q36" s="43">
        <f t="shared" si="4"/>
        <v>96.457586661158388</v>
      </c>
      <c r="R36" s="43">
        <f t="shared" si="17"/>
        <v>2.1245588747868562</v>
      </c>
      <c r="S36" s="24"/>
      <c r="T36" s="24"/>
      <c r="U36" s="24"/>
      <c r="V36" s="24"/>
      <c r="W36" s="24"/>
      <c r="X36" s="24"/>
      <c r="Y36" s="24"/>
      <c r="Z36" s="24"/>
      <c r="AA36" s="24"/>
      <c r="AB36" s="24"/>
      <c r="AC36" s="24"/>
      <c r="AD36" s="24"/>
      <c r="AE36" s="24"/>
      <c r="AF36" s="24"/>
      <c r="AG36" s="24"/>
      <c r="AH36" s="24"/>
      <c r="AI36" s="24"/>
      <c r="AJ36" s="24"/>
      <c r="AK36" s="24"/>
      <c r="AL36" s="24"/>
      <c r="AM36" s="24"/>
      <c r="AN36" s="24"/>
    </row>
    <row r="37" spans="2:40" ht="17" x14ac:dyDescent="0.2">
      <c r="B37" s="24"/>
      <c r="C37" s="121" t="s">
        <v>221</v>
      </c>
      <c r="D37" s="41">
        <v>85</v>
      </c>
      <c r="E37" s="43">
        <f t="shared" si="10"/>
        <v>96.666666666666671</v>
      </c>
      <c r="F37" s="43">
        <f t="shared" si="10"/>
        <v>105.66666666666667</v>
      </c>
      <c r="G37" s="42">
        <f t="shared" si="13"/>
        <v>87.666666666666671</v>
      </c>
      <c r="H37" s="42">
        <f t="shared" si="14"/>
        <v>-9</v>
      </c>
      <c r="I37" s="43">
        <f t="shared" si="15"/>
        <v>90.222222222222257</v>
      </c>
      <c r="J37" s="42">
        <f t="shared" si="16"/>
        <v>27.271604938271967</v>
      </c>
      <c r="K37" s="24"/>
      <c r="L37" s="41">
        <f t="shared" si="8"/>
        <v>34</v>
      </c>
      <c r="M37" s="41"/>
      <c r="N37" s="42">
        <v>0.85106382978723405</v>
      </c>
      <c r="O37" s="43">
        <f t="shared" si="2"/>
        <v>99.875</v>
      </c>
      <c r="P37" s="43">
        <f t="shared" si="3"/>
        <v>101.2097346860596</v>
      </c>
      <c r="Q37" s="43">
        <f t="shared" si="4"/>
        <v>86.135944413667744</v>
      </c>
      <c r="R37" s="43">
        <f t="shared" si="17"/>
        <v>1.2903697109429544</v>
      </c>
      <c r="S37" s="24"/>
      <c r="T37" s="24"/>
      <c r="U37" s="24"/>
      <c r="V37" s="24"/>
      <c r="W37" s="24"/>
      <c r="X37" s="24"/>
      <c r="Y37" s="24"/>
      <c r="Z37" s="24"/>
      <c r="AA37" s="24"/>
      <c r="AB37" s="24"/>
      <c r="AC37" s="24"/>
      <c r="AD37" s="24"/>
      <c r="AE37" s="24"/>
      <c r="AF37" s="24"/>
      <c r="AG37" s="24"/>
      <c r="AH37" s="24"/>
      <c r="AI37" s="24"/>
      <c r="AJ37" s="24"/>
      <c r="AK37" s="24"/>
      <c r="AL37" s="24"/>
      <c r="AM37" s="24"/>
      <c r="AN37" s="24"/>
    </row>
    <row r="38" spans="2:40" ht="17" x14ac:dyDescent="0.2">
      <c r="B38" s="24"/>
      <c r="C38" s="121" t="s">
        <v>222</v>
      </c>
      <c r="D38" s="41">
        <v>83</v>
      </c>
      <c r="E38" s="43">
        <f t="shared" si="10"/>
        <v>87.666666666666671</v>
      </c>
      <c r="F38" s="43">
        <f t="shared" si="10"/>
        <v>96.777777777777786</v>
      </c>
      <c r="G38" s="42">
        <f t="shared" si="13"/>
        <v>78.555555555555557</v>
      </c>
      <c r="H38" s="42">
        <f t="shared" si="14"/>
        <v>-9.1111111111111143</v>
      </c>
      <c r="I38" s="43">
        <f t="shared" si="15"/>
        <v>78.666666666666671</v>
      </c>
      <c r="J38" s="42">
        <f t="shared" si="16"/>
        <v>18.777777777777736</v>
      </c>
      <c r="K38" s="24"/>
      <c r="L38" s="41">
        <f t="shared" si="8"/>
        <v>35</v>
      </c>
      <c r="M38" s="41"/>
      <c r="N38" s="42">
        <v>0.85106382978723405</v>
      </c>
      <c r="O38" s="43">
        <f t="shared" si="2"/>
        <v>97.525000000000006</v>
      </c>
      <c r="P38" s="43">
        <f t="shared" si="3"/>
        <v>101.67487885935377</v>
      </c>
      <c r="Q38" s="43">
        <f t="shared" si="4"/>
        <v>86.531811795194699</v>
      </c>
      <c r="R38" s="43">
        <f t="shared" si="17"/>
        <v>12.473694556676401</v>
      </c>
      <c r="S38" s="24"/>
      <c r="T38" s="24"/>
      <c r="U38" s="24"/>
      <c r="V38" s="24"/>
      <c r="W38" s="24"/>
      <c r="X38" s="24"/>
      <c r="Y38" s="24"/>
      <c r="Z38" s="24"/>
      <c r="AA38" s="24"/>
      <c r="AB38" s="24"/>
      <c r="AC38" s="24"/>
      <c r="AD38" s="24"/>
      <c r="AE38" s="24"/>
      <c r="AF38" s="24"/>
      <c r="AG38" s="24"/>
      <c r="AH38" s="24"/>
      <c r="AI38" s="24"/>
      <c r="AJ38" s="24"/>
      <c r="AK38" s="24"/>
      <c r="AL38" s="24"/>
      <c r="AM38" s="24"/>
      <c r="AN38" s="24"/>
    </row>
    <row r="39" spans="2:40" ht="17" x14ac:dyDescent="0.2">
      <c r="B39" s="24"/>
      <c r="C39" s="121" t="s">
        <v>223</v>
      </c>
      <c r="D39" s="41">
        <v>80</v>
      </c>
      <c r="E39" s="43">
        <f t="shared" si="10"/>
        <v>82.666666666666671</v>
      </c>
      <c r="F39" s="43">
        <f t="shared" si="10"/>
        <v>89</v>
      </c>
      <c r="G39" s="42">
        <f t="shared" si="13"/>
        <v>76.333333333333343</v>
      </c>
      <c r="H39" s="42">
        <f t="shared" si="14"/>
        <v>-6.3333333333333286</v>
      </c>
      <c r="I39" s="43">
        <f t="shared" si="15"/>
        <v>69.444444444444443</v>
      </c>
      <c r="J39" s="42">
        <f t="shared" si="16"/>
        <v>111.41975308641979</v>
      </c>
      <c r="K39" s="24"/>
      <c r="L39" s="41">
        <f t="shared" si="8"/>
        <v>36</v>
      </c>
      <c r="M39" s="41"/>
      <c r="N39" s="42">
        <v>0.85106382978723405</v>
      </c>
      <c r="O39" s="43">
        <f t="shared" si="2"/>
        <v>94</v>
      </c>
      <c r="P39" s="43">
        <f t="shared" si="3"/>
        <v>102.14002303264795</v>
      </c>
      <c r="Q39" s="43">
        <f t="shared" si="4"/>
        <v>86.927679176721654</v>
      </c>
      <c r="R39" s="43">
        <f t="shared" si="17"/>
        <v>47.992738775582808</v>
      </c>
      <c r="S39" s="24"/>
      <c r="T39" s="24"/>
      <c r="U39" s="24"/>
      <c r="V39" s="24"/>
      <c r="W39" s="24"/>
      <c r="X39" s="24"/>
      <c r="Y39" s="24"/>
      <c r="Z39" s="24"/>
      <c r="AA39" s="24"/>
      <c r="AB39" s="24"/>
      <c r="AC39" s="24"/>
      <c r="AD39" s="24"/>
      <c r="AE39" s="24"/>
      <c r="AF39" s="24"/>
      <c r="AG39" s="24"/>
      <c r="AH39" s="24"/>
      <c r="AI39" s="24"/>
      <c r="AJ39" s="24"/>
      <c r="AK39" s="24"/>
      <c r="AL39" s="24"/>
      <c r="AM39" s="24"/>
      <c r="AN39" s="24"/>
    </row>
    <row r="40" spans="2:40" ht="17" x14ac:dyDescent="0.2">
      <c r="B40" s="24"/>
      <c r="C40" s="119" t="s">
        <v>212</v>
      </c>
      <c r="D40" s="24"/>
      <c r="E40" s="24"/>
      <c r="F40" s="24"/>
      <c r="G40" s="24"/>
      <c r="H40" s="24"/>
      <c r="I40" s="120">
        <f>$G$39+($H$39*1)</f>
        <v>70.000000000000014</v>
      </c>
      <c r="J40" s="24"/>
      <c r="K40" s="24"/>
      <c r="L40" s="24">
        <f t="shared" si="8"/>
        <v>37</v>
      </c>
      <c r="M40" s="24"/>
      <c r="N40" s="114">
        <v>0.95744680851063835</v>
      </c>
      <c r="O40" s="24"/>
      <c r="P40" s="81">
        <f t="shared" si="3"/>
        <v>102.60516720594211</v>
      </c>
      <c r="Q40" s="120">
        <f t="shared" si="4"/>
        <v>98.238989878029685</v>
      </c>
      <c r="R40" s="24"/>
      <c r="S40" s="24"/>
      <c r="T40" s="24"/>
      <c r="U40" s="24"/>
      <c r="V40" s="24"/>
      <c r="W40" s="24"/>
      <c r="X40" s="24"/>
      <c r="Y40" s="24"/>
      <c r="Z40" s="24"/>
      <c r="AA40" s="24"/>
      <c r="AB40" s="24"/>
      <c r="AC40" s="24"/>
      <c r="AD40" s="24"/>
      <c r="AE40" s="24"/>
      <c r="AF40" s="24"/>
      <c r="AG40" s="24"/>
      <c r="AH40" s="24"/>
      <c r="AI40" s="24"/>
      <c r="AJ40" s="24"/>
      <c r="AK40" s="24"/>
      <c r="AL40" s="24"/>
      <c r="AM40" s="24"/>
      <c r="AN40" s="24"/>
    </row>
    <row r="41" spans="2:40" ht="17" x14ac:dyDescent="0.2">
      <c r="C41" s="119" t="s">
        <v>213</v>
      </c>
      <c r="I41" s="120">
        <f>$G$39+($H$39*2)</f>
        <v>63.666666666666686</v>
      </c>
      <c r="L41" s="24">
        <f t="shared" si="8"/>
        <v>38</v>
      </c>
      <c r="N41" s="114">
        <v>0.85106382978723405</v>
      </c>
      <c r="P41" s="81">
        <f t="shared" si="3"/>
        <v>103.07031137923627</v>
      </c>
      <c r="Q41" s="120">
        <f t="shared" si="4"/>
        <v>87.719413939775549</v>
      </c>
    </row>
    <row r="42" spans="2:40" ht="17" x14ac:dyDescent="0.2">
      <c r="C42" s="119" t="s">
        <v>214</v>
      </c>
      <c r="I42" s="120">
        <f>$G$39+($H$39*3)</f>
        <v>57.333333333333357</v>
      </c>
      <c r="L42" s="24">
        <f t="shared" si="8"/>
        <v>39</v>
      </c>
      <c r="N42" s="114">
        <v>0.9042553191489362</v>
      </c>
      <c r="P42" s="81">
        <f t="shared" si="3"/>
        <v>103.53545555253044</v>
      </c>
      <c r="Q42" s="120">
        <f t="shared" si="4"/>
        <v>93.622486403883912</v>
      </c>
    </row>
    <row r="43" spans="2:40" ht="17" x14ac:dyDescent="0.2">
      <c r="C43" s="119" t="s">
        <v>215</v>
      </c>
      <c r="I43" s="120">
        <f>$G$39+($H$39*4)</f>
        <v>51.000000000000028</v>
      </c>
      <c r="L43" s="24">
        <v>40</v>
      </c>
      <c r="M43" s="24"/>
      <c r="N43" s="114">
        <v>1.0638297872340425</v>
      </c>
      <c r="O43" s="24"/>
      <c r="P43" s="81">
        <f t="shared" si="3"/>
        <v>104.00059972582461</v>
      </c>
      <c r="Q43" s="120">
        <f t="shared" si="4"/>
        <v>110.63893587853683</v>
      </c>
      <c r="R43" s="24"/>
    </row>
    <row r="44" spans="2:40" x14ac:dyDescent="0.2">
      <c r="J44" s="55">
        <f>AVERAGE(J9:J39)</f>
        <v>308.16806053365195</v>
      </c>
      <c r="R44" s="55">
        <f>AVERAGE(R9:R39)</f>
        <v>21.513929615629923</v>
      </c>
    </row>
    <row r="45" spans="2:40" ht="34" x14ac:dyDescent="0.2">
      <c r="C45" s="50" t="s">
        <v>188</v>
      </c>
      <c r="D45" s="36">
        <f>AVERAGE(D4:D39)</f>
        <v>94</v>
      </c>
    </row>
    <row r="46" spans="2:40" ht="17" thickBot="1" x14ac:dyDescent="0.25"/>
    <row r="47" spans="2:40" x14ac:dyDescent="0.2">
      <c r="C47" s="246" t="s">
        <v>250</v>
      </c>
      <c r="D47" s="283"/>
      <c r="E47" s="283"/>
      <c r="F47" s="283"/>
      <c r="G47" s="284"/>
    </row>
    <row r="48" spans="2:40" x14ac:dyDescent="0.2">
      <c r="C48" s="285"/>
      <c r="D48" s="265"/>
      <c r="E48" s="265"/>
      <c r="F48" s="265"/>
      <c r="G48" s="286"/>
    </row>
    <row r="49" spans="3:7" x14ac:dyDescent="0.2">
      <c r="C49" s="285"/>
      <c r="D49" s="265"/>
      <c r="E49" s="265"/>
      <c r="F49" s="265"/>
      <c r="G49" s="286"/>
    </row>
    <row r="50" spans="3:7" ht="17" thickBot="1" x14ac:dyDescent="0.25">
      <c r="C50" s="287"/>
      <c r="D50" s="288"/>
      <c r="E50" s="288"/>
      <c r="F50" s="288"/>
      <c r="G50" s="289"/>
    </row>
  </sheetData>
  <mergeCells count="4">
    <mergeCell ref="E2:J2"/>
    <mergeCell ref="C47:G50"/>
    <mergeCell ref="U2:AB2"/>
    <mergeCell ref="L2:R2"/>
  </mergeCells>
  <pageMargins left="0.7" right="0.7" top="0.75" bottom="0.75" header="0.3" footer="0.3"/>
  <ignoredErrors>
    <ignoredError sqref="Y4:Y7" formula="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569A3-7F5C-DB4A-AD1C-D9C2D97285B4}">
  <dimension ref="B1:AA57"/>
  <sheetViews>
    <sheetView workbookViewId="0">
      <selection activeCell="C21" sqref="C21"/>
    </sheetView>
  </sheetViews>
  <sheetFormatPr baseColWidth="10" defaultRowHeight="16" x14ac:dyDescent="0.2"/>
  <cols>
    <col min="1" max="1" width="3" customWidth="1"/>
    <col min="7" max="7" width="17.5" bestFit="1" customWidth="1"/>
    <col min="9" max="9" width="12.5" customWidth="1"/>
    <col min="10" max="10" width="13" customWidth="1"/>
    <col min="11" max="11" width="21.5" customWidth="1"/>
    <col min="12" max="12" width="13" customWidth="1"/>
    <col min="13" max="13" width="11.83203125" customWidth="1"/>
    <col min="15" max="15" width="3.83203125" customWidth="1"/>
    <col min="18" max="18" width="12" customWidth="1"/>
    <col min="19" max="19" width="12.1640625" bestFit="1" customWidth="1"/>
    <col min="20" max="20" width="4.83203125" customWidth="1"/>
    <col min="23" max="23" width="11.6640625" customWidth="1"/>
    <col min="24" max="24" width="12.1640625" bestFit="1" customWidth="1"/>
    <col min="25" max="25" width="14.5" customWidth="1"/>
    <col min="26" max="26" width="16.5" customWidth="1"/>
    <col min="1997" max="1997" width="2.5" customWidth="1"/>
  </cols>
  <sheetData>
    <row r="1" spans="2:27" ht="17" thickBot="1" x14ac:dyDescent="0.25"/>
    <row r="2" spans="2:27" x14ac:dyDescent="0.2">
      <c r="P2" s="107" t="s">
        <v>35</v>
      </c>
      <c r="Q2" s="108">
        <v>0.3</v>
      </c>
    </row>
    <row r="3" spans="2:27" ht="17" thickBot="1" x14ac:dyDescent="0.25">
      <c r="P3" s="111" t="s">
        <v>170</v>
      </c>
      <c r="Q3" s="112">
        <v>0.4</v>
      </c>
    </row>
    <row r="5" spans="2:27" x14ac:dyDescent="0.2">
      <c r="H5" s="266" t="s">
        <v>253</v>
      </c>
      <c r="I5" s="267"/>
      <c r="J5" s="267"/>
      <c r="K5" s="267"/>
      <c r="L5" s="267"/>
      <c r="M5" s="267"/>
      <c r="N5" s="268"/>
      <c r="P5" s="270" t="s">
        <v>78</v>
      </c>
      <c r="Q5" s="270"/>
      <c r="R5" s="270"/>
      <c r="S5" s="270"/>
      <c r="U5" s="270" t="s">
        <v>254</v>
      </c>
      <c r="V5" s="270"/>
      <c r="W5" s="270"/>
      <c r="X5" s="270"/>
      <c r="Z5" s="270" t="s">
        <v>31</v>
      </c>
      <c r="AA5" s="270"/>
    </row>
    <row r="6" spans="2:27" ht="34" x14ac:dyDescent="0.2">
      <c r="B6" s="73" t="s">
        <v>124</v>
      </c>
      <c r="C6" s="73" t="s">
        <v>126</v>
      </c>
      <c r="D6" s="73" t="s">
        <v>127</v>
      </c>
      <c r="E6" s="73" t="s">
        <v>128</v>
      </c>
      <c r="F6" s="73" t="s">
        <v>129</v>
      </c>
      <c r="G6" s="38" t="s">
        <v>193</v>
      </c>
      <c r="H6" s="37" t="s">
        <v>125</v>
      </c>
      <c r="I6" s="37" t="s">
        <v>248</v>
      </c>
      <c r="J6" s="50" t="s">
        <v>187</v>
      </c>
      <c r="K6" s="50" t="s">
        <v>251</v>
      </c>
      <c r="L6" s="123" t="s">
        <v>249</v>
      </c>
      <c r="M6" s="37" t="s">
        <v>27</v>
      </c>
      <c r="N6" s="37" t="s">
        <v>33</v>
      </c>
      <c r="P6" s="37" t="s">
        <v>79</v>
      </c>
      <c r="Q6" s="37" t="s">
        <v>80</v>
      </c>
      <c r="R6" s="37" t="s">
        <v>27</v>
      </c>
      <c r="S6" s="37" t="s">
        <v>33</v>
      </c>
      <c r="U6" s="37" t="s">
        <v>79</v>
      </c>
      <c r="V6" s="37" t="s">
        <v>80</v>
      </c>
      <c r="W6" s="37" t="s">
        <v>27</v>
      </c>
      <c r="X6" s="37" t="s">
        <v>33</v>
      </c>
      <c r="Z6" s="37" t="s">
        <v>180</v>
      </c>
      <c r="AA6" s="37" t="s">
        <v>33</v>
      </c>
    </row>
    <row r="7" spans="2:27" x14ac:dyDescent="0.2">
      <c r="B7" s="73">
        <v>2015</v>
      </c>
      <c r="C7" s="73">
        <v>438</v>
      </c>
      <c r="D7" s="73">
        <v>675</v>
      </c>
      <c r="E7" s="73">
        <v>1545</v>
      </c>
      <c r="F7" s="73">
        <v>1166</v>
      </c>
      <c r="G7" s="124">
        <v>1</v>
      </c>
      <c r="H7" s="73">
        <v>438</v>
      </c>
      <c r="I7" s="43">
        <f>AVERAGE(C7:C15)</f>
        <v>831.77777777777783</v>
      </c>
      <c r="J7" s="42">
        <f>I7/$H$45</f>
        <v>0.60290742157612853</v>
      </c>
      <c r="K7" s="43">
        <f>H7/J7</f>
        <v>726.47969543147212</v>
      </c>
      <c r="L7" s="43">
        <f>FORECAST(G7,$K$7:$K$42,$G$7:$G$42)</f>
        <v>826.26388136650371</v>
      </c>
      <c r="M7" s="43">
        <f>L7*J7</f>
        <v>498.16062625616291</v>
      </c>
      <c r="N7" s="60" t="s">
        <v>32</v>
      </c>
      <c r="P7" s="60">
        <f>H7</f>
        <v>438</v>
      </c>
      <c r="Q7" s="60">
        <v>0</v>
      </c>
      <c r="R7" s="60" t="s">
        <v>32</v>
      </c>
      <c r="S7" s="60" t="s">
        <v>32</v>
      </c>
      <c r="U7" s="60">
        <f>H7</f>
        <v>438</v>
      </c>
      <c r="V7" s="60">
        <v>0</v>
      </c>
      <c r="W7" s="60" t="s">
        <v>32</v>
      </c>
      <c r="X7" s="60" t="s">
        <v>32</v>
      </c>
      <c r="Z7" s="28" t="s">
        <v>32</v>
      </c>
      <c r="AA7" s="41"/>
    </row>
    <row r="8" spans="2:27" x14ac:dyDescent="0.2">
      <c r="B8" s="73">
        <v>2016</v>
      </c>
      <c r="C8" s="73">
        <v>495</v>
      </c>
      <c r="D8" s="73">
        <v>537</v>
      </c>
      <c r="E8" s="73">
        <v>1474</v>
      </c>
      <c r="F8" s="73">
        <v>999</v>
      </c>
      <c r="G8" s="25">
        <f>G7+1</f>
        <v>2</v>
      </c>
      <c r="H8" s="73">
        <v>675</v>
      </c>
      <c r="I8" s="43">
        <f>AVERAGE(D7:D15)</f>
        <v>1112.5555555555557</v>
      </c>
      <c r="J8" s="42">
        <f>I8/$H$45</f>
        <v>0.80642693190512638</v>
      </c>
      <c r="K8" s="43">
        <f t="shared" ref="K8:K42" si="0">H8/J8</f>
        <v>837.02561669829208</v>
      </c>
      <c r="L8" s="43">
        <f t="shared" ref="L8:L43" si="1">FORECAST(G8,$K$7:$K$42,$G$7:$G$42)</f>
        <v>857.88372306619556</v>
      </c>
      <c r="M8" s="43">
        <f t="shared" ref="M8:M43" si="2">L8*J8</f>
        <v>691.82053872361917</v>
      </c>
      <c r="N8" s="43">
        <f>(H8-M8)^2</f>
        <v>282.93052295277187</v>
      </c>
      <c r="P8" s="62">
        <f>($Q$2*H8)+((1-$Q$2)*(P7+Q7))</f>
        <v>509.09999999999997</v>
      </c>
      <c r="Q8" s="62">
        <f>($Q$3*(P8-P7))+((1-$Q$3)*Q7)</f>
        <v>28.439999999999987</v>
      </c>
      <c r="R8" s="61">
        <f>P7+(1*Q7)</f>
        <v>438</v>
      </c>
      <c r="S8" s="62">
        <f>POWER(H8-R8,2)</f>
        <v>56169</v>
      </c>
      <c r="U8" s="62">
        <f>($V$51*H8)+((1-$V$51)*(U7+V7))</f>
        <v>518.17965968944202</v>
      </c>
      <c r="V8" s="62">
        <f>($W$51*(U8-U7))+((1-$W$51)*V7)</f>
        <v>70.021479546391888</v>
      </c>
      <c r="W8" s="61">
        <f>U7+(1*V7)</f>
        <v>438</v>
      </c>
      <c r="X8" s="62">
        <f>POWER(H8-W8,2)</f>
        <v>56169</v>
      </c>
      <c r="Z8" s="28" t="s">
        <v>32</v>
      </c>
      <c r="AA8" s="41"/>
    </row>
    <row r="9" spans="2:27" x14ac:dyDescent="0.2">
      <c r="B9" s="73">
        <v>2017</v>
      </c>
      <c r="C9" s="73">
        <v>402</v>
      </c>
      <c r="D9" s="73">
        <v>800</v>
      </c>
      <c r="E9" s="73">
        <v>1719</v>
      </c>
      <c r="F9" s="73">
        <v>1388</v>
      </c>
      <c r="G9" s="25">
        <f t="shared" ref="G9:G42" si="3">G8+1</f>
        <v>3</v>
      </c>
      <c r="H9" s="73">
        <v>1545</v>
      </c>
      <c r="I9" s="43">
        <f>AVERAGE(E7:E15)</f>
        <v>2059.7777777777778</v>
      </c>
      <c r="J9" s="42">
        <f>I9/$H$45</f>
        <v>1.4930133290379737</v>
      </c>
      <c r="K9" s="43">
        <f t="shared" si="0"/>
        <v>1034.8199643974538</v>
      </c>
      <c r="L9" s="43">
        <f t="shared" si="1"/>
        <v>889.5035647658874</v>
      </c>
      <c r="M9" s="43">
        <f t="shared" si="2"/>
        <v>1328.0406784222623</v>
      </c>
      <c r="N9" s="43">
        <f t="shared" ref="N9:N42" si="4">(H9-M9)^2</f>
        <v>47071.347219472191</v>
      </c>
      <c r="P9" s="62">
        <f t="shared" ref="P9:P42" si="5">($Q$2*H9)+((1-$Q$2)*(P8+Q8))</f>
        <v>839.77800000000002</v>
      </c>
      <c r="Q9" s="62">
        <f t="shared" ref="Q9:Q42" si="6">($Q$3*(P9-P8))+((1-$Q$3)*Q8)</f>
        <v>149.33520000000001</v>
      </c>
      <c r="R9" s="61">
        <f t="shared" ref="R9:R43" si="7">P8+(1*Q8)</f>
        <v>537.54</v>
      </c>
      <c r="S9" s="62">
        <f t="shared" ref="S9:S42" si="8">POWER(H9-R9,2)</f>
        <v>1014975.6516000001</v>
      </c>
      <c r="U9" s="62">
        <f t="shared" ref="U9:U42" si="9">($V$51*H9)+((1-$V$51)*(U8+V8))</f>
        <v>911.89652762113633</v>
      </c>
      <c r="V9" s="62">
        <f t="shared" ref="V9:V42" si="10">($W$51*(U9-U8))+((1-$W$51)*V8)</f>
        <v>352.70701481647262</v>
      </c>
      <c r="W9" s="61">
        <f t="shared" ref="W9:W43" si="11">U8+(1*V8)</f>
        <v>588.20113923583392</v>
      </c>
      <c r="X9" s="62">
        <f t="shared" ref="X9:X42" si="12">POWER(H9-W9,2)</f>
        <v>915464.05995960603</v>
      </c>
      <c r="Z9" s="28" t="s">
        <v>32</v>
      </c>
      <c r="AA9" s="41"/>
    </row>
    <row r="10" spans="2:27" x14ac:dyDescent="0.2">
      <c r="B10" s="73">
        <v>2018</v>
      </c>
      <c r="C10" s="73">
        <v>924</v>
      </c>
      <c r="D10" s="73">
        <v>1190</v>
      </c>
      <c r="E10" s="73">
        <v>1984</v>
      </c>
      <c r="F10" s="73">
        <v>1569</v>
      </c>
      <c r="G10" s="25">
        <f t="shared" si="3"/>
        <v>4</v>
      </c>
      <c r="H10" s="73">
        <v>1166</v>
      </c>
      <c r="I10" s="43">
        <f>AVERAGE(F7:F15)</f>
        <v>1514.3333333333333</v>
      </c>
      <c r="J10" s="42">
        <f>I10/$H$45</f>
        <v>1.0976523174807715</v>
      </c>
      <c r="K10" s="43">
        <f t="shared" si="0"/>
        <v>1062.2671509281679</v>
      </c>
      <c r="L10" s="43">
        <f t="shared" si="1"/>
        <v>921.12340646557925</v>
      </c>
      <c r="M10" s="43">
        <f t="shared" si="2"/>
        <v>1011.0732417927258</v>
      </c>
      <c r="N10" s="43">
        <f t="shared" si="4"/>
        <v>24002.300408615218</v>
      </c>
      <c r="P10" s="62">
        <f t="shared" si="5"/>
        <v>1042.1792399999999</v>
      </c>
      <c r="Q10" s="62">
        <f t="shared" si="6"/>
        <v>170.56161599999999</v>
      </c>
      <c r="R10" s="61">
        <f t="shared" si="7"/>
        <v>989.11320000000001</v>
      </c>
      <c r="S10" s="62">
        <f t="shared" si="8"/>
        <v>31288.940014239997</v>
      </c>
      <c r="U10" s="62">
        <f t="shared" si="9"/>
        <v>1231.2448990754954</v>
      </c>
      <c r="V10" s="62">
        <f t="shared" si="10"/>
        <v>323.5746691202836</v>
      </c>
      <c r="W10" s="61">
        <f t="shared" si="11"/>
        <v>1264.6035424376089</v>
      </c>
      <c r="X10" s="62">
        <f t="shared" si="12"/>
        <v>9722.6585812453377</v>
      </c>
      <c r="Z10" s="43">
        <f>(H7+H8+H9)/3</f>
        <v>886</v>
      </c>
      <c r="AA10" s="43">
        <f>(H10-Z10)^2</f>
        <v>78400</v>
      </c>
    </row>
    <row r="11" spans="2:27" x14ac:dyDescent="0.2">
      <c r="B11" s="73">
        <v>2019</v>
      </c>
      <c r="C11" s="73">
        <v>965</v>
      </c>
      <c r="D11" s="73">
        <v>1217</v>
      </c>
      <c r="E11" s="73">
        <v>2019</v>
      </c>
      <c r="F11" s="73">
        <v>1554</v>
      </c>
      <c r="G11" s="25">
        <f t="shared" si="3"/>
        <v>5</v>
      </c>
      <c r="H11" s="73">
        <v>495</v>
      </c>
      <c r="I11" s="41"/>
      <c r="J11" s="42">
        <v>0.60290742157612853</v>
      </c>
      <c r="K11" s="43">
        <f t="shared" si="0"/>
        <v>821.0215736040609</v>
      </c>
      <c r="L11" s="43">
        <f t="shared" si="1"/>
        <v>952.7432481652711</v>
      </c>
      <c r="M11" s="43">
        <f t="shared" si="2"/>
        <v>574.41597517538912</v>
      </c>
      <c r="N11" s="43">
        <f t="shared" si="4"/>
        <v>6306.8971130580212</v>
      </c>
      <c r="P11" s="62">
        <f t="shared" si="5"/>
        <v>997.4185991999999</v>
      </c>
      <c r="Q11" s="62">
        <f t="shared" si="6"/>
        <v>84.432713279999973</v>
      </c>
      <c r="R11" s="61">
        <f t="shared" si="7"/>
        <v>1212.7408559999999</v>
      </c>
      <c r="S11" s="62">
        <f t="shared" si="8"/>
        <v>515151.9363716126</v>
      </c>
      <c r="U11" s="62">
        <f t="shared" si="9"/>
        <v>1196.2711618238425</v>
      </c>
      <c r="V11" s="62">
        <f t="shared" si="10"/>
        <v>10.4517399334202</v>
      </c>
      <c r="W11" s="61">
        <f t="shared" si="11"/>
        <v>1554.8195681957791</v>
      </c>
      <c r="X11" s="62">
        <f t="shared" si="12"/>
        <v>1123217.5171306876</v>
      </c>
      <c r="Z11" s="43">
        <f t="shared" ref="Z11:Z43" si="13">(H8+H9+H10)/3</f>
        <v>1128.6666666666667</v>
      </c>
      <c r="AA11" s="43">
        <f t="shared" ref="AA11:AA42" si="14">(H11-Z11)^2</f>
        <v>401533.44444444455</v>
      </c>
    </row>
    <row r="12" spans="2:27" x14ac:dyDescent="0.2">
      <c r="B12" s="73">
        <v>2020</v>
      </c>
      <c r="C12" s="73">
        <v>1038</v>
      </c>
      <c r="D12" s="73">
        <v>1307</v>
      </c>
      <c r="E12" s="73">
        <v>2350</v>
      </c>
      <c r="F12" s="73">
        <v>1667</v>
      </c>
      <c r="G12" s="25">
        <f t="shared" si="3"/>
        <v>6</v>
      </c>
      <c r="H12" s="73">
        <v>537</v>
      </c>
      <c r="I12" s="41"/>
      <c r="J12" s="42">
        <v>0.80642693190512638</v>
      </c>
      <c r="K12" s="43">
        <f t="shared" si="0"/>
        <v>665.90037950664123</v>
      </c>
      <c r="L12" s="43">
        <f t="shared" si="1"/>
        <v>984.36308986496294</v>
      </c>
      <c r="M12" s="43">
        <f t="shared" si="2"/>
        <v>793.81690644045227</v>
      </c>
      <c r="N12" s="43">
        <f t="shared" si="4"/>
        <v>65954.923433644013</v>
      </c>
      <c r="P12" s="62">
        <f t="shared" si="5"/>
        <v>918.39591873599989</v>
      </c>
      <c r="Q12" s="62">
        <f t="shared" si="6"/>
        <v>19.050555782399972</v>
      </c>
      <c r="R12" s="61">
        <f t="shared" si="7"/>
        <v>1081.8513124799999</v>
      </c>
      <c r="S12" s="62">
        <f t="shared" si="8"/>
        <v>296862.95271117851</v>
      </c>
      <c r="U12" s="62">
        <f t="shared" si="9"/>
        <v>980.14841083269334</v>
      </c>
      <c r="V12" s="62">
        <f t="shared" si="10"/>
        <v>-187.41740971698653</v>
      </c>
      <c r="W12" s="61">
        <f t="shared" si="11"/>
        <v>1206.7229017572627</v>
      </c>
      <c r="X12" s="62">
        <f t="shared" si="12"/>
        <v>448528.76513816812</v>
      </c>
      <c r="Z12" s="43">
        <f t="shared" si="13"/>
        <v>1068.6666666666667</v>
      </c>
      <c r="AA12" s="43">
        <f t="shared" si="14"/>
        <v>282669.4444444445</v>
      </c>
    </row>
    <row r="13" spans="2:27" x14ac:dyDescent="0.2">
      <c r="B13" s="73">
        <v>2021</v>
      </c>
      <c r="C13" s="73">
        <v>746</v>
      </c>
      <c r="D13" s="73">
        <v>1188</v>
      </c>
      <c r="E13" s="73">
        <v>2257</v>
      </c>
      <c r="F13" s="73">
        <v>1620</v>
      </c>
      <c r="G13" s="25">
        <f t="shared" si="3"/>
        <v>7</v>
      </c>
      <c r="H13" s="73">
        <v>1474</v>
      </c>
      <c r="I13" s="41"/>
      <c r="J13" s="42">
        <v>1.4930133290379737</v>
      </c>
      <c r="K13" s="43">
        <f t="shared" si="0"/>
        <v>987.26513108210168</v>
      </c>
      <c r="L13" s="43">
        <f t="shared" si="1"/>
        <v>1015.9829315646548</v>
      </c>
      <c r="M13" s="43">
        <f t="shared" si="2"/>
        <v>1516.8760589011051</v>
      </c>
      <c r="N13" s="43">
        <f t="shared" si="4"/>
        <v>1838.3564268910361</v>
      </c>
      <c r="P13" s="62">
        <f t="shared" si="5"/>
        <v>1098.4125321628799</v>
      </c>
      <c r="Q13" s="62">
        <f t="shared" si="6"/>
        <v>83.436978840191983</v>
      </c>
      <c r="R13" s="61">
        <f t="shared" si="7"/>
        <v>937.4464745183999</v>
      </c>
      <c r="S13" s="62">
        <f t="shared" si="8"/>
        <v>287889.68570673408</v>
      </c>
      <c r="U13" s="62">
        <f t="shared" si="9"/>
        <v>1023.211661400557</v>
      </c>
      <c r="V13" s="62">
        <f t="shared" si="10"/>
        <v>13.863026025492044</v>
      </c>
      <c r="W13" s="61">
        <f t="shared" si="11"/>
        <v>792.73100111570682</v>
      </c>
      <c r="X13" s="62">
        <f t="shared" si="12"/>
        <v>464127.44884080708</v>
      </c>
      <c r="Z13" s="43">
        <f t="shared" si="13"/>
        <v>732.66666666666663</v>
      </c>
      <c r="AA13" s="43">
        <f t="shared" si="14"/>
        <v>549575.11111111112</v>
      </c>
    </row>
    <row r="14" spans="2:27" x14ac:dyDescent="0.2">
      <c r="B14" s="73">
        <v>2022</v>
      </c>
      <c r="C14" s="73">
        <v>1167</v>
      </c>
      <c r="D14" s="73">
        <v>1599</v>
      </c>
      <c r="E14" s="73">
        <v>2820</v>
      </c>
      <c r="F14" s="73">
        <v>1842</v>
      </c>
      <c r="G14" s="25">
        <f t="shared" si="3"/>
        <v>8</v>
      </c>
      <c r="H14" s="73">
        <v>999</v>
      </c>
      <c r="I14" s="41"/>
      <c r="J14" s="42">
        <v>1.0976523174807715</v>
      </c>
      <c r="K14" s="43">
        <f t="shared" si="0"/>
        <v>910.12425709883337</v>
      </c>
      <c r="L14" s="43">
        <f t="shared" si="1"/>
        <v>1047.6027732643468</v>
      </c>
      <c r="M14" s="43">
        <f t="shared" si="2"/>
        <v>1149.9036118728934</v>
      </c>
      <c r="N14" s="43">
        <f t="shared" si="4"/>
        <v>22771.900076284855</v>
      </c>
      <c r="P14" s="62">
        <f t="shared" si="5"/>
        <v>1126.9946577021503</v>
      </c>
      <c r="Q14" s="62">
        <f t="shared" si="6"/>
        <v>61.495037519823377</v>
      </c>
      <c r="R14" s="61">
        <f t="shared" si="7"/>
        <v>1181.8495110030719</v>
      </c>
      <c r="S14" s="62">
        <f t="shared" si="8"/>
        <v>33433.943674062524</v>
      </c>
      <c r="U14" s="62">
        <f t="shared" si="9"/>
        <v>1024.1936094488233</v>
      </c>
      <c r="V14" s="62">
        <f t="shared" si="10"/>
        <v>2.6138870092964015</v>
      </c>
      <c r="W14" s="61">
        <f t="shared" si="11"/>
        <v>1037.074687426049</v>
      </c>
      <c r="X14" s="62">
        <f t="shared" si="12"/>
        <v>1449.6818225913314</v>
      </c>
      <c r="Z14" s="43">
        <f t="shared" si="13"/>
        <v>835.33333333333337</v>
      </c>
      <c r="AA14" s="43">
        <f t="shared" si="14"/>
        <v>26786.777777777766</v>
      </c>
    </row>
    <row r="15" spans="2:27" x14ac:dyDescent="0.2">
      <c r="B15" s="73">
        <v>2023</v>
      </c>
      <c r="C15" s="73">
        <v>1311</v>
      </c>
      <c r="D15" s="73">
        <v>1500</v>
      </c>
      <c r="E15" s="73">
        <v>2370</v>
      </c>
      <c r="F15" s="73">
        <v>1824</v>
      </c>
      <c r="G15" s="25">
        <f t="shared" si="3"/>
        <v>9</v>
      </c>
      <c r="H15" s="73">
        <v>402</v>
      </c>
      <c r="I15" s="41"/>
      <c r="J15" s="42">
        <v>0.60290742157612853</v>
      </c>
      <c r="K15" s="43">
        <f t="shared" si="0"/>
        <v>666.76903553299496</v>
      </c>
      <c r="L15" s="43">
        <f t="shared" si="1"/>
        <v>1079.2226149640385</v>
      </c>
      <c r="M15" s="43">
        <f t="shared" si="2"/>
        <v>650.67132409461544</v>
      </c>
      <c r="N15" s="43">
        <f t="shared" si="4"/>
        <v>61837.427426969269</v>
      </c>
      <c r="P15" s="62">
        <f t="shared" si="5"/>
        <v>952.54278665538163</v>
      </c>
      <c r="Q15" s="62">
        <f t="shared" si="6"/>
        <v>-32.883725906813467</v>
      </c>
      <c r="R15" s="61">
        <f t="shared" si="7"/>
        <v>1188.4896952219738</v>
      </c>
      <c r="S15" s="62">
        <f t="shared" si="8"/>
        <v>618566.04069035314</v>
      </c>
      <c r="U15" s="62">
        <f t="shared" si="9"/>
        <v>815.42837224957839</v>
      </c>
      <c r="V15" s="62">
        <f t="shared" si="10"/>
        <v>-181.98503844924602</v>
      </c>
      <c r="W15" s="61">
        <f t="shared" si="11"/>
        <v>1026.8074964581197</v>
      </c>
      <c r="X15" s="62">
        <f t="shared" si="12"/>
        <v>390384.40763026319</v>
      </c>
      <c r="Z15" s="43">
        <f t="shared" si="13"/>
        <v>1003.3333333333334</v>
      </c>
      <c r="AA15" s="43">
        <f t="shared" si="14"/>
        <v>361601.77777777781</v>
      </c>
    </row>
    <row r="16" spans="2:27" x14ac:dyDescent="0.2">
      <c r="B16" s="73">
        <v>2024</v>
      </c>
      <c r="C16" s="73"/>
      <c r="D16" s="73"/>
      <c r="E16" s="73"/>
      <c r="F16" s="73"/>
      <c r="G16" s="25">
        <f t="shared" si="3"/>
        <v>10</v>
      </c>
      <c r="H16" s="73">
        <v>800</v>
      </c>
      <c r="I16" s="41"/>
      <c r="J16" s="42">
        <v>0.80642693190512638</v>
      </c>
      <c r="K16" s="43">
        <f t="shared" si="0"/>
        <v>992.03036053130916</v>
      </c>
      <c r="L16" s="43">
        <f t="shared" si="1"/>
        <v>1110.8424566637304</v>
      </c>
      <c r="M16" s="43">
        <f t="shared" si="2"/>
        <v>895.81327415728549</v>
      </c>
      <c r="N16" s="43">
        <f t="shared" si="4"/>
        <v>9180.1835047391523</v>
      </c>
      <c r="P16" s="62">
        <f t="shared" si="5"/>
        <v>883.76134252399766</v>
      </c>
      <c r="Q16" s="62">
        <f t="shared" si="6"/>
        <v>-47.24281319664167</v>
      </c>
      <c r="R16" s="61">
        <f t="shared" si="7"/>
        <v>919.65906074856821</v>
      </c>
      <c r="S16" s="62">
        <f t="shared" si="8"/>
        <v>14318.290819229536</v>
      </c>
      <c r="U16" s="62">
        <f t="shared" si="9"/>
        <v>689.79125285053215</v>
      </c>
      <c r="V16" s="62">
        <f t="shared" si="10"/>
        <v>-132.77599121036309</v>
      </c>
      <c r="W16" s="61">
        <f t="shared" si="11"/>
        <v>633.44333380033231</v>
      </c>
      <c r="X16" s="62">
        <f t="shared" si="12"/>
        <v>27741.123055547527</v>
      </c>
      <c r="Z16" s="43">
        <f t="shared" si="13"/>
        <v>958.33333333333337</v>
      </c>
      <c r="AA16" s="43">
        <f t="shared" si="14"/>
        <v>25069.444444444456</v>
      </c>
    </row>
    <row r="17" spans="7:27" x14ac:dyDescent="0.2">
      <c r="G17" s="25">
        <f t="shared" si="3"/>
        <v>11</v>
      </c>
      <c r="H17" s="73">
        <v>1719</v>
      </c>
      <c r="I17" s="41"/>
      <c r="J17" s="42">
        <v>1.4930133290379737</v>
      </c>
      <c r="K17" s="43">
        <f t="shared" si="0"/>
        <v>1151.3627953393031</v>
      </c>
      <c r="L17" s="43">
        <f t="shared" si="1"/>
        <v>1142.4622983634222</v>
      </c>
      <c r="M17" s="43">
        <f t="shared" si="2"/>
        <v>1705.7114393799477</v>
      </c>
      <c r="N17" s="43">
        <f t="shared" si="4"/>
        <v>176.58584335280463</v>
      </c>
      <c r="P17" s="62">
        <f t="shared" si="5"/>
        <v>1101.262970529149</v>
      </c>
      <c r="Q17" s="62">
        <f t="shared" si="6"/>
        <v>58.654963284075549</v>
      </c>
      <c r="R17" s="61">
        <f t="shared" si="7"/>
        <v>836.51852932735596</v>
      </c>
      <c r="S17" s="62">
        <f t="shared" si="8"/>
        <v>778773.54608055274</v>
      </c>
      <c r="U17" s="62">
        <f t="shared" si="9"/>
        <v>950.12724850099835</v>
      </c>
      <c r="V17" s="62">
        <f t="shared" si="10"/>
        <v>210.53156402289605</v>
      </c>
      <c r="W17" s="61">
        <f t="shared" si="11"/>
        <v>557.015261640169</v>
      </c>
      <c r="X17" s="62">
        <f t="shared" si="12"/>
        <v>1350208.5321811649</v>
      </c>
      <c r="Z17" s="43">
        <f t="shared" si="13"/>
        <v>733.66666666666663</v>
      </c>
      <c r="AA17" s="43">
        <f t="shared" si="14"/>
        <v>970881.77777777787</v>
      </c>
    </row>
    <row r="18" spans="7:27" x14ac:dyDescent="0.2">
      <c r="G18" s="25">
        <f t="shared" si="3"/>
        <v>12</v>
      </c>
      <c r="H18" s="73">
        <v>1388</v>
      </c>
      <c r="I18" s="41"/>
      <c r="J18" s="42">
        <v>1.0976523174807715</v>
      </c>
      <c r="K18" s="43">
        <f t="shared" si="0"/>
        <v>1264.5169858390198</v>
      </c>
      <c r="L18" s="43">
        <f t="shared" si="1"/>
        <v>1174.0821400631141</v>
      </c>
      <c r="M18" s="43">
        <f t="shared" si="2"/>
        <v>1288.7339819530609</v>
      </c>
      <c r="N18" s="43">
        <f t="shared" si="4"/>
        <v>9853.7423388952302</v>
      </c>
      <c r="P18" s="62">
        <f t="shared" si="5"/>
        <v>1228.3425536692571</v>
      </c>
      <c r="Q18" s="62">
        <f t="shared" si="6"/>
        <v>86.024811226488566</v>
      </c>
      <c r="R18" s="61">
        <f t="shared" si="7"/>
        <v>1159.9179338132246</v>
      </c>
      <c r="S18" s="62">
        <f t="shared" si="8"/>
        <v>52021.428916028577</v>
      </c>
      <c r="U18" s="62">
        <f t="shared" si="9"/>
        <v>1237.5707916176825</v>
      </c>
      <c r="V18" s="62">
        <f t="shared" si="10"/>
        <v>277.69935435585205</v>
      </c>
      <c r="W18" s="61">
        <f t="shared" si="11"/>
        <v>1160.6588125238943</v>
      </c>
      <c r="X18" s="62">
        <f t="shared" si="12"/>
        <v>51684.015523045833</v>
      </c>
      <c r="Z18" s="43">
        <f t="shared" si="13"/>
        <v>973.66666666666663</v>
      </c>
      <c r="AA18" s="43">
        <f t="shared" si="14"/>
        <v>171672.11111111115</v>
      </c>
    </row>
    <row r="19" spans="7:27" x14ac:dyDescent="0.2">
      <c r="G19" s="25">
        <f t="shared" si="3"/>
        <v>13</v>
      </c>
      <c r="H19" s="73">
        <v>924</v>
      </c>
      <c r="I19" s="41"/>
      <c r="J19" s="42">
        <v>0.60290742157612853</v>
      </c>
      <c r="K19" s="43">
        <f t="shared" si="0"/>
        <v>1532.5736040609138</v>
      </c>
      <c r="L19" s="43">
        <f t="shared" si="1"/>
        <v>1205.7019817628059</v>
      </c>
      <c r="M19" s="43">
        <f t="shared" si="2"/>
        <v>726.92667301384165</v>
      </c>
      <c r="N19" s="43">
        <f t="shared" si="4"/>
        <v>38837.896209393286</v>
      </c>
      <c r="P19" s="62">
        <f t="shared" si="5"/>
        <v>1197.2571554270219</v>
      </c>
      <c r="Q19" s="62">
        <f t="shared" si="6"/>
        <v>39.18072743899905</v>
      </c>
      <c r="R19" s="61">
        <f t="shared" si="7"/>
        <v>1314.3673648957456</v>
      </c>
      <c r="S19" s="62">
        <f t="shared" si="8"/>
        <v>152386.67957564819</v>
      </c>
      <c r="U19" s="62">
        <f t="shared" si="9"/>
        <v>1315.2370696499704</v>
      </c>
      <c r="V19" s="62">
        <f t="shared" si="10"/>
        <v>103.00901497746386</v>
      </c>
      <c r="W19" s="61">
        <f t="shared" si="11"/>
        <v>1515.2701459735345</v>
      </c>
      <c r="X19" s="62">
        <f t="shared" si="12"/>
        <v>349600.38551956473</v>
      </c>
      <c r="Z19" s="43">
        <f t="shared" si="13"/>
        <v>1302.3333333333333</v>
      </c>
      <c r="AA19" s="43">
        <f t="shared" si="14"/>
        <v>143136.11111111107</v>
      </c>
    </row>
    <row r="20" spans="7:27" x14ac:dyDescent="0.2">
      <c r="G20" s="25">
        <f t="shared" si="3"/>
        <v>14</v>
      </c>
      <c r="H20" s="73">
        <v>1190</v>
      </c>
      <c r="I20" s="41"/>
      <c r="J20" s="42">
        <v>0.80642693190512638</v>
      </c>
      <c r="K20" s="43">
        <f t="shared" si="0"/>
        <v>1475.6451612903224</v>
      </c>
      <c r="L20" s="43">
        <f t="shared" si="1"/>
        <v>1237.3218234624978</v>
      </c>
      <c r="M20" s="43">
        <f t="shared" si="2"/>
        <v>997.80964187411848</v>
      </c>
      <c r="N20" s="43">
        <f t="shared" si="4"/>
        <v>36937.133756554591</v>
      </c>
      <c r="P20" s="62">
        <f t="shared" si="5"/>
        <v>1222.5065180062147</v>
      </c>
      <c r="Q20" s="62">
        <f t="shared" si="6"/>
        <v>33.608181495076572</v>
      </c>
      <c r="R20" s="61">
        <f t="shared" si="7"/>
        <v>1236.437882866021</v>
      </c>
      <c r="S20" s="62">
        <f t="shared" si="8"/>
        <v>2156.4769650782891</v>
      </c>
      <c r="U20" s="62">
        <f t="shared" si="9"/>
        <v>1341.0279690541211</v>
      </c>
      <c r="V20" s="62">
        <f t="shared" si="10"/>
        <v>35.573873431962198</v>
      </c>
      <c r="W20" s="61">
        <f t="shared" si="11"/>
        <v>1418.2460846274344</v>
      </c>
      <c r="X20" s="62">
        <f t="shared" si="12"/>
        <v>52096.275147753928</v>
      </c>
      <c r="Z20" s="43">
        <f t="shared" si="13"/>
        <v>1343.6666666666667</v>
      </c>
      <c r="AA20" s="43">
        <f t="shared" si="14"/>
        <v>23613.444444444467</v>
      </c>
    </row>
    <row r="21" spans="7:27" x14ac:dyDescent="0.2">
      <c r="G21" s="25">
        <f t="shared" si="3"/>
        <v>15</v>
      </c>
      <c r="H21" s="73">
        <v>1984</v>
      </c>
      <c r="I21" s="41"/>
      <c r="J21" s="42">
        <v>1.4930133290379737</v>
      </c>
      <c r="K21" s="43">
        <f t="shared" si="0"/>
        <v>1328.85618729097</v>
      </c>
      <c r="L21" s="43">
        <f t="shared" si="1"/>
        <v>1268.9416651621896</v>
      </c>
      <c r="M21" s="43">
        <f t="shared" si="2"/>
        <v>1894.5468198587903</v>
      </c>
      <c r="N21" s="43">
        <f t="shared" si="4"/>
        <v>8001.8714373757157</v>
      </c>
      <c r="P21" s="62">
        <f t="shared" si="5"/>
        <v>1474.4802896509038</v>
      </c>
      <c r="Q21" s="62">
        <f t="shared" si="6"/>
        <v>120.9544175549216</v>
      </c>
      <c r="R21" s="61">
        <f t="shared" si="7"/>
        <v>1256.1146995012914</v>
      </c>
      <c r="S21" s="62">
        <f t="shared" si="8"/>
        <v>529817.01068209531</v>
      </c>
      <c r="U21" s="62">
        <f t="shared" si="9"/>
        <v>1582.0911993023701</v>
      </c>
      <c r="V21" s="62">
        <f t="shared" si="10"/>
        <v>215.02922222047221</v>
      </c>
      <c r="W21" s="61">
        <f t="shared" si="11"/>
        <v>1376.6018424860833</v>
      </c>
      <c r="X21" s="62">
        <f t="shared" si="12"/>
        <v>368932.52175130072</v>
      </c>
      <c r="Z21" s="43">
        <f t="shared" si="13"/>
        <v>1167.3333333333333</v>
      </c>
      <c r="AA21" s="43">
        <f t="shared" si="14"/>
        <v>666944.44444444461</v>
      </c>
    </row>
    <row r="22" spans="7:27" x14ac:dyDescent="0.2">
      <c r="G22" s="25">
        <f t="shared" si="3"/>
        <v>16</v>
      </c>
      <c r="H22" s="73">
        <v>1569</v>
      </c>
      <c r="I22" s="41"/>
      <c r="J22" s="42">
        <v>1.0976523174807715</v>
      </c>
      <c r="K22" s="43">
        <f t="shared" si="0"/>
        <v>1429.4143737618315</v>
      </c>
      <c r="L22" s="43">
        <f t="shared" si="1"/>
        <v>1300.5615068618815</v>
      </c>
      <c r="M22" s="43">
        <f t="shared" si="2"/>
        <v>1427.5643520332285</v>
      </c>
      <c r="N22" s="43">
        <f t="shared" si="4"/>
        <v>20004.042515780518</v>
      </c>
      <c r="P22" s="62">
        <f t="shared" si="5"/>
        <v>1587.5042950440777</v>
      </c>
      <c r="Q22" s="62">
        <f t="shared" si="6"/>
        <v>117.78225269022252</v>
      </c>
      <c r="R22" s="61">
        <f t="shared" si="7"/>
        <v>1595.4347072058254</v>
      </c>
      <c r="S22" s="62">
        <f t="shared" si="8"/>
        <v>698.79374505771534</v>
      </c>
      <c r="U22" s="62">
        <f t="shared" si="9"/>
        <v>1719.9448191350214</v>
      </c>
      <c r="V22" s="62">
        <f t="shared" si="10"/>
        <v>147.63120774884348</v>
      </c>
      <c r="W22" s="61">
        <f t="shared" si="11"/>
        <v>1797.1204215228422</v>
      </c>
      <c r="X22" s="62">
        <f t="shared" si="12"/>
        <v>52038.926715759211</v>
      </c>
      <c r="Z22" s="43">
        <f t="shared" si="13"/>
        <v>1366</v>
      </c>
      <c r="AA22" s="43">
        <f t="shared" si="14"/>
        <v>41209</v>
      </c>
    </row>
    <row r="23" spans="7:27" x14ac:dyDescent="0.2">
      <c r="G23" s="25">
        <f t="shared" si="3"/>
        <v>17</v>
      </c>
      <c r="H23" s="73">
        <v>965</v>
      </c>
      <c r="I23" s="41"/>
      <c r="J23" s="42">
        <v>0.60290742157612853</v>
      </c>
      <c r="K23" s="43">
        <f t="shared" si="0"/>
        <v>1600.5774111675128</v>
      </c>
      <c r="L23" s="43">
        <f t="shared" si="1"/>
        <v>1332.1813485615735</v>
      </c>
      <c r="M23" s="43">
        <f t="shared" si="2"/>
        <v>803.18202193306797</v>
      </c>
      <c r="N23" s="43">
        <f t="shared" si="4"/>
        <v>26185.058025670096</v>
      </c>
      <c r="P23" s="62">
        <f t="shared" si="5"/>
        <v>1483.20058341401</v>
      </c>
      <c r="Q23" s="62">
        <f t="shared" si="6"/>
        <v>28.947866962106417</v>
      </c>
      <c r="R23" s="61">
        <f t="shared" si="7"/>
        <v>1705.2865477343003</v>
      </c>
      <c r="S23" s="62">
        <f t="shared" si="8"/>
        <v>548024.17275636841</v>
      </c>
      <c r="U23" s="62">
        <f t="shared" si="9"/>
        <v>1562.2248088273377</v>
      </c>
      <c r="V23" s="62">
        <f t="shared" si="10"/>
        <v>-119.03423024909821</v>
      </c>
      <c r="W23" s="61">
        <f t="shared" si="11"/>
        <v>1867.5760268838649</v>
      </c>
      <c r="X23" s="62">
        <f t="shared" si="12"/>
        <v>814643.48430546315</v>
      </c>
      <c r="Z23" s="43">
        <f t="shared" si="13"/>
        <v>1581</v>
      </c>
      <c r="AA23" s="43">
        <f t="shared" si="14"/>
        <v>379456</v>
      </c>
    </row>
    <row r="24" spans="7:27" x14ac:dyDescent="0.2">
      <c r="G24" s="25">
        <f t="shared" si="3"/>
        <v>18</v>
      </c>
      <c r="H24" s="73">
        <v>1217</v>
      </c>
      <c r="I24" s="41"/>
      <c r="J24" s="42">
        <v>0.80642693190512638</v>
      </c>
      <c r="K24" s="43">
        <f t="shared" si="0"/>
        <v>1509.1261859582539</v>
      </c>
      <c r="L24" s="43">
        <f t="shared" si="1"/>
        <v>1363.8011902612652</v>
      </c>
      <c r="M24" s="43">
        <f t="shared" si="2"/>
        <v>1099.8060095909516</v>
      </c>
      <c r="N24" s="43">
        <f t="shared" si="4"/>
        <v>13734.43138799613</v>
      </c>
      <c r="P24" s="62">
        <f t="shared" si="5"/>
        <v>1423.6039152632814</v>
      </c>
      <c r="Q24" s="62">
        <f t="shared" si="6"/>
        <v>-6.4699470830276091</v>
      </c>
      <c r="R24" s="61">
        <f t="shared" si="7"/>
        <v>1512.1484503761164</v>
      </c>
      <c r="S24" s="62">
        <f t="shared" si="8"/>
        <v>87112.60775942287</v>
      </c>
      <c r="U24" s="62">
        <f t="shared" si="9"/>
        <v>1366.6678629016096</v>
      </c>
      <c r="V24" s="62">
        <f t="shared" si="10"/>
        <v>-185.86207401071331</v>
      </c>
      <c r="W24" s="61">
        <f t="shared" si="11"/>
        <v>1443.1905785782394</v>
      </c>
      <c r="X24" s="62">
        <f t="shared" si="12"/>
        <v>51162.177837558695</v>
      </c>
      <c r="Z24" s="43">
        <f t="shared" si="13"/>
        <v>1506</v>
      </c>
      <c r="AA24" s="43">
        <f t="shared" si="14"/>
        <v>83521</v>
      </c>
    </row>
    <row r="25" spans="7:27" x14ac:dyDescent="0.2">
      <c r="G25" s="25">
        <f t="shared" si="3"/>
        <v>19</v>
      </c>
      <c r="H25" s="73">
        <v>2019</v>
      </c>
      <c r="I25" s="41"/>
      <c r="J25" s="42">
        <v>1.4930133290379737</v>
      </c>
      <c r="K25" s="43">
        <f t="shared" si="0"/>
        <v>1352.2987107562844</v>
      </c>
      <c r="L25" s="43">
        <f t="shared" si="1"/>
        <v>1395.421031960957</v>
      </c>
      <c r="M25" s="43">
        <f t="shared" si="2"/>
        <v>2083.3822003376331</v>
      </c>
      <c r="N25" s="43">
        <f t="shared" si="4"/>
        <v>4145.0677203151226</v>
      </c>
      <c r="P25" s="62">
        <f t="shared" si="5"/>
        <v>1597.6937777261774</v>
      </c>
      <c r="Q25" s="62">
        <f t="shared" si="6"/>
        <v>65.753976735341837</v>
      </c>
      <c r="R25" s="61">
        <f t="shared" si="7"/>
        <v>1417.1339681802538</v>
      </c>
      <c r="S25" s="62">
        <f t="shared" si="8"/>
        <v>362242.72025844781</v>
      </c>
      <c r="U25" s="62">
        <f t="shared" si="9"/>
        <v>1464.3759433229143</v>
      </c>
      <c r="V25" s="62">
        <f t="shared" si="10"/>
        <v>61.781802820848696</v>
      </c>
      <c r="W25" s="61">
        <f t="shared" si="11"/>
        <v>1180.8057888908963</v>
      </c>
      <c r="X25" s="62">
        <f t="shared" si="12"/>
        <v>702569.53553681262</v>
      </c>
      <c r="Z25" s="43">
        <f t="shared" si="13"/>
        <v>1250.3333333333333</v>
      </c>
      <c r="AA25" s="43">
        <f t="shared" si="14"/>
        <v>590848.44444444461</v>
      </c>
    </row>
    <row r="26" spans="7:27" x14ac:dyDescent="0.2">
      <c r="G26" s="25">
        <f t="shared" si="3"/>
        <v>20</v>
      </c>
      <c r="H26" s="73">
        <v>1554</v>
      </c>
      <c r="I26" s="41"/>
      <c r="J26" s="42">
        <v>1.0976523174807715</v>
      </c>
      <c r="K26" s="43">
        <f t="shared" si="0"/>
        <v>1415.748844375963</v>
      </c>
      <c r="L26" s="43">
        <f t="shared" si="1"/>
        <v>1427.0408736606489</v>
      </c>
      <c r="M26" s="43">
        <f t="shared" si="2"/>
        <v>1566.3947221133963</v>
      </c>
      <c r="N26" s="43">
        <f t="shared" si="4"/>
        <v>153.62913626831414</v>
      </c>
      <c r="P26" s="62">
        <f t="shared" si="5"/>
        <v>1630.6134281230634</v>
      </c>
      <c r="Q26" s="62">
        <f t="shared" si="6"/>
        <v>52.62024619995951</v>
      </c>
      <c r="R26" s="61">
        <f t="shared" si="7"/>
        <v>1663.4477544615193</v>
      </c>
      <c r="S26" s="62">
        <f t="shared" si="8"/>
        <v>11978.810956669007</v>
      </c>
      <c r="U26" s="62">
        <f t="shared" si="9"/>
        <v>1535.577081330177</v>
      </c>
      <c r="V26" s="62">
        <f t="shared" si="10"/>
        <v>70.007776698147964</v>
      </c>
      <c r="W26" s="61">
        <f t="shared" si="11"/>
        <v>1526.157746143763</v>
      </c>
      <c r="X26" s="62">
        <f t="shared" si="12"/>
        <v>775.19109979514371</v>
      </c>
      <c r="Z26" s="43">
        <f t="shared" si="13"/>
        <v>1400.3333333333333</v>
      </c>
      <c r="AA26" s="43">
        <f t="shared" si="14"/>
        <v>23613.444444444467</v>
      </c>
    </row>
    <row r="27" spans="7:27" x14ac:dyDescent="0.2">
      <c r="G27" s="25">
        <f t="shared" si="3"/>
        <v>21</v>
      </c>
      <c r="H27" s="73">
        <v>1038</v>
      </c>
      <c r="I27" s="41"/>
      <c r="J27" s="42">
        <v>0.60290742157612853</v>
      </c>
      <c r="K27" s="43">
        <f t="shared" si="0"/>
        <v>1721.6573604060914</v>
      </c>
      <c r="L27" s="43">
        <f t="shared" si="1"/>
        <v>1458.6607153603409</v>
      </c>
      <c r="M27" s="43">
        <f t="shared" si="2"/>
        <v>879.43737085229429</v>
      </c>
      <c r="N27" s="43">
        <f t="shared" si="4"/>
        <v>25142.107362232851</v>
      </c>
      <c r="P27" s="62">
        <f t="shared" si="5"/>
        <v>1489.6635720261161</v>
      </c>
      <c r="Q27" s="62">
        <f t="shared" si="6"/>
        <v>-24.807794718803223</v>
      </c>
      <c r="R27" s="61">
        <f t="shared" si="7"/>
        <v>1683.2336743230228</v>
      </c>
      <c r="S27" s="62">
        <f t="shared" si="8"/>
        <v>416326.49448038865</v>
      </c>
      <c r="U27" s="62">
        <f t="shared" si="9"/>
        <v>1413.5647704266737</v>
      </c>
      <c r="V27" s="62">
        <f t="shared" si="10"/>
        <v>-97.684761391607665</v>
      </c>
      <c r="W27" s="61">
        <f t="shared" si="11"/>
        <v>1605.584858028325</v>
      </c>
      <c r="X27" s="62">
        <f t="shared" si="12"/>
        <v>322152.57106303389</v>
      </c>
      <c r="Z27" s="43">
        <f t="shared" si="13"/>
        <v>1596.6666666666667</v>
      </c>
      <c r="AA27" s="43">
        <f t="shared" si="14"/>
        <v>312108.44444444455</v>
      </c>
    </row>
    <row r="28" spans="7:27" x14ac:dyDescent="0.2">
      <c r="G28" s="25">
        <f t="shared" si="3"/>
        <v>22</v>
      </c>
      <c r="H28" s="73">
        <v>1307</v>
      </c>
      <c r="I28" s="41"/>
      <c r="J28" s="42">
        <v>0.80642693190512638</v>
      </c>
      <c r="K28" s="43">
        <f t="shared" si="0"/>
        <v>1620.7296015180264</v>
      </c>
      <c r="L28" s="43">
        <f t="shared" si="1"/>
        <v>1490.2805570600326</v>
      </c>
      <c r="M28" s="43">
        <f t="shared" si="2"/>
        <v>1201.8023773077848</v>
      </c>
      <c r="N28" s="43">
        <f t="shared" si="4"/>
        <v>11066.539820093669</v>
      </c>
      <c r="P28" s="62">
        <f t="shared" si="5"/>
        <v>1417.4990441151187</v>
      </c>
      <c r="Q28" s="62">
        <f t="shared" si="6"/>
        <v>-43.750487995680864</v>
      </c>
      <c r="R28" s="61">
        <f t="shared" si="7"/>
        <v>1464.8557773073128</v>
      </c>
      <c r="S28" s="62">
        <f t="shared" si="8"/>
        <v>24918.446429295927</v>
      </c>
      <c r="U28" s="62">
        <f t="shared" si="9"/>
        <v>1312.8758060710543</v>
      </c>
      <c r="V28" s="62">
        <f t="shared" si="10"/>
        <v>-100.30835367439529</v>
      </c>
      <c r="W28" s="61">
        <f t="shared" si="11"/>
        <v>1315.880009035066</v>
      </c>
      <c r="X28" s="62">
        <f t="shared" si="12"/>
        <v>78.854560462853712</v>
      </c>
      <c r="Z28" s="43">
        <f t="shared" si="13"/>
        <v>1537</v>
      </c>
      <c r="AA28" s="43">
        <f t="shared" si="14"/>
        <v>52900</v>
      </c>
    </row>
    <row r="29" spans="7:27" x14ac:dyDescent="0.2">
      <c r="G29" s="25">
        <f t="shared" si="3"/>
        <v>23</v>
      </c>
      <c r="H29" s="73">
        <v>2350</v>
      </c>
      <c r="I29" s="41"/>
      <c r="J29" s="42">
        <v>1.4930133290379737</v>
      </c>
      <c r="K29" s="43">
        <f t="shared" si="0"/>
        <v>1573.998004099687</v>
      </c>
      <c r="L29" s="43">
        <f t="shared" si="1"/>
        <v>1521.9003987597243</v>
      </c>
      <c r="M29" s="43">
        <f t="shared" si="2"/>
        <v>2272.2175808164757</v>
      </c>
      <c r="N29" s="43">
        <f t="shared" si="4"/>
        <v>6050.1047340414934</v>
      </c>
      <c r="P29" s="62">
        <f t="shared" si="5"/>
        <v>1666.6239892836065</v>
      </c>
      <c r="Q29" s="62">
        <f t="shared" si="6"/>
        <v>73.399685269986605</v>
      </c>
      <c r="R29" s="61">
        <f t="shared" si="7"/>
        <v>1373.7485561194378</v>
      </c>
      <c r="S29" s="62">
        <f t="shared" si="8"/>
        <v>953066.88167888252</v>
      </c>
      <c r="U29" s="62">
        <f t="shared" si="9"/>
        <v>1597.3731679516418</v>
      </c>
      <c r="V29" s="62">
        <f t="shared" si="10"/>
        <v>235.74527445812686</v>
      </c>
      <c r="W29" s="61">
        <f t="shared" si="11"/>
        <v>1212.5674523966591</v>
      </c>
      <c r="X29" s="62">
        <f t="shared" si="12"/>
        <v>1293752.8003474264</v>
      </c>
      <c r="Z29" s="43">
        <f t="shared" si="13"/>
        <v>1299.6666666666667</v>
      </c>
      <c r="AA29" s="43">
        <f t="shared" si="14"/>
        <v>1103200.111111111</v>
      </c>
    </row>
    <row r="30" spans="7:27" x14ac:dyDescent="0.2">
      <c r="G30" s="25">
        <f t="shared" si="3"/>
        <v>24</v>
      </c>
      <c r="H30" s="73">
        <v>1667</v>
      </c>
      <c r="I30" s="41"/>
      <c r="J30" s="42">
        <v>1.0976523174807715</v>
      </c>
      <c r="K30" s="43">
        <f t="shared" si="0"/>
        <v>1518.6958324161715</v>
      </c>
      <c r="L30" s="43">
        <f t="shared" si="1"/>
        <v>1553.5202404594163</v>
      </c>
      <c r="M30" s="43">
        <f t="shared" si="2"/>
        <v>1705.2250921935638</v>
      </c>
      <c r="N30" s="43">
        <f t="shared" si="4"/>
        <v>1461.1576732064518</v>
      </c>
      <c r="P30" s="62">
        <f t="shared" si="5"/>
        <v>1718.116572187515</v>
      </c>
      <c r="Q30" s="62">
        <f t="shared" si="6"/>
        <v>64.636844323555337</v>
      </c>
      <c r="R30" s="61">
        <f t="shared" si="7"/>
        <v>1740.0236745535931</v>
      </c>
      <c r="S30" s="62">
        <f t="shared" si="8"/>
        <v>5332.4570453090782</v>
      </c>
      <c r="U30" s="62">
        <f t="shared" si="9"/>
        <v>1776.918779200674</v>
      </c>
      <c r="V30" s="62">
        <f t="shared" si="10"/>
        <v>186.66570012279306</v>
      </c>
      <c r="W30" s="61">
        <f t="shared" si="11"/>
        <v>1833.1184424097687</v>
      </c>
      <c r="X30" s="62">
        <f t="shared" si="12"/>
        <v>27595.336908647641</v>
      </c>
      <c r="Z30" s="43">
        <f t="shared" si="13"/>
        <v>1565</v>
      </c>
      <c r="AA30" s="43">
        <f t="shared" si="14"/>
        <v>10404</v>
      </c>
    </row>
    <row r="31" spans="7:27" x14ac:dyDescent="0.2">
      <c r="G31" s="25">
        <f t="shared" si="3"/>
        <v>25</v>
      </c>
      <c r="H31" s="73">
        <v>746</v>
      </c>
      <c r="I31" s="41"/>
      <c r="J31" s="42">
        <v>0.60290742157612853</v>
      </c>
      <c r="K31" s="43">
        <f t="shared" si="0"/>
        <v>1237.3375634517768</v>
      </c>
      <c r="L31" s="43">
        <f t="shared" si="1"/>
        <v>1585.1400821591083</v>
      </c>
      <c r="M31" s="43">
        <f t="shared" si="2"/>
        <v>955.6927197715205</v>
      </c>
      <c r="N31" s="43">
        <f t="shared" si="4"/>
        <v>43971.036725177422</v>
      </c>
      <c r="P31" s="62">
        <f t="shared" si="5"/>
        <v>1471.7273915577491</v>
      </c>
      <c r="Q31" s="62">
        <f t="shared" si="6"/>
        <v>-59.77356565777314</v>
      </c>
      <c r="R31" s="61">
        <f t="shared" si="7"/>
        <v>1782.7534165110703</v>
      </c>
      <c r="S31" s="62">
        <f t="shared" si="8"/>
        <v>1074857.6466473769</v>
      </c>
      <c r="U31" s="62">
        <f t="shared" si="9"/>
        <v>1551.6624995964542</v>
      </c>
      <c r="V31" s="62">
        <f t="shared" si="10"/>
        <v>-173.06875859008616</v>
      </c>
      <c r="W31" s="61">
        <f t="shared" si="11"/>
        <v>1963.5844793234669</v>
      </c>
      <c r="X31" s="62">
        <f t="shared" si="12"/>
        <v>1482511.9642893979</v>
      </c>
      <c r="Z31" s="43">
        <f t="shared" si="13"/>
        <v>1774.6666666666667</v>
      </c>
      <c r="AA31" s="43">
        <f t="shared" si="14"/>
        <v>1058155.1111111112</v>
      </c>
    </row>
    <row r="32" spans="7:27" x14ac:dyDescent="0.2">
      <c r="G32" s="25">
        <f t="shared" si="3"/>
        <v>26</v>
      </c>
      <c r="H32" s="73">
        <v>1188</v>
      </c>
      <c r="I32" s="41"/>
      <c r="J32" s="42">
        <v>0.80642693190512638</v>
      </c>
      <c r="K32" s="43">
        <f t="shared" si="0"/>
        <v>1473.1650853889942</v>
      </c>
      <c r="L32" s="43">
        <f t="shared" si="1"/>
        <v>1616.7599238588</v>
      </c>
      <c r="M32" s="43">
        <f t="shared" si="2"/>
        <v>1303.7987450246178</v>
      </c>
      <c r="N32" s="43">
        <f t="shared" si="4"/>
        <v>13409.349349276446</v>
      </c>
      <c r="P32" s="62">
        <f t="shared" si="5"/>
        <v>1344.7676781299831</v>
      </c>
      <c r="Q32" s="62">
        <f t="shared" si="6"/>
        <v>-86.648024765770288</v>
      </c>
      <c r="R32" s="61">
        <f t="shared" si="7"/>
        <v>1411.953825899976</v>
      </c>
      <c r="S32" s="62">
        <f t="shared" si="8"/>
        <v>50155.316135236753</v>
      </c>
      <c r="U32" s="62">
        <f t="shared" si="9"/>
        <v>1314.1138199395821</v>
      </c>
      <c r="V32" s="62">
        <f t="shared" si="10"/>
        <v>-229.3795422928192</v>
      </c>
      <c r="W32" s="61">
        <f t="shared" si="11"/>
        <v>1378.593741006368</v>
      </c>
      <c r="X32" s="62">
        <f t="shared" si="12"/>
        <v>36325.974110802468</v>
      </c>
      <c r="Z32" s="43">
        <f t="shared" si="13"/>
        <v>1587.6666666666667</v>
      </c>
      <c r="AA32" s="43">
        <f t="shared" si="14"/>
        <v>159733.4444444445</v>
      </c>
    </row>
    <row r="33" spans="7:27" x14ac:dyDescent="0.2">
      <c r="G33" s="25">
        <f t="shared" si="3"/>
        <v>27</v>
      </c>
      <c r="H33" s="73">
        <v>2257</v>
      </c>
      <c r="I33" s="41"/>
      <c r="J33" s="42">
        <v>1.4930133290379737</v>
      </c>
      <c r="K33" s="43">
        <f t="shared" si="0"/>
        <v>1511.7078703204229</v>
      </c>
      <c r="L33" s="43">
        <f t="shared" si="1"/>
        <v>1648.3797655584917</v>
      </c>
      <c r="M33" s="43">
        <f t="shared" si="2"/>
        <v>2461.0529612953183</v>
      </c>
      <c r="N33" s="43">
        <f t="shared" si="4"/>
        <v>41637.611013388647</v>
      </c>
      <c r="P33" s="62">
        <f t="shared" si="5"/>
        <v>1557.7837573549491</v>
      </c>
      <c r="Q33" s="62">
        <f t="shared" si="6"/>
        <v>33.217616830524229</v>
      </c>
      <c r="R33" s="61">
        <f t="shared" si="7"/>
        <v>1258.1196533642128</v>
      </c>
      <c r="S33" s="62">
        <f t="shared" si="8"/>
        <v>997761.94689523033</v>
      </c>
      <c r="U33" s="62">
        <f t="shared" si="9"/>
        <v>1481.3244324310685</v>
      </c>
      <c r="V33" s="62">
        <f t="shared" si="10"/>
        <v>116.96552226706891</v>
      </c>
      <c r="W33" s="61">
        <f t="shared" si="11"/>
        <v>1084.7342776467628</v>
      </c>
      <c r="X33" s="62">
        <f t="shared" si="12"/>
        <v>1374206.9238043569</v>
      </c>
      <c r="Z33" s="43">
        <f t="shared" si="13"/>
        <v>1200.3333333333333</v>
      </c>
      <c r="AA33" s="43">
        <f t="shared" si="14"/>
        <v>1116544.4444444445</v>
      </c>
    </row>
    <row r="34" spans="7:27" x14ac:dyDescent="0.2">
      <c r="G34" s="25">
        <f t="shared" si="3"/>
        <v>28</v>
      </c>
      <c r="H34" s="73">
        <v>1620</v>
      </c>
      <c r="I34" s="41"/>
      <c r="J34" s="42">
        <v>1.0976523174807715</v>
      </c>
      <c r="K34" s="43">
        <f t="shared" si="0"/>
        <v>1475.8771736737838</v>
      </c>
      <c r="L34" s="43">
        <f t="shared" si="1"/>
        <v>1679.9996072581837</v>
      </c>
      <c r="M34" s="43">
        <f t="shared" si="2"/>
        <v>1844.0554622737313</v>
      </c>
      <c r="N34" s="43">
        <f t="shared" si="4"/>
        <v>50200.85017469545</v>
      </c>
      <c r="P34" s="62">
        <f t="shared" si="5"/>
        <v>1599.7009619298312</v>
      </c>
      <c r="Q34" s="62">
        <f t="shared" si="6"/>
        <v>36.697451928267391</v>
      </c>
      <c r="R34" s="61">
        <f t="shared" si="7"/>
        <v>1591.0013741854734</v>
      </c>
      <c r="S34" s="62">
        <f t="shared" si="8"/>
        <v>840.92029913092711</v>
      </c>
      <c r="U34" s="62">
        <f t="shared" si="9"/>
        <v>1605.6346975004403</v>
      </c>
      <c r="V34" s="62">
        <f t="shared" si="10"/>
        <v>123.37973953734601</v>
      </c>
      <c r="W34" s="61">
        <f t="shared" si="11"/>
        <v>1598.2899546981375</v>
      </c>
      <c r="X34" s="62">
        <f t="shared" si="12"/>
        <v>471.32606700892046</v>
      </c>
      <c r="Z34" s="43">
        <f t="shared" si="13"/>
        <v>1397</v>
      </c>
      <c r="AA34" s="43">
        <f t="shared" si="14"/>
        <v>49729</v>
      </c>
    </row>
    <row r="35" spans="7:27" x14ac:dyDescent="0.2">
      <c r="G35" s="25">
        <f t="shared" si="3"/>
        <v>29</v>
      </c>
      <c r="H35" s="73">
        <v>1167</v>
      </c>
      <c r="I35" s="41"/>
      <c r="J35" s="42">
        <v>0.60290742157612853</v>
      </c>
      <c r="K35" s="43">
        <f t="shared" si="0"/>
        <v>1935.6205583756346</v>
      </c>
      <c r="L35" s="43">
        <f t="shared" si="1"/>
        <v>1711.6194489578756</v>
      </c>
      <c r="M35" s="43">
        <f t="shared" si="2"/>
        <v>1031.9480686907468</v>
      </c>
      <c r="N35" s="43">
        <f t="shared" si="4"/>
        <v>18239.024150359237</v>
      </c>
      <c r="P35" s="62">
        <f t="shared" si="5"/>
        <v>1495.5788897006689</v>
      </c>
      <c r="Q35" s="62">
        <f t="shared" si="6"/>
        <v>-19.630357734704493</v>
      </c>
      <c r="R35" s="61">
        <f t="shared" si="7"/>
        <v>1636.3984138580986</v>
      </c>
      <c r="S35" s="62">
        <f t="shared" si="8"/>
        <v>220334.8709324988</v>
      </c>
      <c r="U35" s="62">
        <f t="shared" si="9"/>
        <v>1538.8788830198832</v>
      </c>
      <c r="V35" s="62">
        <f t="shared" si="10"/>
        <v>-42.667021677077202</v>
      </c>
      <c r="W35" s="61">
        <f t="shared" si="11"/>
        <v>1729.0144370377864</v>
      </c>
      <c r="X35" s="62">
        <f t="shared" si="12"/>
        <v>315860.22743889992</v>
      </c>
      <c r="Z35" s="43">
        <f t="shared" si="13"/>
        <v>1688.3333333333333</v>
      </c>
      <c r="AA35" s="43">
        <f t="shared" si="14"/>
        <v>271788.44444444438</v>
      </c>
    </row>
    <row r="36" spans="7:27" x14ac:dyDescent="0.2">
      <c r="G36" s="25">
        <f t="shared" si="3"/>
        <v>30</v>
      </c>
      <c r="H36" s="73">
        <v>1599</v>
      </c>
      <c r="I36" s="41"/>
      <c r="J36" s="42">
        <v>0.80642693190512638</v>
      </c>
      <c r="K36" s="43">
        <f t="shared" si="0"/>
        <v>1982.8206831119542</v>
      </c>
      <c r="L36" s="43">
        <f t="shared" si="1"/>
        <v>1743.2392906575674</v>
      </c>
      <c r="M36" s="43">
        <f t="shared" si="2"/>
        <v>1405.7951127414508</v>
      </c>
      <c r="N36" s="43">
        <f t="shared" si="4"/>
        <v>37328.128460588712</v>
      </c>
      <c r="P36" s="62">
        <f t="shared" si="5"/>
        <v>1512.8639723761751</v>
      </c>
      <c r="Q36" s="62">
        <f t="shared" si="6"/>
        <v>-4.8641815706202358</v>
      </c>
      <c r="R36" s="61">
        <f t="shared" si="7"/>
        <v>1475.9485319659643</v>
      </c>
      <c r="S36" s="62">
        <f t="shared" si="8"/>
        <v>15141.663785331304</v>
      </c>
      <c r="U36" s="62">
        <f t="shared" si="9"/>
        <v>1530.9861988012237</v>
      </c>
      <c r="V36" s="62">
        <f t="shared" si="10"/>
        <v>-12.298340037429924</v>
      </c>
      <c r="W36" s="61">
        <f t="shared" si="11"/>
        <v>1496.2118613428061</v>
      </c>
      <c r="X36" s="62">
        <f t="shared" si="12"/>
        <v>10565.401448610528</v>
      </c>
      <c r="Z36" s="43">
        <f t="shared" si="13"/>
        <v>1681.3333333333333</v>
      </c>
      <c r="AA36" s="43">
        <f t="shared" si="14"/>
        <v>6778.7777777777656</v>
      </c>
    </row>
    <row r="37" spans="7:27" x14ac:dyDescent="0.2">
      <c r="G37" s="25">
        <f t="shared" si="3"/>
        <v>31</v>
      </c>
      <c r="H37" s="73">
        <v>2820</v>
      </c>
      <c r="I37" s="41"/>
      <c r="J37" s="42">
        <v>1.4930133290379737</v>
      </c>
      <c r="K37" s="43">
        <f t="shared" si="0"/>
        <v>1888.7976049196245</v>
      </c>
      <c r="L37" s="43">
        <f t="shared" si="1"/>
        <v>1774.8591323572591</v>
      </c>
      <c r="M37" s="43">
        <f t="shared" si="2"/>
        <v>2649.8883417741608</v>
      </c>
      <c r="N37" s="43">
        <f t="shared" si="4"/>
        <v>28937.976264344714</v>
      </c>
      <c r="P37" s="62">
        <f t="shared" si="5"/>
        <v>1901.5998535638882</v>
      </c>
      <c r="Q37" s="62">
        <f t="shared" si="6"/>
        <v>152.57584353271315</v>
      </c>
      <c r="R37" s="61">
        <f t="shared" si="7"/>
        <v>1507.9997908055548</v>
      </c>
      <c r="S37" s="62">
        <f t="shared" si="8"/>
        <v>1721344.548926268</v>
      </c>
      <c r="U37" s="62">
        <f t="shared" si="9"/>
        <v>1958.9358108062331</v>
      </c>
      <c r="V37" s="62">
        <f t="shared" si="10"/>
        <v>372.17339616950022</v>
      </c>
      <c r="W37" s="61">
        <f t="shared" si="11"/>
        <v>1518.6878587637939</v>
      </c>
      <c r="X37" s="62">
        <f t="shared" si="12"/>
        <v>1693413.2889287597</v>
      </c>
      <c r="Z37" s="43">
        <f t="shared" si="13"/>
        <v>1462</v>
      </c>
      <c r="AA37" s="43">
        <f t="shared" si="14"/>
        <v>1844164</v>
      </c>
    </row>
    <row r="38" spans="7:27" x14ac:dyDescent="0.2">
      <c r="G38" s="25">
        <f t="shared" si="3"/>
        <v>32</v>
      </c>
      <c r="H38" s="73">
        <v>1842</v>
      </c>
      <c r="I38" s="41"/>
      <c r="J38" s="42">
        <v>1.0976523174807715</v>
      </c>
      <c r="K38" s="43">
        <f t="shared" si="0"/>
        <v>1678.1270085846359</v>
      </c>
      <c r="L38" s="43">
        <f t="shared" si="1"/>
        <v>1806.4789740569511</v>
      </c>
      <c r="M38" s="43">
        <f t="shared" si="2"/>
        <v>1982.8858323538989</v>
      </c>
      <c r="N38" s="43">
        <f t="shared" si="4"/>
        <v>19848.8177580509</v>
      </c>
      <c r="P38" s="62">
        <f t="shared" si="5"/>
        <v>1990.5229879676208</v>
      </c>
      <c r="Q38" s="62">
        <f t="shared" si="6"/>
        <v>127.1147598811209</v>
      </c>
      <c r="R38" s="61">
        <f t="shared" si="7"/>
        <v>2054.1756970966012</v>
      </c>
      <c r="S38" s="62">
        <f t="shared" si="8"/>
        <v>45018.526438428664</v>
      </c>
      <c r="U38" s="62">
        <f t="shared" si="9"/>
        <v>2165.6382796918215</v>
      </c>
      <c r="V38" s="62">
        <f t="shared" si="10"/>
        <v>227.66643274248239</v>
      </c>
      <c r="W38" s="61">
        <f t="shared" si="11"/>
        <v>2331.1092069757333</v>
      </c>
      <c r="X38" s="62">
        <f t="shared" si="12"/>
        <v>239227.8163484307</v>
      </c>
      <c r="Z38" s="43">
        <f t="shared" si="13"/>
        <v>1862</v>
      </c>
      <c r="AA38" s="43">
        <f t="shared" si="14"/>
        <v>400</v>
      </c>
    </row>
    <row r="39" spans="7:27" x14ac:dyDescent="0.2">
      <c r="G39" s="25">
        <f t="shared" si="3"/>
        <v>33</v>
      </c>
      <c r="H39" s="73">
        <v>1311</v>
      </c>
      <c r="I39" s="41"/>
      <c r="J39" s="42">
        <v>0.60290742157612853</v>
      </c>
      <c r="K39" s="43">
        <f t="shared" si="0"/>
        <v>2174.4631979695432</v>
      </c>
      <c r="L39" s="43">
        <f t="shared" si="1"/>
        <v>1838.098815756643</v>
      </c>
      <c r="M39" s="43">
        <f t="shared" si="2"/>
        <v>1108.203417609973</v>
      </c>
      <c r="N39" s="43">
        <f t="shared" si="4"/>
        <v>41126.453829074999</v>
      </c>
      <c r="P39" s="62">
        <f t="shared" si="5"/>
        <v>1875.6464234941191</v>
      </c>
      <c r="Q39" s="62">
        <f t="shared" si="6"/>
        <v>30.31823013927184</v>
      </c>
      <c r="R39" s="61">
        <f t="shared" si="7"/>
        <v>2117.6377478487416</v>
      </c>
      <c r="S39" s="62">
        <f t="shared" si="8"/>
        <v>650664.45625448995</v>
      </c>
      <c r="U39" s="62">
        <f t="shared" si="9"/>
        <v>2027.1493389184309</v>
      </c>
      <c r="V39" s="62">
        <f t="shared" si="10"/>
        <v>-92.099716138033116</v>
      </c>
      <c r="W39" s="61">
        <f t="shared" si="11"/>
        <v>2393.3047124343038</v>
      </c>
      <c r="X39" s="62">
        <f t="shared" si="12"/>
        <v>1171383.4905575011</v>
      </c>
      <c r="Z39" s="43">
        <f t="shared" si="13"/>
        <v>2087</v>
      </c>
      <c r="AA39" s="43">
        <f t="shared" si="14"/>
        <v>602176</v>
      </c>
    </row>
    <row r="40" spans="7:27" x14ac:dyDescent="0.2">
      <c r="G40" s="25">
        <f t="shared" si="3"/>
        <v>34</v>
      </c>
      <c r="H40" s="73">
        <v>1500</v>
      </c>
      <c r="I40" s="41"/>
      <c r="J40" s="42">
        <v>0.80642693190512638</v>
      </c>
      <c r="K40" s="43">
        <f t="shared" si="0"/>
        <v>1860.0569259962047</v>
      </c>
      <c r="L40" s="43">
        <f t="shared" si="1"/>
        <v>1869.7186574563348</v>
      </c>
      <c r="M40" s="43">
        <f t="shared" si="2"/>
        <v>1507.791480458284</v>
      </c>
      <c r="N40" s="43">
        <f t="shared" si="4"/>
        <v>60.707167731821656</v>
      </c>
      <c r="P40" s="62">
        <f t="shared" si="5"/>
        <v>1784.1752575433736</v>
      </c>
      <c r="Q40" s="62">
        <f t="shared" si="6"/>
        <v>-18.397528296735075</v>
      </c>
      <c r="R40" s="61">
        <f t="shared" si="7"/>
        <v>1905.964653633391</v>
      </c>
      <c r="S40" s="62">
        <f t="shared" si="8"/>
        <v>164807.29999967912</v>
      </c>
      <c r="U40" s="62">
        <f t="shared" si="9"/>
        <v>1787.8676366936788</v>
      </c>
      <c r="V40" s="62">
        <f t="shared" si="10"/>
        <v>-220.63481429492387</v>
      </c>
      <c r="W40" s="61">
        <f t="shared" si="11"/>
        <v>1935.0496227803978</v>
      </c>
      <c r="X40" s="62">
        <f t="shared" si="12"/>
        <v>189268.17428136646</v>
      </c>
      <c r="Z40" s="43">
        <f t="shared" si="13"/>
        <v>1991</v>
      </c>
      <c r="AA40" s="43">
        <f t="shared" si="14"/>
        <v>241081</v>
      </c>
    </row>
    <row r="41" spans="7:27" x14ac:dyDescent="0.2">
      <c r="G41" s="25">
        <f t="shared" si="3"/>
        <v>35</v>
      </c>
      <c r="H41" s="73">
        <v>2370</v>
      </c>
      <c r="I41" s="41"/>
      <c r="J41" s="42">
        <v>1.4930133290379737</v>
      </c>
      <c r="K41" s="43">
        <f t="shared" si="0"/>
        <v>1587.3937317941525</v>
      </c>
      <c r="L41" s="43">
        <f t="shared" si="1"/>
        <v>1901.3384991560265</v>
      </c>
      <c r="M41" s="43">
        <f t="shared" si="2"/>
        <v>2838.7237222530034</v>
      </c>
      <c r="N41" s="43">
        <f t="shared" si="4"/>
        <v>219701.92780271068</v>
      </c>
      <c r="P41" s="62">
        <f t="shared" si="5"/>
        <v>1947.0444104726469</v>
      </c>
      <c r="Q41" s="62">
        <f t="shared" si="6"/>
        <v>54.109144193668257</v>
      </c>
      <c r="R41" s="61">
        <f t="shared" si="7"/>
        <v>1765.7777292466385</v>
      </c>
      <c r="S41" s="62">
        <f t="shared" si="8"/>
        <v>365084.55247434851</v>
      </c>
      <c r="U41" s="62">
        <f t="shared" si="9"/>
        <v>1838.8176287697327</v>
      </c>
      <c r="V41" s="62">
        <f t="shared" si="10"/>
        <v>16.542170966343424</v>
      </c>
      <c r="W41" s="61">
        <f t="shared" si="11"/>
        <v>1567.2328223987549</v>
      </c>
      <c r="X41" s="62">
        <f t="shared" si="12"/>
        <v>644435.14143386891</v>
      </c>
      <c r="Z41" s="43">
        <f t="shared" si="13"/>
        <v>1551</v>
      </c>
      <c r="AA41" s="43">
        <f t="shared" si="14"/>
        <v>670761</v>
      </c>
    </row>
    <row r="42" spans="7:27" x14ac:dyDescent="0.2">
      <c r="G42" s="25">
        <f t="shared" si="3"/>
        <v>36</v>
      </c>
      <c r="H42" s="73">
        <v>1824</v>
      </c>
      <c r="I42" s="41"/>
      <c r="J42" s="42">
        <v>1.0976523174807715</v>
      </c>
      <c r="K42" s="43">
        <f t="shared" si="0"/>
        <v>1661.7283733215936</v>
      </c>
      <c r="L42" s="43">
        <f t="shared" si="1"/>
        <v>1932.9583408557187</v>
      </c>
      <c r="M42" s="43">
        <f t="shared" si="2"/>
        <v>2121.7162024340669</v>
      </c>
      <c r="N42" s="43">
        <f t="shared" si="4"/>
        <v>88634.937191762292</v>
      </c>
      <c r="P42" s="62">
        <f t="shared" si="5"/>
        <v>1948.0074882664203</v>
      </c>
      <c r="Q42" s="62">
        <f t="shared" si="6"/>
        <v>32.850717633710332</v>
      </c>
      <c r="R42" s="61">
        <f t="shared" si="7"/>
        <v>2001.1535546663151</v>
      </c>
      <c r="S42" s="62">
        <f t="shared" si="8"/>
        <v>31383.381930911102</v>
      </c>
      <c r="U42" s="62">
        <f t="shared" si="9"/>
        <v>1844.7504407876895</v>
      </c>
      <c r="V42" s="62">
        <f t="shared" si="10"/>
        <v>7.2769406887122692</v>
      </c>
      <c r="W42" s="61">
        <f t="shared" si="11"/>
        <v>1855.3597997360762</v>
      </c>
      <c r="X42" s="62">
        <f t="shared" si="12"/>
        <v>983.43703948680388</v>
      </c>
      <c r="Z42" s="43">
        <f t="shared" si="13"/>
        <v>1727</v>
      </c>
      <c r="AA42" s="43">
        <f t="shared" si="14"/>
        <v>9409</v>
      </c>
    </row>
    <row r="43" spans="7:27" x14ac:dyDescent="0.2">
      <c r="G43" s="39">
        <v>37</v>
      </c>
      <c r="H43" s="25"/>
      <c r="I43" s="25"/>
      <c r="J43" s="88">
        <v>0.60290742157612853</v>
      </c>
      <c r="K43" s="25"/>
      <c r="L43" s="81">
        <f t="shared" si="1"/>
        <v>1964.5781825554104</v>
      </c>
      <c r="M43" s="120">
        <f t="shared" si="2"/>
        <v>1184.4587665291992</v>
      </c>
      <c r="N43" s="25"/>
      <c r="R43" s="115">
        <f t="shared" si="7"/>
        <v>1980.8582059001305</v>
      </c>
      <c r="W43" s="115">
        <f t="shared" si="11"/>
        <v>1852.0273814764018</v>
      </c>
      <c r="Z43" s="120">
        <f t="shared" si="13"/>
        <v>1898</v>
      </c>
    </row>
    <row r="45" spans="7:27" x14ac:dyDescent="0.2">
      <c r="G45" s="59" t="s">
        <v>209</v>
      </c>
      <c r="H45" s="63">
        <f>AVERAGE(H7:H42)</f>
        <v>1379.6111111111111</v>
      </c>
      <c r="N45" s="125">
        <f>AVERAGE(N8:N42)</f>
        <v>29831.212970884691</v>
      </c>
      <c r="S45" s="125">
        <f>AVERAGE(S8:S42)</f>
        <v>346597.37427530234</v>
      </c>
      <c r="X45" s="125">
        <f>AVERAGE(X8:X42)</f>
        <v>458078.52675443422</v>
      </c>
      <c r="AA45" s="125">
        <f>AVERAGE(AA8:AA42)</f>
        <v>373632.25925925927</v>
      </c>
    </row>
    <row r="49" spans="21:26" x14ac:dyDescent="0.2">
      <c r="V49" s="39" t="s">
        <v>35</v>
      </c>
      <c r="W49" s="39" t="s">
        <v>170</v>
      </c>
      <c r="Y49" s="24"/>
    </row>
    <row r="50" spans="21:26" ht="17" thickBot="1" x14ac:dyDescent="0.25">
      <c r="U50" s="26" t="s">
        <v>227</v>
      </c>
      <c r="V50" s="113" t="s">
        <v>230</v>
      </c>
      <c r="W50" s="113" t="s">
        <v>231</v>
      </c>
      <c r="Y50" s="24"/>
    </row>
    <row r="51" spans="21:26" ht="17" thickBot="1" x14ac:dyDescent="0.25">
      <c r="U51" s="26" t="s">
        <v>228</v>
      </c>
      <c r="V51" s="127">
        <v>0.33831080037739247</v>
      </c>
      <c r="W51" s="128">
        <v>0.87330726792311708</v>
      </c>
      <c r="Y51" s="24"/>
    </row>
    <row r="52" spans="21:26" x14ac:dyDescent="0.2">
      <c r="U52" s="26" t="s">
        <v>229</v>
      </c>
      <c r="V52" s="126">
        <f>X45</f>
        <v>458078.52675443422</v>
      </c>
      <c r="W52" s="24"/>
      <c r="X52" s="24"/>
      <c r="Y52" s="24"/>
    </row>
    <row r="54" spans="21:26" x14ac:dyDescent="0.2">
      <c r="U54" s="26" t="s">
        <v>233</v>
      </c>
      <c r="V54" s="26"/>
      <c r="W54" s="26"/>
      <c r="X54" s="39" t="s">
        <v>234</v>
      </c>
      <c r="Y54" s="39" t="s">
        <v>235</v>
      </c>
      <c r="Z54" s="39" t="s">
        <v>237</v>
      </c>
    </row>
    <row r="55" spans="21:26" x14ac:dyDescent="0.2">
      <c r="U55" s="26" t="s">
        <v>35</v>
      </c>
      <c r="V55" s="60">
        <v>1</v>
      </c>
      <c r="W55" s="60">
        <v>0</v>
      </c>
      <c r="X55" s="99">
        <f>V51</f>
        <v>0.33831080037739247</v>
      </c>
      <c r="Y55" s="60" t="s">
        <v>236</v>
      </c>
      <c r="Z55" s="60">
        <v>1</v>
      </c>
    </row>
    <row r="56" spans="21:26" x14ac:dyDescent="0.2">
      <c r="U56" s="26" t="s">
        <v>170</v>
      </c>
      <c r="V56" s="60">
        <v>0</v>
      </c>
      <c r="W56" s="60">
        <v>1</v>
      </c>
      <c r="X56" s="99">
        <f>W51</f>
        <v>0.87330726792311708</v>
      </c>
      <c r="Y56" s="60" t="s">
        <v>236</v>
      </c>
      <c r="Z56" s="60">
        <v>1</v>
      </c>
    </row>
    <row r="57" spans="21:26" x14ac:dyDescent="0.2">
      <c r="Y57" s="60" t="s">
        <v>236</v>
      </c>
      <c r="Z57" s="60">
        <v>1</v>
      </c>
    </row>
  </sheetData>
  <mergeCells count="4">
    <mergeCell ref="H5:N5"/>
    <mergeCell ref="P5:S5"/>
    <mergeCell ref="U5:X5"/>
    <mergeCell ref="Z5:AA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8A6BF-1282-E242-BC51-B8D3B1A23422}">
  <dimension ref="A1:X36"/>
  <sheetViews>
    <sheetView zoomScale="110" zoomScaleNormal="110" workbookViewId="0">
      <selection activeCell="A2" sqref="A2"/>
    </sheetView>
  </sheetViews>
  <sheetFormatPr baseColWidth="10" defaultRowHeight="16" x14ac:dyDescent="0.2"/>
  <cols>
    <col min="2" max="2" width="17.6640625" customWidth="1"/>
    <col min="6" max="6" width="12" customWidth="1"/>
    <col min="8" max="8" width="5.1640625" customWidth="1"/>
    <col min="9" max="9" width="12.33203125" customWidth="1"/>
    <col min="10" max="10" width="12" customWidth="1"/>
    <col min="11" max="11" width="19.83203125" customWidth="1"/>
    <col min="12" max="13" width="12.33203125" customWidth="1"/>
    <col min="14" max="14" width="10.83203125" customWidth="1"/>
    <col min="16" max="16" width="18.5" customWidth="1"/>
    <col min="21" max="21" width="13.1640625" bestFit="1" customWidth="1"/>
    <col min="2000" max="2000" width="2.5" customWidth="1"/>
  </cols>
  <sheetData>
    <row r="1" spans="1:21" x14ac:dyDescent="0.2">
      <c r="A1" s="24"/>
      <c r="B1" s="24"/>
      <c r="C1" s="24"/>
      <c r="D1" s="24"/>
      <c r="E1" s="24"/>
      <c r="F1" s="24"/>
      <c r="G1" s="24"/>
      <c r="H1" s="24"/>
      <c r="I1" s="24"/>
      <c r="J1" s="24"/>
      <c r="K1" s="24"/>
      <c r="L1" s="24"/>
      <c r="M1" s="24"/>
    </row>
    <row r="2" spans="1:21" x14ac:dyDescent="0.2">
      <c r="A2" s="24"/>
      <c r="B2" s="25" t="s">
        <v>35</v>
      </c>
      <c r="C2" s="25">
        <v>0.16</v>
      </c>
      <c r="D2" s="24"/>
      <c r="E2" s="24"/>
      <c r="F2" s="24"/>
      <c r="G2" s="24"/>
      <c r="H2" s="24"/>
      <c r="I2" s="24"/>
      <c r="J2" s="24"/>
      <c r="K2" s="24"/>
      <c r="L2" s="24"/>
      <c r="M2" s="24"/>
    </row>
    <row r="3" spans="1:21" x14ac:dyDescent="0.2">
      <c r="A3" s="24"/>
      <c r="B3" s="25" t="s">
        <v>170</v>
      </c>
      <c r="C3" s="25">
        <v>0.18</v>
      </c>
      <c r="D3" s="24"/>
      <c r="E3" s="24"/>
      <c r="F3" s="24"/>
      <c r="G3" s="24"/>
      <c r="H3" s="24"/>
      <c r="I3" s="24"/>
      <c r="J3" s="24"/>
      <c r="K3" s="24"/>
      <c r="L3" s="24"/>
      <c r="M3" s="24"/>
    </row>
    <row r="4" spans="1:21" x14ac:dyDescent="0.2">
      <c r="A4" s="24"/>
      <c r="B4" s="24"/>
      <c r="C4" s="24"/>
      <c r="D4" s="270" t="s">
        <v>78</v>
      </c>
      <c r="E4" s="270"/>
      <c r="F4" s="270"/>
      <c r="G4" s="270"/>
      <c r="I4" s="266" t="s">
        <v>253</v>
      </c>
      <c r="J4" s="267"/>
      <c r="K4" s="267"/>
      <c r="L4" s="267"/>
      <c r="M4" s="267"/>
      <c r="N4" s="268"/>
    </row>
    <row r="5" spans="1:21" ht="51" x14ac:dyDescent="0.2">
      <c r="A5" s="24"/>
      <c r="B5" s="50" t="s">
        <v>255</v>
      </c>
      <c r="C5" s="50" t="s">
        <v>125</v>
      </c>
      <c r="D5" s="37" t="s">
        <v>79</v>
      </c>
      <c r="E5" s="37" t="s">
        <v>80</v>
      </c>
      <c r="F5" s="37" t="s">
        <v>27</v>
      </c>
      <c r="G5" s="37" t="s">
        <v>81</v>
      </c>
      <c r="H5" s="135" t="s">
        <v>85</v>
      </c>
      <c r="I5" s="37" t="s">
        <v>248</v>
      </c>
      <c r="J5" s="50" t="s">
        <v>187</v>
      </c>
      <c r="K5" s="50" t="s">
        <v>251</v>
      </c>
      <c r="L5" s="123" t="s">
        <v>249</v>
      </c>
      <c r="M5" s="37" t="s">
        <v>27</v>
      </c>
      <c r="N5" s="37" t="s">
        <v>81</v>
      </c>
      <c r="P5" t="s">
        <v>2</v>
      </c>
    </row>
    <row r="6" spans="1:21" ht="18" thickBot="1" x14ac:dyDescent="0.25">
      <c r="A6" s="52" t="s">
        <v>197</v>
      </c>
      <c r="B6" s="132" t="s">
        <v>198</v>
      </c>
      <c r="C6" s="52">
        <v>25</v>
      </c>
      <c r="D6" s="60">
        <v>25</v>
      </c>
      <c r="E6" s="60">
        <v>0</v>
      </c>
      <c r="F6" s="60" t="s">
        <v>32</v>
      </c>
      <c r="G6" s="60" t="s">
        <v>32</v>
      </c>
      <c r="H6" s="136">
        <v>1</v>
      </c>
      <c r="I6" s="61">
        <f>(C6+C10+C14)/3</f>
        <v>25.333333333333332</v>
      </c>
      <c r="J6" s="62">
        <f>I6/$C$25</f>
        <v>0.54972875226039775</v>
      </c>
      <c r="K6" s="92">
        <f>C6/J6</f>
        <v>45.476973684210535</v>
      </c>
      <c r="L6" s="61">
        <f>FORECAST(H6,$K$6:$K$17,$H$6:$H$17)</f>
        <v>45.520753207504143</v>
      </c>
      <c r="M6" s="137">
        <f>L6*J6</f>
        <v>25.024066862714751</v>
      </c>
      <c r="N6" s="60" t="s">
        <v>32</v>
      </c>
    </row>
    <row r="7" spans="1:21" ht="17" x14ac:dyDescent="0.2">
      <c r="A7" s="24"/>
      <c r="B7" s="132" t="s">
        <v>200</v>
      </c>
      <c r="C7" s="52">
        <v>47</v>
      </c>
      <c r="D7" s="62">
        <f>($C$2*C7)+((1-$C$2)*(D6+E6))</f>
        <v>28.52</v>
      </c>
      <c r="E7" s="62">
        <f>($C$3*(D7-D6))+((1-$C$3)*E6)</f>
        <v>0.63359999999999994</v>
      </c>
      <c r="F7" s="61">
        <f>D6+(1*E6)</f>
        <v>25</v>
      </c>
      <c r="G7" s="62">
        <f>ABS(C7-F7)</f>
        <v>22</v>
      </c>
      <c r="H7" s="7">
        <f>H6+1</f>
        <v>2</v>
      </c>
      <c r="I7" s="61">
        <f t="shared" ref="I7:I9" si="0">(C7+C11+C15)/3</f>
        <v>47.333333333333336</v>
      </c>
      <c r="J7" s="62">
        <f t="shared" ref="J7:J9" si="1">I7/$C$25</f>
        <v>1.027124773960217</v>
      </c>
      <c r="K7" s="92">
        <f t="shared" ref="K7:K17" si="2">C7/J7</f>
        <v>45.758802816901408</v>
      </c>
      <c r="L7" s="61">
        <f t="shared" ref="L7:L21" si="3">FORECAST(H7,$K$6:$K$17,$H$6:$H$17)</f>
        <v>45.623040503109451</v>
      </c>
      <c r="M7" s="137">
        <f t="shared" ref="M7:M21" si="4">L7*J7</f>
        <v>46.860555164134119</v>
      </c>
      <c r="N7" s="54">
        <f>ABS(C7-M7)</f>
        <v>0.13944483586588063</v>
      </c>
      <c r="P7" s="5" t="s">
        <v>3</v>
      </c>
      <c r="Q7" s="5"/>
    </row>
    <row r="8" spans="1:21" ht="17" x14ac:dyDescent="0.2">
      <c r="A8" s="24"/>
      <c r="B8" s="132" t="s">
        <v>201</v>
      </c>
      <c r="C8" s="52">
        <v>68</v>
      </c>
      <c r="D8" s="62">
        <f t="shared" ref="D8:D17" si="5">($C$2*C8)+((1-$C$2)*(D7+E7))</f>
        <v>35.369024000000003</v>
      </c>
      <c r="E8" s="62">
        <f t="shared" ref="E8:E17" si="6">($C$3*(D8-D7))+((1-$C$3)*E7)</f>
        <v>1.7523763200000007</v>
      </c>
      <c r="F8" s="61">
        <f t="shared" ref="F8:F17" si="7">D7+(1*E7)</f>
        <v>29.153600000000001</v>
      </c>
      <c r="G8" s="62">
        <f t="shared" ref="G8:G17" si="8">ABS(C8-F8)</f>
        <v>38.846400000000003</v>
      </c>
      <c r="H8" s="7">
        <f t="shared" ref="H8:H21" si="9">H7+1</f>
        <v>3</v>
      </c>
      <c r="I8" s="61">
        <f t="shared" si="0"/>
        <v>70</v>
      </c>
      <c r="J8" s="62">
        <f t="shared" si="1"/>
        <v>1.5189873417721518</v>
      </c>
      <c r="K8" s="92">
        <f t="shared" si="2"/>
        <v>44.766666666666673</v>
      </c>
      <c r="L8" s="61">
        <f t="shared" si="3"/>
        <v>45.725327798714758</v>
      </c>
      <c r="M8" s="137">
        <f t="shared" si="4"/>
        <v>69.456194124630002</v>
      </c>
      <c r="N8" s="54">
        <f t="shared" ref="N8:N17" si="10">ABS(C8-M8)</f>
        <v>1.4561941246300023</v>
      </c>
      <c r="P8" s="6" t="s">
        <v>4</v>
      </c>
      <c r="Q8" s="17">
        <v>0.19630059236632882</v>
      </c>
      <c r="R8" s="271" t="s">
        <v>210</v>
      </c>
    </row>
    <row r="9" spans="1:21" ht="17" x14ac:dyDescent="0.2">
      <c r="A9" s="24"/>
      <c r="B9" s="132" t="s">
        <v>202</v>
      </c>
      <c r="C9" s="52">
        <v>42</v>
      </c>
      <c r="D9" s="62">
        <f t="shared" si="5"/>
        <v>37.901976268800006</v>
      </c>
      <c r="E9" s="62">
        <f t="shared" si="6"/>
        <v>1.892879990784001</v>
      </c>
      <c r="F9" s="61">
        <f t="shared" si="7"/>
        <v>37.121400320000006</v>
      </c>
      <c r="G9" s="62">
        <f t="shared" si="8"/>
        <v>4.8785996799999936</v>
      </c>
      <c r="H9" s="7">
        <f t="shared" si="9"/>
        <v>4</v>
      </c>
      <c r="I9" s="61">
        <f t="shared" si="0"/>
        <v>41.666666666666664</v>
      </c>
      <c r="J9" s="62">
        <f t="shared" si="1"/>
        <v>0.90415913200723319</v>
      </c>
      <c r="K9" s="92">
        <f t="shared" si="2"/>
        <v>46.452000000000005</v>
      </c>
      <c r="L9" s="61">
        <f t="shared" si="3"/>
        <v>45.827615094320066</v>
      </c>
      <c r="M9" s="137">
        <f t="shared" si="4"/>
        <v>41.435456685642009</v>
      </c>
      <c r="N9" s="54">
        <f t="shared" si="10"/>
        <v>0.56454331435799077</v>
      </c>
      <c r="P9" s="6" t="s">
        <v>5</v>
      </c>
      <c r="Q9" s="17">
        <v>3.8533922563371598E-2</v>
      </c>
      <c r="R9" s="271"/>
    </row>
    <row r="10" spans="1:21" ht="17" x14ac:dyDescent="0.2">
      <c r="A10" s="52" t="s">
        <v>203</v>
      </c>
      <c r="B10" s="132" t="s">
        <v>198</v>
      </c>
      <c r="C10" s="52">
        <v>27</v>
      </c>
      <c r="D10" s="62">
        <f t="shared" si="5"/>
        <v>37.747679258050567</v>
      </c>
      <c r="E10" s="62">
        <f t="shared" si="6"/>
        <v>1.5243881305079821</v>
      </c>
      <c r="F10" s="61">
        <f t="shared" si="7"/>
        <v>39.794856259584009</v>
      </c>
      <c r="G10" s="62">
        <f t="shared" si="8"/>
        <v>12.794856259584009</v>
      </c>
      <c r="H10" s="7">
        <f t="shared" si="9"/>
        <v>5</v>
      </c>
      <c r="I10" s="60"/>
      <c r="J10" s="62">
        <v>0.54972875226039775</v>
      </c>
      <c r="K10" s="92">
        <f t="shared" si="2"/>
        <v>49.115131578947377</v>
      </c>
      <c r="L10" s="61">
        <f t="shared" si="3"/>
        <v>45.929902389925381</v>
      </c>
      <c r="M10" s="137">
        <f t="shared" si="4"/>
        <v>25.248987932255542</v>
      </c>
      <c r="N10" s="54">
        <f t="shared" si="10"/>
        <v>1.7510120677444583</v>
      </c>
      <c r="P10" t="s">
        <v>6</v>
      </c>
      <c r="Q10">
        <v>-5.7612685180291244E-2</v>
      </c>
    </row>
    <row r="11" spans="1:21" ht="17" x14ac:dyDescent="0.2">
      <c r="A11" s="24"/>
      <c r="B11" s="132" t="s">
        <v>200</v>
      </c>
      <c r="C11" s="52">
        <v>46</v>
      </c>
      <c r="D11" s="62">
        <f t="shared" si="5"/>
        <v>40.348536606389175</v>
      </c>
      <c r="E11" s="62">
        <f t="shared" si="6"/>
        <v>1.7181525897174947</v>
      </c>
      <c r="F11" s="61">
        <f t="shared" si="7"/>
        <v>39.272067388558547</v>
      </c>
      <c r="G11" s="62">
        <f t="shared" si="8"/>
        <v>6.727932611441453</v>
      </c>
      <c r="H11" s="7">
        <f t="shared" si="9"/>
        <v>6</v>
      </c>
      <c r="I11" s="60"/>
      <c r="J11" s="62">
        <v>1.027124773960217</v>
      </c>
      <c r="K11" s="92">
        <f t="shared" si="2"/>
        <v>44.785211267605639</v>
      </c>
      <c r="L11" s="61">
        <f t="shared" si="3"/>
        <v>46.032189685530689</v>
      </c>
      <c r="M11" s="137">
        <f t="shared" si="4"/>
        <v>47.280802425644538</v>
      </c>
      <c r="N11" s="54">
        <f t="shared" si="10"/>
        <v>1.2808024256445378</v>
      </c>
      <c r="P11" t="s">
        <v>7</v>
      </c>
      <c r="Q11">
        <v>1.9321244128162001</v>
      </c>
    </row>
    <row r="12" spans="1:21" ht="18" thickBot="1" x14ac:dyDescent="0.25">
      <c r="A12" s="24"/>
      <c r="B12" s="132" t="s">
        <v>201</v>
      </c>
      <c r="C12" s="52">
        <v>72</v>
      </c>
      <c r="D12" s="62">
        <f t="shared" si="5"/>
        <v>46.856018924729597</v>
      </c>
      <c r="E12" s="62">
        <f t="shared" si="6"/>
        <v>2.5802319408696217</v>
      </c>
      <c r="F12" s="61">
        <f t="shared" si="7"/>
        <v>42.066689196106672</v>
      </c>
      <c r="G12" s="62">
        <f t="shared" si="8"/>
        <v>29.933310803893328</v>
      </c>
      <c r="H12" s="7">
        <f t="shared" si="9"/>
        <v>7</v>
      </c>
      <c r="I12" s="60"/>
      <c r="J12" s="62">
        <v>1.5189873417721518</v>
      </c>
      <c r="K12" s="92">
        <f t="shared" si="2"/>
        <v>47.400000000000006</v>
      </c>
      <c r="L12" s="61">
        <f t="shared" si="3"/>
        <v>46.134476981135997</v>
      </c>
      <c r="M12" s="137">
        <f t="shared" si="4"/>
        <v>70.077686553624289</v>
      </c>
      <c r="N12" s="54">
        <f t="shared" si="10"/>
        <v>1.9223134463757106</v>
      </c>
      <c r="P12" s="3" t="s">
        <v>8</v>
      </c>
      <c r="Q12" s="3">
        <v>12</v>
      </c>
    </row>
    <row r="13" spans="1:21" ht="17" x14ac:dyDescent="0.2">
      <c r="A13" s="24"/>
      <c r="B13" s="132" t="s">
        <v>202</v>
      </c>
      <c r="C13" s="52">
        <v>39</v>
      </c>
      <c r="D13" s="62">
        <f t="shared" si="5"/>
        <v>47.766450727103347</v>
      </c>
      <c r="E13" s="62">
        <f t="shared" si="6"/>
        <v>2.2796679159403648</v>
      </c>
      <c r="F13" s="61">
        <f t="shared" si="7"/>
        <v>49.43625086559922</v>
      </c>
      <c r="G13" s="62">
        <f t="shared" si="8"/>
        <v>10.43625086559922</v>
      </c>
      <c r="H13" s="7">
        <f t="shared" si="9"/>
        <v>8</v>
      </c>
      <c r="I13" s="60"/>
      <c r="J13" s="62">
        <v>0.90415913200723319</v>
      </c>
      <c r="K13" s="92">
        <f t="shared" si="2"/>
        <v>43.134000000000007</v>
      </c>
      <c r="L13" s="61">
        <f t="shared" si="3"/>
        <v>46.236764276741305</v>
      </c>
      <c r="M13" s="137">
        <f t="shared" si="4"/>
        <v>41.805392655281466</v>
      </c>
      <c r="N13" s="54">
        <f t="shared" si="10"/>
        <v>2.8053926552814659</v>
      </c>
    </row>
    <row r="14" spans="1:21" ht="18" thickBot="1" x14ac:dyDescent="0.25">
      <c r="A14" s="52" t="s">
        <v>205</v>
      </c>
      <c r="B14" s="132" t="s">
        <v>198</v>
      </c>
      <c r="C14" s="52">
        <v>24</v>
      </c>
      <c r="D14" s="62">
        <f t="shared" si="5"/>
        <v>45.878739660156711</v>
      </c>
      <c r="E14" s="62">
        <f t="shared" si="6"/>
        <v>1.5295396990207046</v>
      </c>
      <c r="F14" s="61">
        <f t="shared" si="7"/>
        <v>50.046118643043712</v>
      </c>
      <c r="G14" s="62">
        <f t="shared" si="8"/>
        <v>26.046118643043712</v>
      </c>
      <c r="H14" s="7">
        <f t="shared" si="9"/>
        <v>9</v>
      </c>
      <c r="I14" s="60"/>
      <c r="J14" s="62">
        <v>0.54972875226039775</v>
      </c>
      <c r="K14" s="92">
        <f t="shared" si="2"/>
        <v>43.65789473684211</v>
      </c>
      <c r="L14" s="61">
        <f t="shared" si="3"/>
        <v>46.339051572346612</v>
      </c>
      <c r="M14" s="137">
        <f t="shared" si="4"/>
        <v>25.473909001796326</v>
      </c>
      <c r="N14" s="54">
        <f t="shared" si="10"/>
        <v>1.4739090017963257</v>
      </c>
      <c r="P14" t="s">
        <v>9</v>
      </c>
    </row>
    <row r="15" spans="1:21" ht="17" x14ac:dyDescent="0.2">
      <c r="A15" s="24"/>
      <c r="B15" s="132" t="s">
        <v>200</v>
      </c>
      <c r="C15" s="52">
        <v>49</v>
      </c>
      <c r="D15" s="62">
        <f t="shared" si="5"/>
        <v>47.662954661709023</v>
      </c>
      <c r="E15" s="62">
        <f t="shared" si="6"/>
        <v>1.575381253476394</v>
      </c>
      <c r="F15" s="61">
        <f t="shared" si="7"/>
        <v>47.408279359177413</v>
      </c>
      <c r="G15" s="62">
        <f t="shared" si="8"/>
        <v>1.5917206408225866</v>
      </c>
      <c r="H15" s="7">
        <f t="shared" si="9"/>
        <v>10</v>
      </c>
      <c r="I15" s="60"/>
      <c r="J15" s="62">
        <v>1.027124773960217</v>
      </c>
      <c r="K15" s="92">
        <f t="shared" si="2"/>
        <v>47.70598591549296</v>
      </c>
      <c r="L15" s="61">
        <f t="shared" si="3"/>
        <v>46.44133886795192</v>
      </c>
      <c r="M15" s="137">
        <f t="shared" si="4"/>
        <v>47.701049687154956</v>
      </c>
      <c r="N15" s="54">
        <f t="shared" si="10"/>
        <v>1.2989503128450437</v>
      </c>
      <c r="P15" s="4"/>
      <c r="Q15" s="4" t="s">
        <v>14</v>
      </c>
      <c r="R15" s="4" t="s">
        <v>15</v>
      </c>
      <c r="S15" s="4" t="s">
        <v>16</v>
      </c>
      <c r="T15" s="4" t="s">
        <v>17</v>
      </c>
      <c r="U15" s="4" t="s">
        <v>18</v>
      </c>
    </row>
    <row r="16" spans="1:21" ht="17" x14ac:dyDescent="0.2">
      <c r="A16" s="24"/>
      <c r="B16" s="132" t="s">
        <v>201</v>
      </c>
      <c r="C16" s="52">
        <v>70</v>
      </c>
      <c r="D16" s="62">
        <f t="shared" si="5"/>
        <v>52.560202168755751</v>
      </c>
      <c r="E16" s="62">
        <f t="shared" si="6"/>
        <v>2.1733171791190542</v>
      </c>
      <c r="F16" s="61">
        <f t="shared" si="7"/>
        <v>49.238335915185417</v>
      </c>
      <c r="G16" s="62">
        <f t="shared" si="8"/>
        <v>20.761664084814583</v>
      </c>
      <c r="H16" s="7">
        <f t="shared" si="9"/>
        <v>11</v>
      </c>
      <c r="I16" s="60"/>
      <c r="J16" s="62">
        <v>1.5189873417721518</v>
      </c>
      <c r="K16" s="92">
        <f t="shared" si="2"/>
        <v>46.083333333333336</v>
      </c>
      <c r="L16" s="61">
        <f t="shared" si="3"/>
        <v>46.543626163557228</v>
      </c>
      <c r="M16" s="137">
        <f t="shared" si="4"/>
        <v>70.699178982618562</v>
      </c>
      <c r="N16" s="54">
        <f t="shared" si="10"/>
        <v>0.69917898261856237</v>
      </c>
      <c r="P16" t="s">
        <v>10</v>
      </c>
      <c r="Q16">
        <v>1</v>
      </c>
      <c r="R16">
        <v>1.4961647904414406</v>
      </c>
      <c r="S16">
        <v>1.4961647904414406</v>
      </c>
      <c r="T16">
        <v>0.40078296538664338</v>
      </c>
      <c r="U16">
        <v>0.54089154762544289</v>
      </c>
    </row>
    <row r="17" spans="1:24" ht="17" x14ac:dyDescent="0.2">
      <c r="A17" s="24"/>
      <c r="B17" s="132" t="s">
        <v>202</v>
      </c>
      <c r="C17" s="52">
        <v>44</v>
      </c>
      <c r="D17" s="62">
        <f t="shared" si="5"/>
        <v>53.016156252214834</v>
      </c>
      <c r="E17" s="62">
        <f t="shared" si="6"/>
        <v>1.8641918219002596</v>
      </c>
      <c r="F17" s="61">
        <f t="shared" si="7"/>
        <v>54.733519347874804</v>
      </c>
      <c r="G17" s="62">
        <f t="shared" si="8"/>
        <v>10.733519347874804</v>
      </c>
      <c r="H17" s="7">
        <f t="shared" si="9"/>
        <v>12</v>
      </c>
      <c r="I17" s="60"/>
      <c r="J17" s="62">
        <v>0.90415913200723319</v>
      </c>
      <c r="K17" s="92">
        <f t="shared" si="2"/>
        <v>48.664000000000001</v>
      </c>
      <c r="L17" s="61">
        <f t="shared" si="3"/>
        <v>46.645913459162536</v>
      </c>
      <c r="M17" s="137">
        <f t="shared" si="4"/>
        <v>42.175328624920915</v>
      </c>
      <c r="N17" s="54">
        <f t="shared" si="10"/>
        <v>1.8246713750790846</v>
      </c>
      <c r="P17" t="s">
        <v>11</v>
      </c>
      <c r="Q17">
        <v>10</v>
      </c>
      <c r="R17">
        <v>37.331047466003461</v>
      </c>
      <c r="S17">
        <v>3.733104746600346</v>
      </c>
    </row>
    <row r="18" spans="1:24" ht="18" thickBot="1" x14ac:dyDescent="0.25">
      <c r="A18" s="52" t="s">
        <v>207</v>
      </c>
      <c r="B18" s="132" t="s">
        <v>198</v>
      </c>
      <c r="C18" s="24"/>
      <c r="D18" s="24"/>
      <c r="E18" s="24"/>
      <c r="F18" s="63">
        <f>$D$17+(1*$E$17)</f>
        <v>54.880348074115091</v>
      </c>
      <c r="G18" s="24"/>
      <c r="H18" s="7">
        <f t="shared" si="9"/>
        <v>13</v>
      </c>
      <c r="I18" s="25"/>
      <c r="J18" s="62">
        <v>0.54972875226039775</v>
      </c>
      <c r="K18" s="25"/>
      <c r="L18" s="61">
        <f t="shared" si="3"/>
        <v>46.748200754767851</v>
      </c>
      <c r="M18" s="87">
        <f t="shared" si="4"/>
        <v>25.698830071337113</v>
      </c>
      <c r="N18" s="7"/>
      <c r="P18" s="3" t="s">
        <v>12</v>
      </c>
      <c r="Q18" s="3">
        <v>11</v>
      </c>
      <c r="R18" s="3">
        <v>38.827212256444902</v>
      </c>
      <c r="S18" s="3"/>
      <c r="T18" s="3"/>
      <c r="U18" s="3"/>
    </row>
    <row r="19" spans="1:24" ht="18" thickBot="1" x14ac:dyDescent="0.25">
      <c r="A19" s="24"/>
      <c r="B19" s="132" t="s">
        <v>200</v>
      </c>
      <c r="C19" s="24"/>
      <c r="D19" s="24"/>
      <c r="E19" s="24"/>
      <c r="F19" s="63">
        <f>$D$17+(2*$E$17)</f>
        <v>56.744539896015354</v>
      </c>
      <c r="G19" s="24"/>
      <c r="H19" s="7">
        <f t="shared" si="9"/>
        <v>14</v>
      </c>
      <c r="I19" s="25"/>
      <c r="J19" s="62">
        <v>1.027124773960217</v>
      </c>
      <c r="K19" s="25"/>
      <c r="L19" s="61">
        <f t="shared" si="3"/>
        <v>46.850488050373158</v>
      </c>
      <c r="M19" s="87">
        <f t="shared" si="4"/>
        <v>48.121296948665375</v>
      </c>
      <c r="N19" s="7"/>
    </row>
    <row r="20" spans="1:24" ht="17" x14ac:dyDescent="0.2">
      <c r="A20" s="24"/>
      <c r="B20" s="132" t="s">
        <v>201</v>
      </c>
      <c r="C20" s="24"/>
      <c r="D20" s="24"/>
      <c r="E20" s="24"/>
      <c r="F20" s="63">
        <f>$D$17+(3*$E$17)</f>
        <v>58.60873171791561</v>
      </c>
      <c r="G20" s="24"/>
      <c r="H20" s="7">
        <f t="shared" si="9"/>
        <v>15</v>
      </c>
      <c r="I20" s="25"/>
      <c r="J20" s="62">
        <v>1.5189873417721518</v>
      </c>
      <c r="K20" s="25"/>
      <c r="L20" s="61">
        <f t="shared" si="3"/>
        <v>46.952775345978466</v>
      </c>
      <c r="M20" s="87">
        <f t="shared" si="4"/>
        <v>71.32067141161285</v>
      </c>
      <c r="N20" s="7"/>
      <c r="P20" s="4"/>
      <c r="Q20" s="4" t="s">
        <v>19</v>
      </c>
      <c r="R20" s="4" t="s">
        <v>7</v>
      </c>
      <c r="S20" s="4" t="s">
        <v>20</v>
      </c>
      <c r="T20" s="4" t="s">
        <v>21</v>
      </c>
      <c r="U20" s="4" t="s">
        <v>22</v>
      </c>
      <c r="V20" s="4" t="s">
        <v>23</v>
      </c>
      <c r="W20" s="4" t="s">
        <v>24</v>
      </c>
      <c r="X20" s="4" t="s">
        <v>25</v>
      </c>
    </row>
    <row r="21" spans="1:24" ht="17" x14ac:dyDescent="0.2">
      <c r="A21" s="24"/>
      <c r="B21" s="132" t="s">
        <v>202</v>
      </c>
      <c r="C21" s="24"/>
      <c r="D21" s="24"/>
      <c r="E21" s="24"/>
      <c r="F21" s="63">
        <f>$D$17+(4*$E$17)</f>
        <v>60.472923539815874</v>
      </c>
      <c r="G21" s="24"/>
      <c r="H21" s="7">
        <f t="shared" si="9"/>
        <v>16</v>
      </c>
      <c r="I21" s="25"/>
      <c r="J21" s="62">
        <v>0.90415913200723319</v>
      </c>
      <c r="K21" s="25"/>
      <c r="L21" s="61">
        <f t="shared" si="3"/>
        <v>47.055062641583774</v>
      </c>
      <c r="M21" s="87">
        <f t="shared" si="4"/>
        <v>42.545264594560372</v>
      </c>
      <c r="N21" s="7"/>
      <c r="P21" t="s">
        <v>13</v>
      </c>
      <c r="Q21">
        <v>45.418465911898835</v>
      </c>
      <c r="R21">
        <v>1.1891403736555692</v>
      </c>
      <c r="S21">
        <v>38.194368737373431</v>
      </c>
      <c r="T21">
        <v>3.6100101435754554E-12</v>
      </c>
      <c r="U21">
        <v>42.768896044891385</v>
      </c>
      <c r="V21">
        <v>48.068035778906285</v>
      </c>
      <c r="W21">
        <v>42.768896044891385</v>
      </c>
      <c r="X21">
        <v>48.068035778906285</v>
      </c>
    </row>
    <row r="22" spans="1:24" ht="17" thickBot="1" x14ac:dyDescent="0.25">
      <c r="A22" s="24"/>
      <c r="B22" s="24"/>
      <c r="C22" s="24"/>
      <c r="D22" s="24"/>
      <c r="E22" s="24"/>
      <c r="F22" s="24"/>
      <c r="G22" s="24"/>
      <c r="H22" s="24"/>
      <c r="I22" s="25"/>
      <c r="J22" s="25"/>
      <c r="K22" s="25"/>
      <c r="M22" s="25"/>
      <c r="N22" s="7"/>
      <c r="P22" s="3" t="s">
        <v>257</v>
      </c>
      <c r="Q22" s="3">
        <v>0.10228729560530868</v>
      </c>
      <c r="R22" s="3">
        <v>0.16157236025571892</v>
      </c>
      <c r="S22" s="3">
        <v>0.63307421791338336</v>
      </c>
      <c r="T22" s="3">
        <v>0.54089154762544367</v>
      </c>
      <c r="U22" s="3">
        <v>-0.25771835768758161</v>
      </c>
      <c r="V22" s="3">
        <v>0.462292948898199</v>
      </c>
      <c r="W22" s="3">
        <v>-0.25771835768758161</v>
      </c>
      <c r="X22" s="3">
        <v>0.462292948898199</v>
      </c>
    </row>
    <row r="23" spans="1:24" x14ac:dyDescent="0.2">
      <c r="A23" s="24"/>
      <c r="B23" s="24"/>
      <c r="C23" s="24"/>
      <c r="D23" s="24"/>
      <c r="E23" s="24"/>
      <c r="F23" s="24"/>
      <c r="G23" s="133">
        <f>AVERAGE(G7:G17)</f>
        <v>16.79548844882488</v>
      </c>
      <c r="H23" s="24"/>
      <c r="I23" s="25"/>
      <c r="J23" s="25"/>
      <c r="K23" s="25"/>
      <c r="L23" s="25"/>
      <c r="M23" s="25"/>
      <c r="N23" s="133">
        <f>AVERAGE(N7:N17)</f>
        <v>1.383310231112642</v>
      </c>
    </row>
    <row r="24" spans="1:24" x14ac:dyDescent="0.2">
      <c r="A24" s="24"/>
      <c r="B24" s="24"/>
      <c r="C24" s="24"/>
      <c r="D24" s="24"/>
      <c r="E24" s="24"/>
      <c r="F24" s="24"/>
      <c r="G24" s="24"/>
      <c r="H24" s="24"/>
      <c r="I24" s="24"/>
      <c r="J24" s="24"/>
      <c r="K24" s="24"/>
      <c r="L24" s="24"/>
      <c r="M24" s="24"/>
      <c r="P24" s="260" t="s">
        <v>258</v>
      </c>
      <c r="Q24" s="260"/>
      <c r="R24" s="260"/>
      <c r="S24" s="260"/>
      <c r="T24" s="260"/>
    </row>
    <row r="25" spans="1:24" x14ac:dyDescent="0.2">
      <c r="A25" s="24"/>
      <c r="B25" s="24" t="s">
        <v>188</v>
      </c>
      <c r="C25" s="89">
        <f>AVERAGE(C6:C17)</f>
        <v>46.083333333333336</v>
      </c>
      <c r="D25" s="24"/>
      <c r="E25" s="24"/>
      <c r="F25" s="24"/>
      <c r="G25" s="24"/>
      <c r="H25" s="24"/>
      <c r="I25" s="24"/>
      <c r="J25" s="24"/>
      <c r="K25" s="24"/>
      <c r="L25" s="24"/>
      <c r="M25" s="24"/>
      <c r="P25" s="260"/>
      <c r="Q25" s="260"/>
      <c r="R25" s="260"/>
      <c r="S25" s="260"/>
      <c r="T25" s="260"/>
    </row>
    <row r="26" spans="1:24" x14ac:dyDescent="0.2">
      <c r="A26" s="24"/>
      <c r="B26" s="24"/>
      <c r="C26" s="24"/>
      <c r="D26" s="24"/>
      <c r="E26" s="24"/>
      <c r="F26" s="24"/>
      <c r="G26" s="24"/>
      <c r="H26" s="24"/>
      <c r="I26" s="24"/>
      <c r="J26" s="24"/>
      <c r="K26" s="24"/>
      <c r="L26" s="24"/>
      <c r="M26" s="24"/>
      <c r="P26" s="260"/>
      <c r="Q26" s="260"/>
      <c r="R26" s="260"/>
      <c r="S26" s="260"/>
      <c r="T26" s="260"/>
    </row>
    <row r="27" spans="1:24" x14ac:dyDescent="0.2">
      <c r="A27" s="24"/>
      <c r="B27" s="24"/>
      <c r="C27" s="24"/>
      <c r="D27" s="24"/>
      <c r="E27" s="24"/>
      <c r="F27" s="24"/>
      <c r="G27" s="24"/>
      <c r="H27" s="24"/>
      <c r="I27" s="24"/>
      <c r="J27" s="24"/>
      <c r="K27" s="24"/>
      <c r="L27" s="24"/>
      <c r="M27" s="24"/>
      <c r="P27" s="260"/>
      <c r="Q27" s="260"/>
      <c r="R27" s="260"/>
      <c r="S27" s="260"/>
      <c r="T27" s="260"/>
    </row>
    <row r="28" spans="1:24" x14ac:dyDescent="0.2">
      <c r="A28" s="24"/>
      <c r="B28" s="24"/>
      <c r="C28" s="24"/>
      <c r="D28" s="24"/>
      <c r="E28" s="24"/>
      <c r="F28" s="24"/>
      <c r="G28" s="24"/>
      <c r="H28" s="24"/>
      <c r="I28" s="24"/>
      <c r="J28" s="24"/>
      <c r="K28" s="24"/>
      <c r="L28" s="24"/>
      <c r="M28" s="24"/>
    </row>
    <row r="29" spans="1:24" x14ac:dyDescent="0.2">
      <c r="A29" s="24"/>
      <c r="B29" s="24"/>
      <c r="C29" s="24"/>
      <c r="D29" s="24"/>
      <c r="E29" s="24"/>
      <c r="F29" s="24"/>
      <c r="G29" s="24"/>
      <c r="H29" s="24"/>
      <c r="I29" s="24"/>
      <c r="J29" s="24"/>
      <c r="K29" s="24"/>
      <c r="L29" s="24"/>
      <c r="M29" s="24"/>
    </row>
    <row r="30" spans="1:24" x14ac:dyDescent="0.2">
      <c r="A30" s="24"/>
      <c r="B30" s="24"/>
      <c r="C30" s="24"/>
      <c r="D30" s="24"/>
      <c r="E30" s="24"/>
      <c r="F30" s="24"/>
      <c r="G30" s="24"/>
      <c r="H30" s="24"/>
      <c r="I30" s="24"/>
      <c r="J30" s="24"/>
      <c r="K30" s="24"/>
      <c r="L30" s="24"/>
      <c r="M30" s="24"/>
    </row>
    <row r="31" spans="1:24" x14ac:dyDescent="0.2">
      <c r="A31" s="24"/>
      <c r="B31" s="24"/>
      <c r="C31" s="24"/>
      <c r="D31" s="24"/>
      <c r="E31" s="24"/>
      <c r="F31" s="24"/>
      <c r="G31" s="24"/>
      <c r="H31" s="24"/>
      <c r="I31" s="24"/>
      <c r="J31" s="24"/>
      <c r="K31" s="24"/>
      <c r="L31" s="24"/>
      <c r="M31" s="24"/>
    </row>
    <row r="32" spans="1:24" x14ac:dyDescent="0.2">
      <c r="A32" s="24"/>
      <c r="B32" s="24"/>
      <c r="C32" s="24"/>
      <c r="D32" s="24"/>
      <c r="E32" s="24"/>
      <c r="F32" s="24"/>
      <c r="G32" s="24"/>
      <c r="H32" s="24"/>
      <c r="I32" s="24"/>
      <c r="J32" s="24"/>
      <c r="K32" s="24"/>
      <c r="L32" s="24"/>
      <c r="M32" s="24"/>
    </row>
    <row r="33" spans="1:13" x14ac:dyDescent="0.2">
      <c r="A33" s="24"/>
      <c r="B33" s="24"/>
      <c r="C33" s="24"/>
      <c r="D33" s="24"/>
      <c r="E33" s="24"/>
      <c r="F33" s="24"/>
      <c r="G33" s="24"/>
      <c r="H33" s="24"/>
      <c r="I33" s="24"/>
      <c r="J33" s="24"/>
      <c r="K33" s="24"/>
      <c r="L33" s="24"/>
      <c r="M33" s="24"/>
    </row>
    <row r="34" spans="1:13" x14ac:dyDescent="0.2">
      <c r="A34" s="24"/>
      <c r="B34" s="24"/>
      <c r="C34" s="24"/>
      <c r="D34" s="24"/>
      <c r="E34" s="24"/>
      <c r="F34" s="24"/>
      <c r="G34" s="24"/>
      <c r="H34" s="24"/>
      <c r="I34" s="24"/>
      <c r="J34" s="24"/>
      <c r="K34" s="24"/>
      <c r="L34" s="24"/>
      <c r="M34" s="24"/>
    </row>
    <row r="35" spans="1:13" x14ac:dyDescent="0.2">
      <c r="A35" s="24"/>
      <c r="B35" s="24"/>
      <c r="C35" s="24"/>
      <c r="D35" s="24"/>
      <c r="E35" s="24"/>
      <c r="F35" s="24"/>
      <c r="G35" s="24"/>
      <c r="H35" s="24"/>
      <c r="I35" s="24"/>
      <c r="J35" s="24"/>
      <c r="K35" s="24"/>
      <c r="L35" s="24"/>
      <c r="M35" s="24"/>
    </row>
    <row r="36" spans="1:13" x14ac:dyDescent="0.2">
      <c r="A36" s="24"/>
      <c r="B36" s="24"/>
      <c r="C36" s="24"/>
      <c r="D36" s="24"/>
      <c r="E36" s="24"/>
      <c r="F36" s="24"/>
      <c r="G36" s="24"/>
      <c r="H36" s="24"/>
      <c r="I36" s="24"/>
      <c r="J36" s="24"/>
      <c r="K36" s="24"/>
      <c r="L36" s="24"/>
      <c r="M36" s="24"/>
    </row>
  </sheetData>
  <mergeCells count="4">
    <mergeCell ref="P24:T27"/>
    <mergeCell ref="D4:G4"/>
    <mergeCell ref="I4:N4"/>
    <mergeCell ref="R8:R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E0123-17D0-044F-9E0E-1ED0A785E99C}">
  <dimension ref="A1:AE129"/>
  <sheetViews>
    <sheetView zoomScaleNormal="100" workbookViewId="0">
      <selection activeCell="C2" sqref="C2"/>
    </sheetView>
  </sheetViews>
  <sheetFormatPr baseColWidth="10" defaultRowHeight="16" x14ac:dyDescent="0.2"/>
  <cols>
    <col min="1" max="1" width="3.6640625" customWidth="1"/>
    <col min="9" max="9" width="11.6640625" bestFit="1" customWidth="1"/>
    <col min="11" max="11" width="4.33203125" customWidth="1"/>
    <col min="12" max="12" width="18.6640625" customWidth="1"/>
    <col min="13" max="13" width="13" customWidth="1"/>
    <col min="15" max="15" width="11.5" bestFit="1" customWidth="1"/>
    <col min="16" max="16" width="11.1640625" bestFit="1" customWidth="1"/>
    <col min="17" max="17" width="23.33203125" customWidth="1"/>
    <col min="18" max="18" width="11" bestFit="1" customWidth="1"/>
    <col min="19" max="19" width="11.6640625" bestFit="1" customWidth="1"/>
    <col min="23" max="23" width="16.33203125" bestFit="1" customWidth="1"/>
  </cols>
  <sheetData>
    <row r="1" spans="1:28" x14ac:dyDescent="0.2">
      <c r="A1" s="24"/>
      <c r="B1" s="24"/>
      <c r="C1" s="24"/>
      <c r="D1" s="24"/>
      <c r="E1" s="24"/>
      <c r="F1" s="24"/>
      <c r="G1" s="24"/>
      <c r="H1" s="24"/>
      <c r="I1" s="24"/>
      <c r="J1" s="24"/>
      <c r="K1" s="24"/>
      <c r="L1" s="24"/>
      <c r="M1" s="24"/>
      <c r="N1" s="24"/>
      <c r="O1" s="24"/>
      <c r="P1" s="24"/>
      <c r="Q1" s="24"/>
      <c r="R1" s="24"/>
      <c r="S1" s="24"/>
    </row>
    <row r="2" spans="1:28" x14ac:dyDescent="0.2">
      <c r="A2" s="24"/>
      <c r="B2" s="24"/>
      <c r="C2" s="24"/>
      <c r="D2" s="24"/>
      <c r="E2" s="24"/>
      <c r="F2" s="24"/>
      <c r="G2" s="24"/>
      <c r="H2" s="24"/>
      <c r="I2" s="24"/>
      <c r="J2" s="24"/>
      <c r="K2" s="24"/>
      <c r="L2" s="24"/>
      <c r="M2" s="24"/>
      <c r="N2" s="24"/>
    </row>
    <row r="3" spans="1:28" ht="20" customHeight="1" x14ac:dyDescent="0.2">
      <c r="A3" s="24"/>
      <c r="B3" s="24"/>
      <c r="C3" s="24"/>
      <c r="D3" s="24"/>
      <c r="E3" s="291" t="s">
        <v>71</v>
      </c>
      <c r="F3" s="291"/>
      <c r="G3" s="291"/>
      <c r="H3" s="39" t="s">
        <v>77</v>
      </c>
      <c r="I3" s="39">
        <v>3</v>
      </c>
      <c r="J3" s="24"/>
      <c r="K3" s="24"/>
      <c r="L3" s="291" t="s">
        <v>131</v>
      </c>
      <c r="M3" s="291"/>
      <c r="N3" s="24"/>
      <c r="O3" s="291" t="s">
        <v>266</v>
      </c>
      <c r="P3" s="291"/>
      <c r="Q3" s="291"/>
      <c r="R3" s="291"/>
      <c r="S3" s="291"/>
      <c r="T3" s="291"/>
    </row>
    <row r="4" spans="1:28" ht="34" x14ac:dyDescent="0.2">
      <c r="A4" s="24"/>
      <c r="B4" s="39" t="s">
        <v>0</v>
      </c>
      <c r="C4" s="39" t="s">
        <v>43</v>
      </c>
      <c r="D4" s="39" t="s">
        <v>125</v>
      </c>
      <c r="E4" s="1" t="s">
        <v>72</v>
      </c>
      <c r="F4" s="38" t="s">
        <v>73</v>
      </c>
      <c r="G4" s="38" t="s">
        <v>75</v>
      </c>
      <c r="H4" s="38" t="s">
        <v>76</v>
      </c>
      <c r="I4" s="38" t="s">
        <v>27</v>
      </c>
      <c r="J4" s="38" t="s">
        <v>33</v>
      </c>
      <c r="K4" s="24"/>
      <c r="L4" s="38" t="s">
        <v>132</v>
      </c>
      <c r="M4" s="38" t="s">
        <v>33</v>
      </c>
      <c r="N4" s="38" t="s">
        <v>85</v>
      </c>
      <c r="O4" s="38" t="s">
        <v>248</v>
      </c>
      <c r="P4" s="1" t="s">
        <v>187</v>
      </c>
      <c r="Q4" s="1" t="s">
        <v>251</v>
      </c>
      <c r="R4" s="70" t="s">
        <v>249</v>
      </c>
      <c r="S4" s="38" t="s">
        <v>27</v>
      </c>
      <c r="T4" s="38" t="s">
        <v>33</v>
      </c>
      <c r="W4" t="s">
        <v>2</v>
      </c>
    </row>
    <row r="5" spans="1:28" ht="17" thickBot="1" x14ac:dyDescent="0.25">
      <c r="A5" s="24"/>
      <c r="B5" s="69" t="s">
        <v>197</v>
      </c>
      <c r="C5" s="69" t="s">
        <v>259</v>
      </c>
      <c r="D5" s="94">
        <v>550</v>
      </c>
      <c r="E5" s="24"/>
      <c r="F5" s="24"/>
      <c r="G5" s="24"/>
      <c r="H5" s="24"/>
      <c r="I5" s="24"/>
      <c r="J5" s="24"/>
      <c r="K5" s="24"/>
      <c r="L5" s="24">
        <f>D5</f>
        <v>550</v>
      </c>
      <c r="M5" s="24"/>
      <c r="N5" s="24">
        <v>1</v>
      </c>
      <c r="O5" s="81">
        <f>(D5+D11+D17+D23+D29)/6</f>
        <v>961.66666666666663</v>
      </c>
      <c r="P5" s="114">
        <f>O5/$D$41</f>
        <v>0.76667552484719637</v>
      </c>
      <c r="Q5" s="81">
        <f>D5/P5</f>
        <v>717.38301559792035</v>
      </c>
      <c r="R5" s="81">
        <f>FORECAST(N5,$Q$5:$Q$34,$N$5:$N$34)</f>
        <v>651.53918844838324</v>
      </c>
      <c r="S5" s="81">
        <f>R5*P5</f>
        <v>499.51914926218058</v>
      </c>
    </row>
    <row r="6" spans="1:28" x14ac:dyDescent="0.2">
      <c r="A6" s="24"/>
      <c r="B6" s="69"/>
      <c r="C6" s="69" t="s">
        <v>260</v>
      </c>
      <c r="D6" s="94">
        <v>500</v>
      </c>
      <c r="E6" s="24"/>
      <c r="F6" s="24"/>
      <c r="G6" s="24"/>
      <c r="H6" s="24"/>
      <c r="I6" s="24"/>
      <c r="J6" s="24"/>
      <c r="K6" s="24"/>
      <c r="L6" s="81">
        <f t="shared" ref="L6:L35" si="0">($M$45*D5)+((1-$M$45)*L5)</f>
        <v>550</v>
      </c>
      <c r="M6" s="24"/>
      <c r="N6" s="24">
        <f>N5+1</f>
        <v>2</v>
      </c>
      <c r="O6" s="81">
        <f t="shared" ref="O6:O10" si="1">(D6+D12+D18+D24+D30)/6</f>
        <v>916.66666666666663</v>
      </c>
      <c r="P6" s="114">
        <f t="shared" ref="P6:P10" si="2">O6/$D$41</f>
        <v>0.73079989370183362</v>
      </c>
      <c r="Q6" s="81">
        <f t="shared" ref="Q6:Q34" si="3">D6/P6</f>
        <v>684.18181818181824</v>
      </c>
      <c r="R6" s="81">
        <f t="shared" ref="R6:R40" si="4">FORECAST(N6,$Q$5:$Q$34,$N$5:$N$34)</f>
        <v>710.41234786573614</v>
      </c>
      <c r="S6" s="81">
        <f t="shared" ref="S6:S40" si="5">R6*P6</f>
        <v>519.16926830475006</v>
      </c>
      <c r="T6" s="140">
        <f>(D6-S6)^2</f>
        <v>367.46084733949533</v>
      </c>
      <c r="W6" s="5" t="s">
        <v>3</v>
      </c>
      <c r="X6" s="5"/>
    </row>
    <row r="7" spans="1:28" x14ac:dyDescent="0.2">
      <c r="A7" s="24"/>
      <c r="B7" s="69"/>
      <c r="C7" s="69" t="s">
        <v>261</v>
      </c>
      <c r="D7" s="94">
        <v>650</v>
      </c>
      <c r="E7" s="81">
        <f>(D7+D6+D5)/3</f>
        <v>566.66666666666663</v>
      </c>
      <c r="F7" s="24"/>
      <c r="G7" s="24"/>
      <c r="H7" s="24"/>
      <c r="I7" s="24"/>
      <c r="J7" s="24"/>
      <c r="K7" s="24"/>
      <c r="L7" s="81">
        <f t="shared" si="0"/>
        <v>519.92001629315439</v>
      </c>
      <c r="M7" s="24"/>
      <c r="N7" s="24">
        <f t="shared" ref="N7:N40" si="6">N6+1</f>
        <v>3</v>
      </c>
      <c r="O7" s="81">
        <f t="shared" si="1"/>
        <v>1060</v>
      </c>
      <c r="P7" s="114">
        <f t="shared" si="2"/>
        <v>0.84507042253521136</v>
      </c>
      <c r="Q7" s="81">
        <f t="shared" si="3"/>
        <v>769.16666666666663</v>
      </c>
      <c r="R7" s="81">
        <f t="shared" si="4"/>
        <v>769.28550728308903</v>
      </c>
      <c r="S7" s="81">
        <f t="shared" si="5"/>
        <v>650.10042868993446</v>
      </c>
      <c r="T7" s="140">
        <f t="shared" ref="T7:T9" si="7">(D7-S7)^2</f>
        <v>1.0085921761952036E-2</v>
      </c>
      <c r="W7" s="6" t="s">
        <v>4</v>
      </c>
      <c r="X7" s="6">
        <v>0.97549747638456497</v>
      </c>
      <c r="Y7" s="292" t="s">
        <v>268</v>
      </c>
      <c r="Z7" s="292"/>
    </row>
    <row r="8" spans="1:28" x14ac:dyDescent="0.2">
      <c r="A8" s="24"/>
      <c r="B8" s="69"/>
      <c r="C8" s="69" t="s">
        <v>262</v>
      </c>
      <c r="D8" s="94">
        <v>600</v>
      </c>
      <c r="E8" s="81">
        <f t="shared" ref="E8:F34" si="8">(D8+D7+D6)/3</f>
        <v>583.33333333333337</v>
      </c>
      <c r="F8" s="24"/>
      <c r="G8" s="24"/>
      <c r="H8" s="24"/>
      <c r="I8" s="24"/>
      <c r="J8" s="24"/>
      <c r="K8" s="24"/>
      <c r="L8" s="81">
        <f t="shared" si="0"/>
        <v>598.17609210292756</v>
      </c>
      <c r="M8" s="24"/>
      <c r="N8" s="24">
        <f t="shared" si="6"/>
        <v>4</v>
      </c>
      <c r="O8" s="81">
        <f t="shared" si="1"/>
        <v>1000</v>
      </c>
      <c r="P8" s="114">
        <f t="shared" si="2"/>
        <v>0.79723624767472767</v>
      </c>
      <c r="Q8" s="81">
        <f t="shared" si="3"/>
        <v>752.59999999999991</v>
      </c>
      <c r="R8" s="81">
        <f t="shared" si="4"/>
        <v>828.15866670044193</v>
      </c>
      <c r="S8" s="81">
        <f t="shared" si="5"/>
        <v>660.23810791956578</v>
      </c>
      <c r="T8" s="140">
        <f t="shared" si="7"/>
        <v>3628.6296457292533</v>
      </c>
      <c r="W8" s="6" t="s">
        <v>5</v>
      </c>
      <c r="X8" s="6">
        <v>0.95159532643265488</v>
      </c>
      <c r="Y8" s="292"/>
      <c r="Z8" s="292"/>
    </row>
    <row r="9" spans="1:28" x14ac:dyDescent="0.2">
      <c r="A9" s="24"/>
      <c r="B9" s="69"/>
      <c r="C9" s="69" t="s">
        <v>263</v>
      </c>
      <c r="D9" s="94">
        <v>900</v>
      </c>
      <c r="E9" s="81">
        <f t="shared" si="8"/>
        <v>716.66666666666663</v>
      </c>
      <c r="F9" s="81">
        <f>(E9+E8+E7)/3</f>
        <v>622.22222222222217</v>
      </c>
      <c r="G9" s="114">
        <f>(2*E9)-F9</f>
        <v>811.11111111111109</v>
      </c>
      <c r="H9" s="114">
        <f>(2/($I$3-1))*(E9-F9)</f>
        <v>94.444444444444457</v>
      </c>
      <c r="I9" s="138" t="s">
        <v>32</v>
      </c>
      <c r="J9" s="24"/>
      <c r="K9" s="24"/>
      <c r="L9" s="81">
        <f t="shared" si="0"/>
        <v>599.27335449946202</v>
      </c>
      <c r="M9" s="24"/>
      <c r="N9" s="24">
        <f t="shared" si="6"/>
        <v>5</v>
      </c>
      <c r="O9" s="81">
        <f t="shared" si="1"/>
        <v>1250</v>
      </c>
      <c r="P9" s="114">
        <f t="shared" si="2"/>
        <v>0.99654530959340959</v>
      </c>
      <c r="Q9" s="81">
        <f t="shared" si="3"/>
        <v>903.11999999999989</v>
      </c>
      <c r="R9" s="81">
        <f t="shared" si="4"/>
        <v>887.03182611779494</v>
      </c>
      <c r="S9" s="81">
        <f t="shared" si="5"/>
        <v>883.96740577776541</v>
      </c>
      <c r="T9" s="140">
        <f t="shared" si="7"/>
        <v>257.04407749483005</v>
      </c>
      <c r="W9" t="s">
        <v>6</v>
      </c>
      <c r="X9">
        <v>0.94986658809096391</v>
      </c>
    </row>
    <row r="10" spans="1:28" x14ac:dyDescent="0.2">
      <c r="A10" s="24"/>
      <c r="B10" s="69"/>
      <c r="C10" s="69" t="s">
        <v>264</v>
      </c>
      <c r="D10" s="94">
        <v>700</v>
      </c>
      <c r="E10" s="81">
        <f t="shared" si="8"/>
        <v>733.33333333333337</v>
      </c>
      <c r="F10" s="81">
        <f t="shared" si="8"/>
        <v>677.77777777777783</v>
      </c>
      <c r="G10" s="114">
        <f t="shared" ref="G10:G34" si="9">(2*E10)-F10</f>
        <v>788.88888888888891</v>
      </c>
      <c r="H10" s="114">
        <f t="shared" ref="H10:H34" si="10">(2/($I$3-1))*(E10-F10)</f>
        <v>55.555555555555543</v>
      </c>
      <c r="I10" s="81">
        <f>G9+(H9*1)</f>
        <v>905.55555555555554</v>
      </c>
      <c r="J10" s="134">
        <f>POWER(D10-I10,2)</f>
        <v>42253.086419753083</v>
      </c>
      <c r="K10" s="24"/>
      <c r="L10" s="81">
        <f t="shared" si="0"/>
        <v>780.19040643687231</v>
      </c>
      <c r="M10" s="134">
        <f>POWER(D10-L10,2)</f>
        <v>6430.5012845107722</v>
      </c>
      <c r="N10" s="24">
        <f t="shared" si="6"/>
        <v>6</v>
      </c>
      <c r="O10" s="81">
        <f t="shared" si="1"/>
        <v>1083.3333333333333</v>
      </c>
      <c r="P10" s="114">
        <f t="shared" si="2"/>
        <v>0.86367260164762161</v>
      </c>
      <c r="Q10" s="81">
        <f t="shared" si="3"/>
        <v>810.49230769230769</v>
      </c>
      <c r="R10" s="81">
        <f t="shared" si="4"/>
        <v>945.90498553514772</v>
      </c>
      <c r="S10" s="81">
        <f t="shared" si="5"/>
        <v>816.95221976859693</v>
      </c>
      <c r="T10" s="140">
        <f>(D10-S10)^2</f>
        <v>13677.821708802196</v>
      </c>
      <c r="W10" t="s">
        <v>7</v>
      </c>
      <c r="X10">
        <v>118.96129272677858</v>
      </c>
    </row>
    <row r="11" spans="1:28" ht="17" thickBot="1" x14ac:dyDescent="0.25">
      <c r="A11" s="24"/>
      <c r="B11" s="69" t="s">
        <v>203</v>
      </c>
      <c r="C11" s="69" t="s">
        <v>259</v>
      </c>
      <c r="D11" s="94">
        <v>860</v>
      </c>
      <c r="E11" s="81">
        <f t="shared" si="8"/>
        <v>820</v>
      </c>
      <c r="F11" s="81">
        <f t="shared" si="8"/>
        <v>756.66666666666663</v>
      </c>
      <c r="G11" s="114">
        <f t="shared" si="9"/>
        <v>883.33333333333337</v>
      </c>
      <c r="H11" s="114">
        <f t="shared" si="10"/>
        <v>63.333333333333371</v>
      </c>
      <c r="I11" s="81">
        <f t="shared" ref="I11:I34" si="11">G10+(H10*1)</f>
        <v>844.44444444444446</v>
      </c>
      <c r="J11" s="134">
        <f t="shared" ref="J11:J34" si="12">POWER(D11-I11,2)</f>
        <v>241.97530864197492</v>
      </c>
      <c r="K11" s="24"/>
      <c r="L11" s="81">
        <f t="shared" si="0"/>
        <v>731.94788405554345</v>
      </c>
      <c r="M11" s="134">
        <f t="shared" ref="M11:M34" si="13">POWER(D11-L11,2)</f>
        <v>16397.344397852543</v>
      </c>
      <c r="N11" s="24">
        <f t="shared" si="6"/>
        <v>7</v>
      </c>
      <c r="O11" s="24"/>
      <c r="P11" s="114">
        <v>0.76667552484719637</v>
      </c>
      <c r="Q11" s="81">
        <f t="shared" si="3"/>
        <v>1121.7261698440209</v>
      </c>
      <c r="R11" s="81">
        <f t="shared" si="4"/>
        <v>1004.7781449525007</v>
      </c>
      <c r="S11" s="81">
        <f t="shared" si="5"/>
        <v>770.33881163645083</v>
      </c>
      <c r="T11" s="140">
        <f t="shared" ref="T11:T34" si="14">(D11-S11)^2</f>
        <v>8039.1286987638459</v>
      </c>
      <c r="W11" s="3" t="s">
        <v>8</v>
      </c>
      <c r="X11" s="3">
        <v>30</v>
      </c>
    </row>
    <row r="12" spans="1:28" x14ac:dyDescent="0.2">
      <c r="A12" s="24"/>
      <c r="B12" s="69"/>
      <c r="C12" s="69" t="s">
        <v>260</v>
      </c>
      <c r="D12" s="94">
        <v>800</v>
      </c>
      <c r="E12" s="81">
        <f t="shared" si="8"/>
        <v>786.66666666666663</v>
      </c>
      <c r="F12" s="81">
        <f t="shared" si="8"/>
        <v>780</v>
      </c>
      <c r="G12" s="114">
        <f t="shared" si="9"/>
        <v>793.33333333333326</v>
      </c>
      <c r="H12" s="114">
        <f t="shared" si="10"/>
        <v>6.6666666666666288</v>
      </c>
      <c r="I12" s="81">
        <f t="shared" si="11"/>
        <v>946.66666666666674</v>
      </c>
      <c r="J12" s="134">
        <f t="shared" si="12"/>
        <v>21511.111111111135</v>
      </c>
      <c r="K12" s="24"/>
      <c r="L12" s="81">
        <f t="shared" si="0"/>
        <v>808.98399528027062</v>
      </c>
      <c r="M12" s="134">
        <f t="shared" si="13"/>
        <v>80.712171195924768</v>
      </c>
      <c r="N12" s="24">
        <f t="shared" si="6"/>
        <v>8</v>
      </c>
      <c r="O12" s="24"/>
      <c r="P12" s="114">
        <v>0.73079989370183362</v>
      </c>
      <c r="Q12" s="81">
        <f t="shared" si="3"/>
        <v>1094.6909090909091</v>
      </c>
      <c r="R12" s="81">
        <f t="shared" si="4"/>
        <v>1063.6513043698535</v>
      </c>
      <c r="S12" s="81">
        <f t="shared" si="5"/>
        <v>777.31626016930568</v>
      </c>
      <c r="T12" s="140">
        <f t="shared" si="14"/>
        <v>514.55205270662805</v>
      </c>
    </row>
    <row r="13" spans="1:28" ht="17" thickBot="1" x14ac:dyDescent="0.25">
      <c r="A13" s="24"/>
      <c r="B13" s="69"/>
      <c r="C13" s="69" t="s">
        <v>261</v>
      </c>
      <c r="D13" s="94">
        <v>960</v>
      </c>
      <c r="E13" s="81">
        <f t="shared" si="8"/>
        <v>873.33333333333337</v>
      </c>
      <c r="F13" s="81">
        <f t="shared" si="8"/>
        <v>826.66666666666663</v>
      </c>
      <c r="G13" s="114">
        <f t="shared" si="9"/>
        <v>920.00000000000011</v>
      </c>
      <c r="H13" s="114">
        <f t="shared" si="10"/>
        <v>46.666666666666742</v>
      </c>
      <c r="I13" s="81">
        <f t="shared" si="11"/>
        <v>799.99999999999989</v>
      </c>
      <c r="J13" s="134">
        <f t="shared" si="12"/>
        <v>25600.000000000036</v>
      </c>
      <c r="K13" s="24"/>
      <c r="L13" s="81">
        <f t="shared" si="0"/>
        <v>803.57922664721229</v>
      </c>
      <c r="M13" s="134">
        <f t="shared" si="13"/>
        <v>24467.45833628418</v>
      </c>
      <c r="N13" s="24">
        <f t="shared" si="6"/>
        <v>9</v>
      </c>
      <c r="O13" s="24"/>
      <c r="P13" s="114">
        <v>0.84507042253521136</v>
      </c>
      <c r="Q13" s="81">
        <f t="shared" si="3"/>
        <v>1135.9999999999998</v>
      </c>
      <c r="R13" s="81">
        <f t="shared" si="4"/>
        <v>1122.5244637872065</v>
      </c>
      <c r="S13" s="81">
        <f t="shared" si="5"/>
        <v>948.61222291876618</v>
      </c>
      <c r="T13" s="140">
        <f t="shared" si="14"/>
        <v>129.68146685187429</v>
      </c>
      <c r="W13" t="s">
        <v>9</v>
      </c>
    </row>
    <row r="14" spans="1:28" x14ac:dyDescent="0.2">
      <c r="A14" s="24"/>
      <c r="B14" s="69"/>
      <c r="C14" s="69" t="s">
        <v>262</v>
      </c>
      <c r="D14" s="94">
        <v>900</v>
      </c>
      <c r="E14" s="81">
        <f t="shared" si="8"/>
        <v>886.66666666666663</v>
      </c>
      <c r="F14" s="81">
        <f t="shared" si="8"/>
        <v>848.8888888888888</v>
      </c>
      <c r="G14" s="114">
        <f t="shared" si="9"/>
        <v>924.44444444444446</v>
      </c>
      <c r="H14" s="114">
        <f t="shared" si="10"/>
        <v>37.777777777777828</v>
      </c>
      <c r="I14" s="81">
        <f t="shared" si="11"/>
        <v>966.66666666666686</v>
      </c>
      <c r="J14" s="134">
        <f t="shared" si="12"/>
        <v>4444.4444444444698</v>
      </c>
      <c r="K14" s="24"/>
      <c r="L14" s="81">
        <f t="shared" si="0"/>
        <v>897.68191292449319</v>
      </c>
      <c r="M14" s="134">
        <f t="shared" si="13"/>
        <v>5.3735276896317146</v>
      </c>
      <c r="N14" s="24">
        <f t="shared" si="6"/>
        <v>10</v>
      </c>
      <c r="O14" s="24"/>
      <c r="P14" s="114">
        <v>0.79723624767472767</v>
      </c>
      <c r="Q14" s="81">
        <f t="shared" si="3"/>
        <v>1128.8999999999999</v>
      </c>
      <c r="R14" s="81">
        <f t="shared" si="4"/>
        <v>1181.3976232045593</v>
      </c>
      <c r="S14" s="81">
        <f t="shared" si="5"/>
        <v>941.85300813544461</v>
      </c>
      <c r="T14" s="140">
        <f t="shared" si="14"/>
        <v>1751.6742899855928</v>
      </c>
      <c r="W14" s="4"/>
      <c r="X14" s="4" t="s">
        <v>14</v>
      </c>
      <c r="Y14" s="4" t="s">
        <v>15</v>
      </c>
      <c r="Z14" s="4" t="s">
        <v>16</v>
      </c>
      <c r="AA14" s="4" t="s">
        <v>17</v>
      </c>
      <c r="AB14" s="4" t="s">
        <v>18</v>
      </c>
    </row>
    <row r="15" spans="1:28" x14ac:dyDescent="0.2">
      <c r="A15" s="24"/>
      <c r="B15" s="69"/>
      <c r="C15" s="69" t="s">
        <v>263</v>
      </c>
      <c r="D15" s="94">
        <v>1200</v>
      </c>
      <c r="E15" s="81">
        <f t="shared" si="8"/>
        <v>1020</v>
      </c>
      <c r="F15" s="81">
        <f t="shared" si="8"/>
        <v>926.66666666666663</v>
      </c>
      <c r="G15" s="114">
        <f t="shared" si="9"/>
        <v>1113.3333333333335</v>
      </c>
      <c r="H15" s="114">
        <f t="shared" si="10"/>
        <v>93.333333333333371</v>
      </c>
      <c r="I15" s="81">
        <f t="shared" si="11"/>
        <v>962.22222222222229</v>
      </c>
      <c r="J15" s="134">
        <f t="shared" si="12"/>
        <v>56538.271604938243</v>
      </c>
      <c r="K15" s="24"/>
      <c r="L15" s="81">
        <f t="shared" si="0"/>
        <v>899.07647335373906</v>
      </c>
      <c r="M15" s="134">
        <f t="shared" si="13"/>
        <v>90554.968889222917</v>
      </c>
      <c r="N15" s="24">
        <f t="shared" si="6"/>
        <v>11</v>
      </c>
      <c r="O15" s="24"/>
      <c r="P15" s="114">
        <v>0.99654530959340959</v>
      </c>
      <c r="Q15" s="81">
        <f t="shared" si="3"/>
        <v>1204.1599999999999</v>
      </c>
      <c r="R15" s="81">
        <f t="shared" si="4"/>
        <v>1240.2707826219123</v>
      </c>
      <c r="S15" s="81">
        <f t="shared" si="5"/>
        <v>1235.986031047614</v>
      </c>
      <c r="T15" s="140">
        <f t="shared" si="14"/>
        <v>1294.9944305598392</v>
      </c>
      <c r="W15" t="s">
        <v>10</v>
      </c>
      <c r="X15">
        <v>1</v>
      </c>
      <c r="Y15">
        <v>7789944.9022579091</v>
      </c>
      <c r="Z15">
        <v>7789944.9022579091</v>
      </c>
      <c r="AA15">
        <v>550.45654017362028</v>
      </c>
      <c r="AB15">
        <v>5.9285259042552629E-20</v>
      </c>
    </row>
    <row r="16" spans="1:28" x14ac:dyDescent="0.2">
      <c r="A16" s="24"/>
      <c r="B16" s="69"/>
      <c r="C16" s="69" t="s">
        <v>264</v>
      </c>
      <c r="D16" s="94">
        <v>1000</v>
      </c>
      <c r="E16" s="81">
        <f t="shared" si="8"/>
        <v>1033.3333333333333</v>
      </c>
      <c r="F16" s="81">
        <f t="shared" si="8"/>
        <v>979.99999999999989</v>
      </c>
      <c r="G16" s="114">
        <f t="shared" si="9"/>
        <v>1086.6666666666665</v>
      </c>
      <c r="H16" s="114">
        <f t="shared" si="10"/>
        <v>53.333333333333371</v>
      </c>
      <c r="I16" s="81">
        <f t="shared" si="11"/>
        <v>1206.666666666667</v>
      </c>
      <c r="J16" s="134">
        <f t="shared" si="12"/>
        <v>42711.111111111233</v>
      </c>
      <c r="K16" s="24"/>
      <c r="L16" s="81">
        <f t="shared" si="0"/>
        <v>1080.1119689242601</v>
      </c>
      <c r="M16" s="134">
        <f t="shared" si="13"/>
        <v>6417.9275649216088</v>
      </c>
      <c r="N16" s="24">
        <f t="shared" si="6"/>
        <v>12</v>
      </c>
      <c r="O16" s="24"/>
      <c r="P16" s="114">
        <v>0.86367260164762161</v>
      </c>
      <c r="Q16" s="81">
        <f t="shared" si="3"/>
        <v>1157.8461538461538</v>
      </c>
      <c r="R16" s="81">
        <f t="shared" si="4"/>
        <v>1299.1439420392653</v>
      </c>
      <c r="S16" s="81">
        <f t="shared" si="5"/>
        <v>1122.0350283357991</v>
      </c>
      <c r="T16" s="140">
        <f t="shared" si="14"/>
        <v>14892.548140919289</v>
      </c>
      <c r="W16" t="s">
        <v>11</v>
      </c>
      <c r="X16">
        <v>28</v>
      </c>
      <c r="Y16">
        <v>396250.09668233641</v>
      </c>
      <c r="Z16">
        <v>14151.789167226301</v>
      </c>
    </row>
    <row r="17" spans="1:31" ht="17" thickBot="1" x14ac:dyDescent="0.25">
      <c r="A17" s="24"/>
      <c r="B17" s="69" t="s">
        <v>205</v>
      </c>
      <c r="C17" s="69" t="s">
        <v>259</v>
      </c>
      <c r="D17" s="94">
        <v>1150</v>
      </c>
      <c r="E17" s="81">
        <f t="shared" si="8"/>
        <v>1116.6666666666667</v>
      </c>
      <c r="F17" s="81">
        <f t="shared" si="8"/>
        <v>1056.6666666666667</v>
      </c>
      <c r="G17" s="114">
        <f t="shared" si="9"/>
        <v>1176.6666666666667</v>
      </c>
      <c r="H17" s="114">
        <f t="shared" si="10"/>
        <v>60</v>
      </c>
      <c r="I17" s="81">
        <f t="shared" si="11"/>
        <v>1140</v>
      </c>
      <c r="J17" s="134">
        <f t="shared" si="12"/>
        <v>100</v>
      </c>
      <c r="K17" s="24"/>
      <c r="L17" s="81">
        <f t="shared" si="0"/>
        <v>1031.9166345249587</v>
      </c>
      <c r="M17" s="134">
        <f t="shared" si="13"/>
        <v>13943.681201912181</v>
      </c>
      <c r="N17" s="24">
        <f t="shared" si="6"/>
        <v>13</v>
      </c>
      <c r="O17" s="24"/>
      <c r="P17" s="114">
        <v>0.76667552484719637</v>
      </c>
      <c r="Q17" s="81">
        <f t="shared" si="3"/>
        <v>1499.9826689774698</v>
      </c>
      <c r="R17" s="81">
        <f t="shared" si="4"/>
        <v>1358.0171014566181</v>
      </c>
      <c r="S17" s="81">
        <f t="shared" si="5"/>
        <v>1041.158474010721</v>
      </c>
      <c r="T17" s="140">
        <f t="shared" si="14"/>
        <v>11846.477779674904</v>
      </c>
      <c r="W17" s="3" t="s">
        <v>12</v>
      </c>
      <c r="X17" s="3">
        <v>29</v>
      </c>
      <c r="Y17" s="3">
        <v>8186194.9989402452</v>
      </c>
      <c r="Z17" s="3"/>
      <c r="AA17" s="3"/>
      <c r="AB17" s="3"/>
    </row>
    <row r="18" spans="1:31" ht="17" thickBot="1" x14ac:dyDescent="0.25">
      <c r="A18" s="24"/>
      <c r="B18" s="69"/>
      <c r="C18" s="69" t="s">
        <v>260</v>
      </c>
      <c r="D18" s="94">
        <v>1100</v>
      </c>
      <c r="E18" s="81">
        <f t="shared" si="8"/>
        <v>1083.3333333333333</v>
      </c>
      <c r="F18" s="81">
        <f t="shared" si="8"/>
        <v>1077.7777777777776</v>
      </c>
      <c r="G18" s="114">
        <f t="shared" si="9"/>
        <v>1088.8888888888889</v>
      </c>
      <c r="H18" s="114">
        <f t="shared" si="10"/>
        <v>5.5555555555556566</v>
      </c>
      <c r="I18" s="81">
        <f t="shared" si="11"/>
        <v>1236.6666666666667</v>
      </c>
      <c r="J18" s="134">
        <f t="shared" si="12"/>
        <v>18677.777777777799</v>
      </c>
      <c r="K18" s="24"/>
      <c r="L18" s="81">
        <f t="shared" si="0"/>
        <v>1102.9555487157336</v>
      </c>
      <c r="M18" s="134">
        <f t="shared" si="13"/>
        <v>8.7352682110744411</v>
      </c>
      <c r="N18" s="24">
        <f t="shared" si="6"/>
        <v>14</v>
      </c>
      <c r="O18" s="24"/>
      <c r="P18" s="114">
        <v>0.73079989370183362</v>
      </c>
      <c r="Q18" s="81">
        <f t="shared" si="3"/>
        <v>1505.2</v>
      </c>
      <c r="R18" s="81">
        <f t="shared" si="4"/>
        <v>1416.8902608739709</v>
      </c>
      <c r="S18" s="81">
        <f t="shared" si="5"/>
        <v>1035.4632520338612</v>
      </c>
      <c r="T18" s="140">
        <f t="shared" si="14"/>
        <v>4164.9918380449226</v>
      </c>
    </row>
    <row r="19" spans="1:31" x14ac:dyDescent="0.2">
      <c r="A19" s="24"/>
      <c r="B19" s="69"/>
      <c r="C19" s="69" t="s">
        <v>261</v>
      </c>
      <c r="D19" s="94">
        <v>1250</v>
      </c>
      <c r="E19" s="81">
        <f t="shared" si="8"/>
        <v>1166.6666666666667</v>
      </c>
      <c r="F19" s="81">
        <f t="shared" si="8"/>
        <v>1122.2222222222224</v>
      </c>
      <c r="G19" s="114">
        <f t="shared" si="9"/>
        <v>1211.1111111111111</v>
      </c>
      <c r="H19" s="114">
        <f t="shared" si="10"/>
        <v>44.444444444444343</v>
      </c>
      <c r="I19" s="81">
        <f t="shared" si="11"/>
        <v>1094.4444444444446</v>
      </c>
      <c r="J19" s="134">
        <f t="shared" si="12"/>
        <v>24197.530864197492</v>
      </c>
      <c r="K19" s="24"/>
      <c r="L19" s="81">
        <f t="shared" si="0"/>
        <v>1101.1774915714525</v>
      </c>
      <c r="M19" s="134">
        <f t="shared" si="13"/>
        <v>22148.139014965094</v>
      </c>
      <c r="N19" s="24">
        <f t="shared" si="6"/>
        <v>15</v>
      </c>
      <c r="O19" s="24"/>
      <c r="P19" s="114">
        <v>0.84507042253521136</v>
      </c>
      <c r="Q19" s="81">
        <f t="shared" si="3"/>
        <v>1479.1666666666665</v>
      </c>
      <c r="R19" s="81">
        <f t="shared" si="4"/>
        <v>1475.7634202913239</v>
      </c>
      <c r="S19" s="81">
        <f t="shared" si="5"/>
        <v>1247.1240171475979</v>
      </c>
      <c r="T19" s="140">
        <f t="shared" si="14"/>
        <v>8.2712773673109368</v>
      </c>
      <c r="W19" s="4"/>
      <c r="X19" s="4" t="s">
        <v>19</v>
      </c>
      <c r="Y19" s="4" t="s">
        <v>7</v>
      </c>
      <c r="Z19" s="4" t="s">
        <v>20</v>
      </c>
      <c r="AA19" s="4" t="s">
        <v>21</v>
      </c>
      <c r="AB19" s="4" t="s">
        <v>22</v>
      </c>
      <c r="AC19" s="4" t="s">
        <v>23</v>
      </c>
      <c r="AD19" s="4" t="s">
        <v>24</v>
      </c>
      <c r="AE19" s="4" t="s">
        <v>25</v>
      </c>
    </row>
    <row r="20" spans="1:31" x14ac:dyDescent="0.2">
      <c r="A20" s="24"/>
      <c r="B20" s="69"/>
      <c r="C20" s="69" t="s">
        <v>262</v>
      </c>
      <c r="D20" s="94">
        <v>1200</v>
      </c>
      <c r="E20" s="81">
        <f t="shared" si="8"/>
        <v>1183.3333333333333</v>
      </c>
      <c r="F20" s="81">
        <f t="shared" si="8"/>
        <v>1144.4444444444443</v>
      </c>
      <c r="G20" s="114">
        <f t="shared" si="9"/>
        <v>1222.2222222222222</v>
      </c>
      <c r="H20" s="114">
        <f t="shared" si="10"/>
        <v>38.888888888888914</v>
      </c>
      <c r="I20" s="81">
        <f t="shared" si="11"/>
        <v>1255.5555555555554</v>
      </c>
      <c r="J20" s="134">
        <f t="shared" si="12"/>
        <v>3086.4197530864058</v>
      </c>
      <c r="K20" s="24"/>
      <c r="L20" s="81">
        <f t="shared" si="0"/>
        <v>1190.7090641463044</v>
      </c>
      <c r="M20" s="134">
        <f t="shared" si="13"/>
        <v>86.321489037486401</v>
      </c>
      <c r="N20" s="24">
        <f t="shared" si="6"/>
        <v>16</v>
      </c>
      <c r="O20" s="24"/>
      <c r="P20" s="114">
        <v>0.79723624767472767</v>
      </c>
      <c r="Q20" s="81">
        <f t="shared" si="3"/>
        <v>1505.1999999999998</v>
      </c>
      <c r="R20" s="81">
        <f t="shared" si="4"/>
        <v>1534.6365797086769</v>
      </c>
      <c r="S20" s="81">
        <f t="shared" si="5"/>
        <v>1223.4679083513238</v>
      </c>
      <c r="T20" s="140">
        <f t="shared" si="14"/>
        <v>550.74272238613264</v>
      </c>
      <c r="W20" t="s">
        <v>13</v>
      </c>
      <c r="X20">
        <v>592.66602903103046</v>
      </c>
      <c r="Y20">
        <v>44.547769509569292</v>
      </c>
      <c r="Z20">
        <v>13.304056197554853</v>
      </c>
      <c r="AA20">
        <v>1.2584397863382467E-13</v>
      </c>
      <c r="AB20">
        <v>501.41405981658028</v>
      </c>
      <c r="AC20">
        <v>683.91799824548059</v>
      </c>
      <c r="AD20">
        <v>501.41405981658028</v>
      </c>
      <c r="AE20">
        <v>683.91799824548059</v>
      </c>
    </row>
    <row r="21" spans="1:31" ht="17" thickBot="1" x14ac:dyDescent="0.25">
      <c r="A21" s="24"/>
      <c r="B21" s="69"/>
      <c r="C21" s="69" t="s">
        <v>263</v>
      </c>
      <c r="D21" s="94">
        <v>1500</v>
      </c>
      <c r="E21" s="81">
        <f t="shared" si="8"/>
        <v>1316.6666666666667</v>
      </c>
      <c r="F21" s="81">
        <f t="shared" si="8"/>
        <v>1222.2222222222224</v>
      </c>
      <c r="G21" s="114">
        <f t="shared" si="9"/>
        <v>1411.1111111111111</v>
      </c>
      <c r="H21" s="114">
        <f t="shared" si="10"/>
        <v>94.444444444444343</v>
      </c>
      <c r="I21" s="81">
        <f t="shared" si="11"/>
        <v>1261.1111111111111</v>
      </c>
      <c r="J21" s="134">
        <f t="shared" si="12"/>
        <v>57067.901234567915</v>
      </c>
      <c r="K21" s="24"/>
      <c r="L21" s="81">
        <f t="shared" si="0"/>
        <v>1196.2984881283146</v>
      </c>
      <c r="M21" s="134">
        <f t="shared" si="13"/>
        <v>92234.608313147473</v>
      </c>
      <c r="N21" s="24">
        <f t="shared" si="6"/>
        <v>17</v>
      </c>
      <c r="O21" s="24"/>
      <c r="P21" s="114">
        <v>0.99654530959340959</v>
      </c>
      <c r="Q21" s="81">
        <f t="shared" si="3"/>
        <v>1505.1999999999998</v>
      </c>
      <c r="R21" s="81">
        <f t="shared" si="4"/>
        <v>1593.5097391260297</v>
      </c>
      <c r="S21" s="81">
        <f t="shared" si="5"/>
        <v>1588.0046563174626</v>
      </c>
      <c r="T21" s="140">
        <f t="shared" si="14"/>
        <v>7744.8195335547107</v>
      </c>
      <c r="W21" s="3" t="s">
        <v>257</v>
      </c>
      <c r="X21" s="3">
        <v>58.873159417352888</v>
      </c>
      <c r="Y21" s="3">
        <v>2.509318709503169</v>
      </c>
      <c r="Z21" s="3">
        <v>23.461810249288519</v>
      </c>
      <c r="AA21" s="3">
        <v>5.9285259042553472E-20</v>
      </c>
      <c r="AB21" s="3">
        <v>53.73305305176617</v>
      </c>
      <c r="AC21" s="3">
        <v>64.013265782939612</v>
      </c>
      <c r="AD21" s="3">
        <v>53.73305305176617</v>
      </c>
      <c r="AE21" s="3">
        <v>64.013265782939612</v>
      </c>
    </row>
    <row r="22" spans="1:31" x14ac:dyDescent="0.2">
      <c r="A22" s="24"/>
      <c r="B22" s="69"/>
      <c r="C22" s="69" t="s">
        <v>264</v>
      </c>
      <c r="D22" s="94">
        <v>1300</v>
      </c>
      <c r="E22" s="81">
        <f t="shared" si="8"/>
        <v>1333.3333333333333</v>
      </c>
      <c r="F22" s="81">
        <f t="shared" si="8"/>
        <v>1277.7777777777776</v>
      </c>
      <c r="G22" s="114">
        <f t="shared" si="9"/>
        <v>1388.8888888888889</v>
      </c>
      <c r="H22" s="114">
        <f t="shared" si="10"/>
        <v>55.555555555555657</v>
      </c>
      <c r="I22" s="81">
        <f t="shared" si="11"/>
        <v>1505.5555555555554</v>
      </c>
      <c r="J22" s="134">
        <f t="shared" si="12"/>
        <v>42253.086419753032</v>
      </c>
      <c r="K22" s="24"/>
      <c r="L22" s="81">
        <f t="shared" si="0"/>
        <v>1379.0052187052081</v>
      </c>
      <c r="M22" s="134">
        <f t="shared" si="13"/>
        <v>6241.8245826577649</v>
      </c>
      <c r="N22" s="24">
        <f t="shared" si="6"/>
        <v>18</v>
      </c>
      <c r="O22" s="24"/>
      <c r="P22" s="114">
        <v>0.86367260164762161</v>
      </c>
      <c r="Q22" s="81">
        <f t="shared" si="3"/>
        <v>1505.2</v>
      </c>
      <c r="R22" s="81">
        <f t="shared" si="4"/>
        <v>1652.3828985433827</v>
      </c>
      <c r="S22" s="81">
        <f t="shared" si="5"/>
        <v>1427.1178369030013</v>
      </c>
      <c r="T22" s="140">
        <f t="shared" si="14"/>
        <v>16158.94445889803</v>
      </c>
    </row>
    <row r="23" spans="1:31" ht="16" customHeight="1" x14ac:dyDescent="0.2">
      <c r="A23" s="24"/>
      <c r="B23" s="69" t="s">
        <v>207</v>
      </c>
      <c r="C23" s="69" t="s">
        <v>259</v>
      </c>
      <c r="D23" s="94">
        <v>1450</v>
      </c>
      <c r="E23" s="81">
        <f t="shared" si="8"/>
        <v>1416.6666666666667</v>
      </c>
      <c r="F23" s="81">
        <f t="shared" si="8"/>
        <v>1355.5555555555557</v>
      </c>
      <c r="G23" s="114">
        <f t="shared" si="9"/>
        <v>1477.7777777777778</v>
      </c>
      <c r="H23" s="114">
        <f t="shared" si="10"/>
        <v>61.111111111111086</v>
      </c>
      <c r="I23" s="81">
        <f t="shared" si="11"/>
        <v>1444.4444444444446</v>
      </c>
      <c r="J23" s="134">
        <f t="shared" si="12"/>
        <v>30.864197530862793</v>
      </c>
      <c r="K23" s="24"/>
      <c r="L23" s="81">
        <f t="shared" si="0"/>
        <v>1331.4757048770393</v>
      </c>
      <c r="M23" s="134">
        <f t="shared" si="13"/>
        <v>14048.008534394678</v>
      </c>
      <c r="N23" s="24">
        <f t="shared" si="6"/>
        <v>19</v>
      </c>
      <c r="O23" s="24"/>
      <c r="P23" s="114">
        <v>0.76667552484719637</v>
      </c>
      <c r="Q23" s="81">
        <f t="shared" si="3"/>
        <v>1891.2824956672443</v>
      </c>
      <c r="R23" s="81">
        <f t="shared" si="4"/>
        <v>1711.2560579607355</v>
      </c>
      <c r="S23" s="81">
        <f t="shared" si="5"/>
        <v>1311.9781363849911</v>
      </c>
      <c r="T23" s="140">
        <f t="shared" si="14"/>
        <v>19050.034835760118</v>
      </c>
      <c r="W23" s="265" t="s">
        <v>267</v>
      </c>
      <c r="X23" s="265"/>
      <c r="Y23" s="265"/>
      <c r="Z23" s="265"/>
      <c r="AA23" s="265"/>
      <c r="AB23" s="265"/>
      <c r="AC23" s="265"/>
      <c r="AD23" s="265"/>
      <c r="AE23" s="265"/>
    </row>
    <row r="24" spans="1:31" x14ac:dyDescent="0.2">
      <c r="A24" s="24"/>
      <c r="B24" s="69"/>
      <c r="C24" s="69" t="s">
        <v>260</v>
      </c>
      <c r="D24" s="94">
        <v>1400</v>
      </c>
      <c r="E24" s="81">
        <f t="shared" si="8"/>
        <v>1383.3333333333333</v>
      </c>
      <c r="F24" s="81">
        <f t="shared" si="8"/>
        <v>1377.7777777777776</v>
      </c>
      <c r="G24" s="114">
        <f t="shared" si="9"/>
        <v>1388.8888888888889</v>
      </c>
      <c r="H24" s="114">
        <f t="shared" si="10"/>
        <v>5.5555555555556566</v>
      </c>
      <c r="I24" s="81">
        <f t="shared" si="11"/>
        <v>1538.8888888888889</v>
      </c>
      <c r="J24" s="134">
        <f t="shared" si="12"/>
        <v>19290.12345679013</v>
      </c>
      <c r="K24" s="24"/>
      <c r="L24" s="81">
        <f t="shared" si="0"/>
        <v>1402.7798822003197</v>
      </c>
      <c r="M24" s="134">
        <f t="shared" si="13"/>
        <v>7.7277450476540848</v>
      </c>
      <c r="N24" s="24">
        <f t="shared" si="6"/>
        <v>20</v>
      </c>
      <c r="O24" s="24"/>
      <c r="P24" s="114">
        <v>0.73079989370183362</v>
      </c>
      <c r="Q24" s="81">
        <f t="shared" si="3"/>
        <v>1915.7090909090909</v>
      </c>
      <c r="R24" s="81">
        <f t="shared" si="4"/>
        <v>1770.1292173780885</v>
      </c>
      <c r="S24" s="81">
        <f t="shared" si="5"/>
        <v>1293.6102438984169</v>
      </c>
      <c r="T24" s="140">
        <f t="shared" si="14"/>
        <v>11318.780203354336</v>
      </c>
      <c r="W24" s="265"/>
      <c r="X24" s="265"/>
      <c r="Y24" s="265"/>
      <c r="Z24" s="265"/>
      <c r="AA24" s="265"/>
      <c r="AB24" s="265"/>
      <c r="AC24" s="265"/>
      <c r="AD24" s="265"/>
      <c r="AE24" s="265"/>
    </row>
    <row r="25" spans="1:31" x14ac:dyDescent="0.2">
      <c r="A25" s="24"/>
      <c r="B25" s="69"/>
      <c r="C25" s="69" t="s">
        <v>261</v>
      </c>
      <c r="D25" s="94">
        <v>1550</v>
      </c>
      <c r="E25" s="81">
        <f t="shared" si="8"/>
        <v>1466.6666666666667</v>
      </c>
      <c r="F25" s="81">
        <f t="shared" si="8"/>
        <v>1422.2222222222224</v>
      </c>
      <c r="G25" s="114">
        <f t="shared" si="9"/>
        <v>1511.1111111111111</v>
      </c>
      <c r="H25" s="114">
        <f t="shared" si="10"/>
        <v>44.444444444444343</v>
      </c>
      <c r="I25" s="81">
        <f t="shared" si="11"/>
        <v>1394.4444444444446</v>
      </c>
      <c r="J25" s="134">
        <f t="shared" si="12"/>
        <v>24197.530864197492</v>
      </c>
      <c r="K25" s="24"/>
      <c r="L25" s="81">
        <f t="shared" si="0"/>
        <v>1401.1075059744685</v>
      </c>
      <c r="M25" s="134">
        <f t="shared" si="13"/>
        <v>22168.974777142936</v>
      </c>
      <c r="N25" s="24">
        <f t="shared" si="6"/>
        <v>21</v>
      </c>
      <c r="O25" s="24"/>
      <c r="P25" s="114">
        <v>0.84507042253521136</v>
      </c>
      <c r="Q25" s="81">
        <f t="shared" si="3"/>
        <v>1834.1666666666665</v>
      </c>
      <c r="R25" s="81">
        <f t="shared" si="4"/>
        <v>1829.0023767954413</v>
      </c>
      <c r="S25" s="81">
        <f t="shared" si="5"/>
        <v>1545.6358113764295</v>
      </c>
      <c r="T25" s="140">
        <f t="shared" si="14"/>
        <v>19.046142342102165</v>
      </c>
      <c r="W25" s="265"/>
      <c r="X25" s="265"/>
      <c r="Y25" s="265"/>
      <c r="Z25" s="265"/>
      <c r="AA25" s="265"/>
      <c r="AB25" s="265"/>
      <c r="AC25" s="265"/>
      <c r="AD25" s="265"/>
      <c r="AE25" s="265"/>
    </row>
    <row r="26" spans="1:31" x14ac:dyDescent="0.2">
      <c r="A26" s="24"/>
      <c r="B26" s="69"/>
      <c r="C26" s="69" t="s">
        <v>262</v>
      </c>
      <c r="D26" s="94">
        <v>1500</v>
      </c>
      <c r="E26" s="81">
        <f t="shared" si="8"/>
        <v>1483.3333333333333</v>
      </c>
      <c r="F26" s="81">
        <f t="shared" si="8"/>
        <v>1444.4444444444443</v>
      </c>
      <c r="G26" s="114">
        <f t="shared" si="9"/>
        <v>1522.2222222222222</v>
      </c>
      <c r="H26" s="114">
        <f t="shared" si="10"/>
        <v>38.888888888888914</v>
      </c>
      <c r="I26" s="81">
        <f t="shared" si="11"/>
        <v>1555.5555555555554</v>
      </c>
      <c r="J26" s="134">
        <f t="shared" si="12"/>
        <v>3086.4197530864058</v>
      </c>
      <c r="K26" s="24"/>
      <c r="L26" s="81">
        <f t="shared" si="0"/>
        <v>1490.6811818616604</v>
      </c>
      <c r="M26" s="134">
        <f t="shared" si="13"/>
        <v>86.84037149544649</v>
      </c>
      <c r="N26" s="24">
        <f t="shared" si="6"/>
        <v>22</v>
      </c>
      <c r="O26" s="24"/>
      <c r="P26" s="114">
        <v>0.79723624767472767</v>
      </c>
      <c r="Q26" s="81">
        <f t="shared" si="3"/>
        <v>1881.4999999999998</v>
      </c>
      <c r="R26" s="81">
        <f t="shared" si="4"/>
        <v>1887.8755362127943</v>
      </c>
      <c r="S26" s="81">
        <f t="shared" si="5"/>
        <v>1505.0828085672026</v>
      </c>
      <c r="T26" s="140">
        <f t="shared" si="14"/>
        <v>25.83494293082834</v>
      </c>
      <c r="W26" s="265"/>
      <c r="X26" s="265"/>
      <c r="Y26" s="265"/>
      <c r="Z26" s="265"/>
      <c r="AA26" s="265"/>
      <c r="AB26" s="265"/>
      <c r="AC26" s="265"/>
      <c r="AD26" s="265"/>
      <c r="AE26" s="265"/>
    </row>
    <row r="27" spans="1:31" x14ac:dyDescent="0.2">
      <c r="A27" s="24"/>
      <c r="B27" s="69"/>
      <c r="C27" s="69" t="s">
        <v>263</v>
      </c>
      <c r="D27" s="94">
        <v>1800</v>
      </c>
      <c r="E27" s="81">
        <f t="shared" si="8"/>
        <v>1616.6666666666667</v>
      </c>
      <c r="F27" s="81">
        <f t="shared" si="8"/>
        <v>1522.2222222222224</v>
      </c>
      <c r="G27" s="114">
        <f t="shared" si="9"/>
        <v>1711.1111111111111</v>
      </c>
      <c r="H27" s="114">
        <f t="shared" si="10"/>
        <v>94.444444444444343</v>
      </c>
      <c r="I27" s="81">
        <f t="shared" si="11"/>
        <v>1561.1111111111111</v>
      </c>
      <c r="J27" s="134">
        <f t="shared" si="12"/>
        <v>57067.901234567915</v>
      </c>
      <c r="K27" s="24"/>
      <c r="L27" s="81">
        <f t="shared" si="0"/>
        <v>1496.2873798170267</v>
      </c>
      <c r="M27" s="134">
        <f t="shared" si="13"/>
        <v>92241.355658407003</v>
      </c>
      <c r="N27" s="24">
        <f t="shared" si="6"/>
        <v>23</v>
      </c>
      <c r="O27" s="24"/>
      <c r="P27" s="114">
        <v>0.99654530959340959</v>
      </c>
      <c r="Q27" s="81">
        <f t="shared" si="3"/>
        <v>1806.2399999999998</v>
      </c>
      <c r="R27" s="81">
        <f t="shared" si="4"/>
        <v>1946.748695630147</v>
      </c>
      <c r="S27" s="81">
        <f t="shared" si="5"/>
        <v>1940.0232815873112</v>
      </c>
      <c r="T27" s="140">
        <f t="shared" si="14"/>
        <v>19606.519386479446</v>
      </c>
      <c r="W27" s="265"/>
      <c r="X27" s="265"/>
      <c r="Y27" s="265"/>
      <c r="Z27" s="265"/>
      <c r="AA27" s="265"/>
      <c r="AB27" s="265"/>
      <c r="AC27" s="265"/>
      <c r="AD27" s="265"/>
      <c r="AE27" s="265"/>
    </row>
    <row r="28" spans="1:31" x14ac:dyDescent="0.2">
      <c r="A28" s="24"/>
      <c r="B28" s="69"/>
      <c r="C28" s="69" t="s">
        <v>264</v>
      </c>
      <c r="D28" s="94">
        <v>1600</v>
      </c>
      <c r="E28" s="81">
        <f t="shared" si="8"/>
        <v>1633.3333333333333</v>
      </c>
      <c r="F28" s="81">
        <f t="shared" si="8"/>
        <v>1577.7777777777776</v>
      </c>
      <c r="G28" s="114">
        <f t="shared" si="9"/>
        <v>1688.8888888888889</v>
      </c>
      <c r="H28" s="114">
        <f t="shared" si="10"/>
        <v>55.555555555555657</v>
      </c>
      <c r="I28" s="81">
        <f t="shared" si="11"/>
        <v>1805.5555555555554</v>
      </c>
      <c r="J28" s="134">
        <f t="shared" si="12"/>
        <v>42253.086419753032</v>
      </c>
      <c r="K28" s="24"/>
      <c r="L28" s="81">
        <f t="shared" si="0"/>
        <v>1679.000793150371</v>
      </c>
      <c r="M28" s="134">
        <f t="shared" si="13"/>
        <v>6241.125318387707</v>
      </c>
      <c r="N28" s="24">
        <f t="shared" si="6"/>
        <v>24</v>
      </c>
      <c r="O28" s="24"/>
      <c r="P28" s="114">
        <v>0.86367260164762161</v>
      </c>
      <c r="Q28" s="81">
        <f t="shared" si="3"/>
        <v>1852.5538461538461</v>
      </c>
      <c r="R28" s="81">
        <f t="shared" si="4"/>
        <v>2005.6218550475</v>
      </c>
      <c r="S28" s="81">
        <f t="shared" si="5"/>
        <v>1732.2006454702034</v>
      </c>
      <c r="T28" s="140">
        <f t="shared" si="14"/>
        <v>17477.010662738419</v>
      </c>
      <c r="W28" s="265"/>
      <c r="X28" s="265"/>
      <c r="Y28" s="265"/>
      <c r="Z28" s="265"/>
      <c r="AA28" s="265"/>
      <c r="AB28" s="265"/>
      <c r="AC28" s="265"/>
      <c r="AD28" s="265"/>
      <c r="AE28" s="265"/>
    </row>
    <row r="29" spans="1:31" x14ac:dyDescent="0.2">
      <c r="A29" s="24"/>
      <c r="B29" s="69" t="s">
        <v>199</v>
      </c>
      <c r="C29" s="69" t="s">
        <v>259</v>
      </c>
      <c r="D29" s="94">
        <v>1760</v>
      </c>
      <c r="E29" s="81">
        <f t="shared" si="8"/>
        <v>1720</v>
      </c>
      <c r="F29" s="81">
        <f t="shared" si="8"/>
        <v>1656.6666666666667</v>
      </c>
      <c r="G29" s="114">
        <f t="shared" si="9"/>
        <v>1783.3333333333333</v>
      </c>
      <c r="H29" s="114">
        <f t="shared" si="10"/>
        <v>63.333333333333258</v>
      </c>
      <c r="I29" s="81">
        <f t="shared" si="11"/>
        <v>1744.4444444444446</v>
      </c>
      <c r="J29" s="134">
        <f t="shared" si="12"/>
        <v>241.97530864197137</v>
      </c>
      <c r="K29" s="24"/>
      <c r="L29" s="81">
        <f t="shared" si="0"/>
        <v>1631.4739417345504</v>
      </c>
      <c r="M29" s="134">
        <f t="shared" si="13"/>
        <v>16518.947653253745</v>
      </c>
      <c r="N29" s="24">
        <f t="shared" si="6"/>
        <v>25</v>
      </c>
      <c r="O29" s="24"/>
      <c r="P29" s="114">
        <v>0.76667552484719637</v>
      </c>
      <c r="Q29" s="81">
        <f t="shared" si="3"/>
        <v>2295.6256499133451</v>
      </c>
      <c r="R29" s="81">
        <f t="shared" si="4"/>
        <v>2064.4950144648528</v>
      </c>
      <c r="S29" s="81">
        <f t="shared" si="5"/>
        <v>1582.7977987592612</v>
      </c>
      <c r="T29" s="140">
        <f t="shared" si="14"/>
        <v>31400.620124563276</v>
      </c>
      <c r="W29" s="265"/>
      <c r="X29" s="265"/>
      <c r="Y29" s="265"/>
      <c r="Z29" s="265"/>
      <c r="AA29" s="265"/>
      <c r="AB29" s="265"/>
      <c r="AC29" s="265"/>
      <c r="AD29" s="265"/>
      <c r="AE29" s="265"/>
    </row>
    <row r="30" spans="1:31" x14ac:dyDescent="0.2">
      <c r="A30" s="24"/>
      <c r="B30" s="69"/>
      <c r="C30" s="69" t="s">
        <v>260</v>
      </c>
      <c r="D30" s="94">
        <v>1700</v>
      </c>
      <c r="E30" s="81">
        <f t="shared" si="8"/>
        <v>1686.6666666666667</v>
      </c>
      <c r="F30" s="81">
        <f t="shared" si="8"/>
        <v>1680</v>
      </c>
      <c r="G30" s="114">
        <f t="shared" si="9"/>
        <v>1693.3333333333335</v>
      </c>
      <c r="H30" s="114">
        <f t="shared" si="10"/>
        <v>6.6666666666667425</v>
      </c>
      <c r="I30" s="81">
        <f t="shared" si="11"/>
        <v>1846.6666666666665</v>
      </c>
      <c r="J30" s="134">
        <f t="shared" si="12"/>
        <v>21511.111111111066</v>
      </c>
      <c r="K30" s="24"/>
      <c r="L30" s="81">
        <f t="shared" si="0"/>
        <v>1708.7951765051466</v>
      </c>
      <c r="M30" s="134">
        <f t="shared" si="13"/>
        <v>77.355129756683255</v>
      </c>
      <c r="N30" s="24">
        <f t="shared" si="6"/>
        <v>26</v>
      </c>
      <c r="O30" s="24"/>
      <c r="P30" s="114">
        <v>0.73079989370183362</v>
      </c>
      <c r="Q30" s="81">
        <f t="shared" si="3"/>
        <v>2326.2181818181821</v>
      </c>
      <c r="R30" s="81">
        <f t="shared" si="4"/>
        <v>2123.3681738822061</v>
      </c>
      <c r="S30" s="81">
        <f t="shared" si="5"/>
        <v>1551.7572357629729</v>
      </c>
      <c r="T30" s="140">
        <f t="shared" si="14"/>
        <v>21975.91714863481</v>
      </c>
      <c r="W30" s="265"/>
      <c r="X30" s="265"/>
      <c r="Y30" s="265"/>
      <c r="Z30" s="265"/>
      <c r="AA30" s="265"/>
      <c r="AB30" s="265"/>
      <c r="AC30" s="265"/>
      <c r="AD30" s="265"/>
      <c r="AE30" s="265"/>
    </row>
    <row r="31" spans="1:31" x14ac:dyDescent="0.2">
      <c r="A31" s="24"/>
      <c r="B31" s="69"/>
      <c r="C31" s="69" t="s">
        <v>261</v>
      </c>
      <c r="D31" s="94">
        <v>1950</v>
      </c>
      <c r="E31" s="81">
        <f t="shared" si="8"/>
        <v>1803.3333333333333</v>
      </c>
      <c r="F31" s="81">
        <f t="shared" si="8"/>
        <v>1736.6666666666667</v>
      </c>
      <c r="G31" s="114">
        <f t="shared" si="9"/>
        <v>1869.9999999999998</v>
      </c>
      <c r="H31" s="114">
        <f t="shared" si="10"/>
        <v>66.666666666666515</v>
      </c>
      <c r="I31" s="81">
        <f t="shared" si="11"/>
        <v>1700.0000000000002</v>
      </c>
      <c r="J31" s="134">
        <f t="shared" si="12"/>
        <v>62499.999999999884</v>
      </c>
      <c r="K31" s="24"/>
      <c r="L31" s="81">
        <f t="shared" si="0"/>
        <v>1703.5040011856736</v>
      </c>
      <c r="M31" s="134">
        <f t="shared" si="13"/>
        <v>60760.277431472408</v>
      </c>
      <c r="N31" s="24">
        <f t="shared" si="6"/>
        <v>27</v>
      </c>
      <c r="O31" s="24"/>
      <c r="P31" s="114">
        <v>0.84507042253521136</v>
      </c>
      <c r="Q31" s="81">
        <f t="shared" si="3"/>
        <v>2307.4999999999995</v>
      </c>
      <c r="R31" s="81">
        <f t="shared" si="4"/>
        <v>2182.2413332995584</v>
      </c>
      <c r="S31" s="81">
        <f t="shared" si="5"/>
        <v>1844.1476056052609</v>
      </c>
      <c r="T31" s="140">
        <f t="shared" si="14"/>
        <v>11204.729399099399</v>
      </c>
      <c r="W31" s="265"/>
      <c r="X31" s="265"/>
      <c r="Y31" s="265"/>
      <c r="Z31" s="265"/>
      <c r="AA31" s="265"/>
      <c r="AB31" s="265"/>
      <c r="AC31" s="265"/>
      <c r="AD31" s="265"/>
      <c r="AE31" s="265"/>
    </row>
    <row r="32" spans="1:31" x14ac:dyDescent="0.2">
      <c r="A32" s="24"/>
      <c r="B32" s="69"/>
      <c r="C32" s="69" t="s">
        <v>262</v>
      </c>
      <c r="D32" s="94">
        <v>1800</v>
      </c>
      <c r="E32" s="81">
        <f t="shared" si="8"/>
        <v>1816.6666666666667</v>
      </c>
      <c r="F32" s="81">
        <f t="shared" si="8"/>
        <v>1768.8888888888889</v>
      </c>
      <c r="G32" s="114">
        <f t="shared" si="9"/>
        <v>1864.4444444444446</v>
      </c>
      <c r="H32" s="114">
        <f t="shared" si="10"/>
        <v>47.777777777777828</v>
      </c>
      <c r="I32" s="81">
        <f t="shared" si="11"/>
        <v>1936.6666666666663</v>
      </c>
      <c r="J32" s="134">
        <f t="shared" si="12"/>
        <v>18677.777777777676</v>
      </c>
      <c r="K32" s="24"/>
      <c r="L32" s="81">
        <f t="shared" si="0"/>
        <v>1851.7959137484249</v>
      </c>
      <c r="M32" s="134">
        <f t="shared" si="13"/>
        <v>2682.8166810342755</v>
      </c>
      <c r="N32" s="24">
        <f t="shared" si="6"/>
        <v>28</v>
      </c>
      <c r="O32" s="24"/>
      <c r="P32" s="114">
        <v>0.79723624767472767</v>
      </c>
      <c r="Q32" s="81">
        <f t="shared" si="3"/>
        <v>2257.7999999999997</v>
      </c>
      <c r="R32" s="81">
        <f t="shared" si="4"/>
        <v>2241.1144927169116</v>
      </c>
      <c r="S32" s="81">
        <f t="shared" si="5"/>
        <v>1786.6977087830815</v>
      </c>
      <c r="T32" s="140">
        <f t="shared" si="14"/>
        <v>176.95095161970832</v>
      </c>
      <c r="W32" s="265"/>
      <c r="X32" s="265"/>
      <c r="Y32" s="265"/>
      <c r="Z32" s="265"/>
      <c r="AA32" s="265"/>
      <c r="AB32" s="265"/>
      <c r="AC32" s="265"/>
      <c r="AD32" s="265"/>
      <c r="AE32" s="265"/>
    </row>
    <row r="33" spans="1:31" x14ac:dyDescent="0.2">
      <c r="A33" s="24"/>
      <c r="B33" s="69"/>
      <c r="C33" s="69" t="s">
        <v>263</v>
      </c>
      <c r="D33" s="94">
        <v>2100</v>
      </c>
      <c r="E33" s="81">
        <f t="shared" si="8"/>
        <v>1950</v>
      </c>
      <c r="F33" s="81">
        <f t="shared" si="8"/>
        <v>1856.6666666666667</v>
      </c>
      <c r="G33" s="114">
        <f t="shared" si="9"/>
        <v>2043.3333333333333</v>
      </c>
      <c r="H33" s="114">
        <f t="shared" si="10"/>
        <v>93.333333333333258</v>
      </c>
      <c r="I33" s="81">
        <f t="shared" si="11"/>
        <v>1912.2222222222224</v>
      </c>
      <c r="J33" s="134">
        <f t="shared" si="12"/>
        <v>35260.493827160426</v>
      </c>
      <c r="K33" s="24"/>
      <c r="L33" s="81">
        <f t="shared" si="0"/>
        <v>1820.6355089157489</v>
      </c>
      <c r="M33" s="134">
        <f t="shared" si="13"/>
        <v>78044.51887876261</v>
      </c>
      <c r="N33" s="24">
        <f t="shared" si="6"/>
        <v>29</v>
      </c>
      <c r="O33" s="24"/>
      <c r="P33" s="114">
        <v>0.99654530959340959</v>
      </c>
      <c r="Q33" s="81">
        <f t="shared" si="3"/>
        <v>2107.2799999999997</v>
      </c>
      <c r="R33" s="81">
        <f t="shared" si="4"/>
        <v>2299.9876521342644</v>
      </c>
      <c r="S33" s="81">
        <f t="shared" si="5"/>
        <v>2292.0419068571596</v>
      </c>
      <c r="T33" s="140">
        <f t="shared" si="14"/>
        <v>36880.093989333953</v>
      </c>
      <c r="W33" s="265"/>
      <c r="X33" s="265"/>
      <c r="Y33" s="265"/>
      <c r="Z33" s="265"/>
      <c r="AA33" s="265"/>
      <c r="AB33" s="265"/>
      <c r="AC33" s="265"/>
      <c r="AD33" s="265"/>
      <c r="AE33" s="265"/>
    </row>
    <row r="34" spans="1:31" x14ac:dyDescent="0.2">
      <c r="A34" s="24"/>
      <c r="B34" s="69"/>
      <c r="C34" s="69" t="s">
        <v>264</v>
      </c>
      <c r="D34" s="94">
        <v>1900</v>
      </c>
      <c r="E34" s="81">
        <f t="shared" si="8"/>
        <v>1933.3333333333333</v>
      </c>
      <c r="F34" s="81">
        <f t="shared" si="8"/>
        <v>1900</v>
      </c>
      <c r="G34" s="114">
        <f t="shared" si="9"/>
        <v>1966.6666666666665</v>
      </c>
      <c r="H34" s="114">
        <f t="shared" si="10"/>
        <v>33.333333333333258</v>
      </c>
      <c r="I34" s="81">
        <f t="shared" si="11"/>
        <v>2136.6666666666665</v>
      </c>
      <c r="J34" s="134">
        <f t="shared" si="12"/>
        <v>56011.111111111037</v>
      </c>
      <c r="K34" s="24"/>
      <c r="L34" s="81">
        <f t="shared" si="0"/>
        <v>1988.7010957174587</v>
      </c>
      <c r="M34" s="134">
        <f t="shared" si="13"/>
        <v>7867.884381477762</v>
      </c>
      <c r="N34" s="24">
        <f t="shared" si="6"/>
        <v>30</v>
      </c>
      <c r="O34" s="24"/>
      <c r="P34" s="114">
        <v>0.86367260164762161</v>
      </c>
      <c r="Q34" s="81">
        <f t="shared" si="3"/>
        <v>2199.9076923076923</v>
      </c>
      <c r="R34" s="81">
        <f t="shared" si="4"/>
        <v>2358.8608115516172</v>
      </c>
      <c r="S34" s="81">
        <f t="shared" si="5"/>
        <v>2037.2834540374054</v>
      </c>
      <c r="T34" s="140">
        <f t="shared" si="14"/>
        <v>18846.746752440391</v>
      </c>
    </row>
    <row r="35" spans="1:31" x14ac:dyDescent="0.2">
      <c r="A35" s="24"/>
      <c r="B35" s="69" t="s">
        <v>204</v>
      </c>
      <c r="C35" s="69" t="s">
        <v>259</v>
      </c>
      <c r="D35" s="69"/>
      <c r="E35" s="24"/>
      <c r="F35" s="24"/>
      <c r="G35" s="24"/>
      <c r="H35" s="24"/>
      <c r="I35" s="120">
        <f>$G$34+($H$34*1)</f>
        <v>1999.9999999999998</v>
      </c>
      <c r="J35" s="24"/>
      <c r="K35" s="24"/>
      <c r="L35" s="120">
        <f t="shared" si="0"/>
        <v>1935.3385454382485</v>
      </c>
      <c r="M35" s="24"/>
      <c r="N35" s="24">
        <f t="shared" si="6"/>
        <v>31</v>
      </c>
      <c r="O35" s="24"/>
      <c r="P35" s="114">
        <v>0.76667552484719637</v>
      </c>
      <c r="Q35" s="81"/>
      <c r="R35" s="81">
        <f t="shared" si="4"/>
        <v>2417.7339709689704</v>
      </c>
      <c r="S35" s="120">
        <f t="shared" si="5"/>
        <v>1853.6174611335316</v>
      </c>
    </row>
    <row r="36" spans="1:31" x14ac:dyDescent="0.2">
      <c r="A36" s="24"/>
      <c r="B36" s="69"/>
      <c r="C36" s="69" t="s">
        <v>260</v>
      </c>
      <c r="D36" s="69"/>
      <c r="E36" s="24"/>
      <c r="F36" s="24"/>
      <c r="G36" s="24"/>
      <c r="H36" s="24"/>
      <c r="I36" s="120">
        <f>$G$34+($H$34*2)</f>
        <v>2033.333333333333</v>
      </c>
      <c r="J36" s="24"/>
      <c r="K36" s="24"/>
      <c r="L36" s="24"/>
      <c r="M36" s="24"/>
      <c r="N36" s="24">
        <f t="shared" si="6"/>
        <v>32</v>
      </c>
      <c r="O36" s="24"/>
      <c r="P36" s="114">
        <v>0.73079989370183362</v>
      </c>
      <c r="Q36" s="24"/>
      <c r="R36" s="81">
        <f t="shared" si="4"/>
        <v>2476.6071303863232</v>
      </c>
      <c r="S36" s="120">
        <f t="shared" si="5"/>
        <v>1809.9042276275281</v>
      </c>
    </row>
    <row r="37" spans="1:31" x14ac:dyDescent="0.2">
      <c r="A37" s="24"/>
      <c r="B37" s="69"/>
      <c r="C37" s="69" t="s">
        <v>261</v>
      </c>
      <c r="D37" s="69"/>
      <c r="E37" s="24"/>
      <c r="F37" s="24"/>
      <c r="G37" s="24"/>
      <c r="H37" s="24"/>
      <c r="I37" s="120">
        <f>$G$34+($H$34*3)</f>
        <v>2066.6666666666661</v>
      </c>
      <c r="J37" s="24"/>
      <c r="K37" s="24"/>
      <c r="L37" s="24"/>
      <c r="M37" s="24"/>
      <c r="N37" s="24">
        <f t="shared" si="6"/>
        <v>33</v>
      </c>
      <c r="O37" s="24"/>
      <c r="P37" s="114">
        <v>0.84507042253521136</v>
      </c>
      <c r="Q37" s="24"/>
      <c r="R37" s="81">
        <f t="shared" si="4"/>
        <v>2535.480289803676</v>
      </c>
      <c r="S37" s="120">
        <f t="shared" si="5"/>
        <v>2142.6593998340927</v>
      </c>
    </row>
    <row r="38" spans="1:31" x14ac:dyDescent="0.2">
      <c r="A38" s="24"/>
      <c r="B38" s="69"/>
      <c r="C38" s="69" t="s">
        <v>262</v>
      </c>
      <c r="D38" s="69"/>
      <c r="E38" s="24"/>
      <c r="F38" s="24"/>
      <c r="G38" s="24"/>
      <c r="H38" s="24"/>
      <c r="I38" s="120">
        <f>$G$34+($H$34*4)</f>
        <v>2099.9999999999995</v>
      </c>
      <c r="J38" s="24"/>
      <c r="K38" s="24"/>
      <c r="L38" s="24"/>
      <c r="M38" s="24"/>
      <c r="N38" s="24">
        <f t="shared" si="6"/>
        <v>34</v>
      </c>
      <c r="O38" s="24"/>
      <c r="P38" s="114">
        <v>0.79723624767472767</v>
      </c>
      <c r="Q38" s="24"/>
      <c r="R38" s="81">
        <f t="shared" si="4"/>
        <v>2594.3534492210292</v>
      </c>
      <c r="S38" s="120">
        <f t="shared" si="5"/>
        <v>2068.3126089989605</v>
      </c>
    </row>
    <row r="39" spans="1:31" x14ac:dyDescent="0.2">
      <c r="A39" s="24"/>
      <c r="B39" s="69"/>
      <c r="C39" s="69" t="s">
        <v>263</v>
      </c>
      <c r="D39" s="69"/>
      <c r="E39" s="24"/>
      <c r="F39" s="24"/>
      <c r="G39" s="24"/>
      <c r="H39" s="24"/>
      <c r="I39" s="120">
        <f>$G$34+($H$34*5)</f>
        <v>2133.333333333333</v>
      </c>
      <c r="J39" s="24"/>
      <c r="K39" s="24"/>
      <c r="L39" s="24"/>
      <c r="M39" s="24"/>
      <c r="N39" s="24">
        <f t="shared" si="6"/>
        <v>35</v>
      </c>
      <c r="O39" s="24"/>
      <c r="P39" s="114">
        <v>0.99654530959340959</v>
      </c>
      <c r="Q39" s="24"/>
      <c r="R39" s="81">
        <f t="shared" si="4"/>
        <v>2653.2266086383815</v>
      </c>
      <c r="S39" s="120">
        <f t="shared" si="5"/>
        <v>2644.0605321270082</v>
      </c>
    </row>
    <row r="40" spans="1:31" x14ac:dyDescent="0.2">
      <c r="A40" s="24"/>
      <c r="B40" s="69"/>
      <c r="C40" s="69" t="s">
        <v>264</v>
      </c>
      <c r="D40" s="69"/>
      <c r="E40" s="24"/>
      <c r="F40" s="24"/>
      <c r="G40" s="24"/>
      <c r="H40" s="24"/>
      <c r="I40" s="120">
        <f>$G$34+($H$34*6)</f>
        <v>2166.6666666666661</v>
      </c>
      <c r="J40" s="24"/>
      <c r="K40" s="24"/>
      <c r="L40" s="24"/>
      <c r="M40" s="24"/>
      <c r="N40" s="24">
        <f t="shared" si="6"/>
        <v>36</v>
      </c>
      <c r="O40" s="24"/>
      <c r="P40" s="114">
        <v>0.86367260164762161</v>
      </c>
      <c r="Q40" s="24"/>
      <c r="R40" s="81">
        <f t="shared" si="4"/>
        <v>2712.0997680557348</v>
      </c>
      <c r="S40" s="120">
        <f t="shared" si="5"/>
        <v>2342.3662626046075</v>
      </c>
    </row>
    <row r="41" spans="1:31" x14ac:dyDescent="0.2">
      <c r="A41" s="24"/>
      <c r="B41" s="24"/>
      <c r="C41" s="24"/>
      <c r="D41" s="81">
        <f>AVERAGE(D5:D34)</f>
        <v>1254.3333333333333</v>
      </c>
      <c r="E41" s="24"/>
      <c r="F41" s="24"/>
      <c r="G41" s="24"/>
      <c r="H41" s="24"/>
      <c r="I41" s="24"/>
      <c r="J41" s="139">
        <f>AVERAGE(J10:J34)</f>
        <v>27152.444444444427</v>
      </c>
      <c r="K41" s="24"/>
      <c r="L41" s="24"/>
      <c r="M41" s="139">
        <f>AVERAGE(M10:M34)</f>
        <v>23190.537144089656</v>
      </c>
      <c r="N41" s="24"/>
      <c r="O41" s="24"/>
      <c r="P41" s="24"/>
      <c r="Q41" s="24"/>
      <c r="R41" s="24"/>
      <c r="S41" s="24"/>
      <c r="T41" s="139">
        <f>AVERAGE(T10:T34)</f>
        <v>10750.277317512482</v>
      </c>
    </row>
    <row r="42" spans="1:31" x14ac:dyDescent="0.2">
      <c r="A42" s="24"/>
      <c r="B42" s="24"/>
      <c r="C42" s="24"/>
      <c r="D42" s="24"/>
      <c r="E42" s="24"/>
      <c r="F42" s="24"/>
      <c r="G42" s="24"/>
      <c r="H42" s="24"/>
      <c r="I42" s="24"/>
      <c r="K42" s="24"/>
      <c r="Q42" s="24"/>
      <c r="R42" s="24"/>
      <c r="S42" s="24"/>
    </row>
    <row r="43" spans="1:31" x14ac:dyDescent="0.2">
      <c r="A43" s="24"/>
      <c r="B43" s="24"/>
      <c r="C43" s="24"/>
      <c r="D43" s="24"/>
      <c r="E43" s="24"/>
      <c r="F43" s="24"/>
      <c r="G43" s="24"/>
      <c r="H43" s="24"/>
      <c r="I43" s="24"/>
      <c r="J43" s="24"/>
      <c r="K43" s="24"/>
      <c r="M43" s="39" t="s">
        <v>35</v>
      </c>
      <c r="N43" s="24"/>
      <c r="O43" s="24"/>
      <c r="P43" s="24"/>
      <c r="Q43" s="24"/>
      <c r="R43" s="24"/>
      <c r="S43" s="24"/>
    </row>
    <row r="44" spans="1:31" x14ac:dyDescent="0.2">
      <c r="A44" s="24"/>
      <c r="B44" s="24"/>
      <c r="C44" s="24"/>
      <c r="D44" s="24"/>
      <c r="E44" s="24"/>
      <c r="F44" s="24"/>
      <c r="G44" s="24"/>
      <c r="H44" s="24"/>
      <c r="I44" s="24"/>
      <c r="J44" s="24"/>
      <c r="K44" s="24"/>
      <c r="L44" s="26" t="s">
        <v>227</v>
      </c>
      <c r="M44" s="60" t="s">
        <v>230</v>
      </c>
      <c r="N44" s="24"/>
      <c r="O44" s="24"/>
      <c r="P44" s="24"/>
      <c r="Q44" s="24"/>
      <c r="R44" s="24"/>
      <c r="S44" s="24"/>
    </row>
    <row r="45" spans="1:31" x14ac:dyDescent="0.2">
      <c r="A45" s="24"/>
      <c r="B45" s="24"/>
      <c r="C45" s="24"/>
      <c r="D45" s="24"/>
      <c r="E45" s="24"/>
      <c r="F45" s="24"/>
      <c r="G45" s="24"/>
      <c r="H45" s="24"/>
      <c r="I45" s="24"/>
      <c r="J45" s="24"/>
      <c r="K45" s="24"/>
      <c r="L45" s="26" t="s">
        <v>228</v>
      </c>
      <c r="M45" s="99">
        <v>0.60159967413691195</v>
      </c>
      <c r="N45" s="26" t="s">
        <v>265</v>
      </c>
      <c r="O45" s="24"/>
      <c r="P45" s="24"/>
      <c r="Q45" s="24"/>
      <c r="R45" s="24"/>
      <c r="S45" s="24"/>
    </row>
    <row r="46" spans="1:31" x14ac:dyDescent="0.2">
      <c r="A46" s="24"/>
      <c r="B46" s="24"/>
      <c r="C46" s="24"/>
      <c r="D46" s="24"/>
      <c r="E46" s="24"/>
      <c r="F46" s="24"/>
      <c r="G46" s="24"/>
      <c r="H46" s="24"/>
      <c r="I46" s="24"/>
      <c r="J46" s="24"/>
      <c r="K46" s="24"/>
      <c r="L46" s="26" t="s">
        <v>229</v>
      </c>
      <c r="M46" s="62">
        <f>M41</f>
        <v>23190.537144089656</v>
      </c>
      <c r="N46" s="24"/>
      <c r="O46" s="24"/>
      <c r="P46" s="24"/>
      <c r="Q46" s="24"/>
      <c r="R46" s="24"/>
      <c r="S46" s="24"/>
    </row>
    <row r="47" spans="1:31" x14ac:dyDescent="0.2">
      <c r="A47" s="24"/>
      <c r="B47" s="24"/>
      <c r="C47" s="24"/>
      <c r="D47" s="24"/>
      <c r="E47" s="24"/>
      <c r="F47" s="24"/>
      <c r="G47" s="24"/>
      <c r="H47" s="24"/>
      <c r="I47" s="24"/>
      <c r="J47" s="24"/>
      <c r="K47" s="24"/>
      <c r="N47" s="24"/>
      <c r="O47" s="24"/>
      <c r="P47" s="24"/>
      <c r="Q47" s="24"/>
      <c r="R47" s="24"/>
      <c r="S47" s="24"/>
    </row>
    <row r="48" spans="1:31" x14ac:dyDescent="0.2">
      <c r="A48" s="24"/>
      <c r="B48" s="24"/>
      <c r="C48" s="24"/>
      <c r="D48" s="24"/>
      <c r="E48" s="24"/>
      <c r="F48" s="24"/>
      <c r="G48" s="24"/>
      <c r="H48" s="24"/>
      <c r="I48" s="24"/>
      <c r="J48" s="24"/>
      <c r="K48" s="24"/>
      <c r="L48" s="26" t="s">
        <v>233</v>
      </c>
      <c r="M48" s="26"/>
      <c r="N48" s="39" t="s">
        <v>234</v>
      </c>
      <c r="O48" s="39" t="s">
        <v>235</v>
      </c>
      <c r="P48" s="39" t="s">
        <v>237</v>
      </c>
      <c r="Q48" s="24"/>
      <c r="R48" s="24"/>
      <c r="S48" s="24"/>
    </row>
    <row r="49" spans="1:19" x14ac:dyDescent="0.2">
      <c r="A49" s="24"/>
      <c r="B49" s="24"/>
      <c r="C49" s="24"/>
      <c r="D49" s="24"/>
      <c r="E49" s="24"/>
      <c r="F49" s="24"/>
      <c r="G49" s="24"/>
      <c r="H49" s="24"/>
      <c r="I49" s="24"/>
      <c r="J49" s="24"/>
      <c r="K49" s="24"/>
      <c r="L49" s="26" t="s">
        <v>35</v>
      </c>
      <c r="M49" s="60">
        <v>1</v>
      </c>
      <c r="N49" s="99">
        <f>M45</f>
        <v>0.60159967413691195</v>
      </c>
      <c r="O49" s="60" t="s">
        <v>236</v>
      </c>
      <c r="P49" s="60">
        <v>1</v>
      </c>
      <c r="Q49" s="24"/>
      <c r="R49" s="24"/>
      <c r="S49" s="24"/>
    </row>
    <row r="50" spans="1:19" x14ac:dyDescent="0.2">
      <c r="A50" s="24"/>
      <c r="B50" s="24"/>
      <c r="C50" s="24"/>
      <c r="D50" s="24"/>
      <c r="E50" s="24"/>
      <c r="F50" s="24"/>
      <c r="G50" s="24"/>
      <c r="H50" s="24"/>
      <c r="I50" s="24"/>
      <c r="J50" s="24"/>
      <c r="K50" s="24"/>
      <c r="N50" s="24"/>
      <c r="O50" s="24"/>
      <c r="P50" s="24"/>
      <c r="Q50" s="24"/>
      <c r="R50" s="24"/>
      <c r="S50" s="24"/>
    </row>
    <row r="51" spans="1:19" x14ac:dyDescent="0.2">
      <c r="A51" s="24"/>
      <c r="B51" s="24"/>
      <c r="C51" s="24"/>
      <c r="D51" s="24"/>
      <c r="E51" s="24"/>
      <c r="F51" s="24"/>
      <c r="G51" s="24"/>
      <c r="H51" s="24"/>
      <c r="I51" s="24"/>
      <c r="J51" s="24"/>
      <c r="K51" s="24"/>
      <c r="L51" s="24"/>
      <c r="M51" s="24"/>
      <c r="N51" s="24"/>
      <c r="O51" s="24"/>
      <c r="P51" s="24"/>
      <c r="Q51" s="24"/>
      <c r="R51" s="24"/>
      <c r="S51" s="24"/>
    </row>
    <row r="52" spans="1:19" x14ac:dyDescent="0.2">
      <c r="A52" s="24"/>
      <c r="B52" s="24"/>
      <c r="C52" s="24"/>
      <c r="D52" s="24"/>
      <c r="E52" s="24"/>
      <c r="F52" s="24"/>
      <c r="G52" s="24"/>
      <c r="H52" s="24"/>
      <c r="I52" s="24"/>
      <c r="J52" s="24"/>
      <c r="K52" s="24"/>
      <c r="L52" s="24"/>
      <c r="M52" s="24"/>
      <c r="N52" s="24"/>
      <c r="O52" s="24"/>
      <c r="P52" s="24"/>
      <c r="Q52" s="24"/>
      <c r="R52" s="24"/>
      <c r="S52" s="24"/>
    </row>
    <row r="53" spans="1:19" x14ac:dyDescent="0.2">
      <c r="A53" s="24"/>
      <c r="B53" s="24"/>
      <c r="C53" s="24"/>
      <c r="D53" s="24"/>
      <c r="E53" s="24"/>
      <c r="F53" s="24"/>
      <c r="G53" s="24"/>
      <c r="H53" s="24"/>
      <c r="I53" s="24"/>
      <c r="J53" s="24"/>
      <c r="K53" s="24"/>
      <c r="L53" s="24"/>
      <c r="M53" s="24"/>
      <c r="N53" s="24"/>
      <c r="O53" s="24"/>
      <c r="P53" s="24"/>
      <c r="Q53" s="24"/>
      <c r="R53" s="24"/>
      <c r="S53" s="24"/>
    </row>
    <row r="54" spans="1:19" x14ac:dyDescent="0.2">
      <c r="A54" s="24"/>
      <c r="B54" s="24"/>
      <c r="C54" s="24"/>
      <c r="D54" s="24"/>
      <c r="E54" s="24"/>
      <c r="F54" s="24"/>
      <c r="G54" s="24"/>
      <c r="H54" s="24"/>
      <c r="I54" s="24"/>
      <c r="J54" s="24"/>
      <c r="K54" s="24"/>
      <c r="L54" s="24"/>
      <c r="M54" s="24"/>
      <c r="N54" s="24"/>
      <c r="O54" s="24"/>
      <c r="P54" s="24"/>
      <c r="Q54" s="24"/>
      <c r="R54" s="24"/>
      <c r="S54" s="24"/>
    </row>
    <row r="55" spans="1:19" x14ac:dyDescent="0.2">
      <c r="A55" s="24"/>
      <c r="B55" s="24"/>
      <c r="C55" s="24"/>
      <c r="D55" s="24"/>
      <c r="E55" s="24"/>
      <c r="F55" s="24"/>
      <c r="G55" s="24"/>
      <c r="H55" s="24"/>
      <c r="I55" s="24"/>
      <c r="J55" s="24"/>
      <c r="K55" s="24"/>
      <c r="L55" s="24"/>
      <c r="M55" s="24"/>
      <c r="N55" s="24"/>
      <c r="O55" s="24"/>
      <c r="P55" s="24"/>
      <c r="Q55" s="24"/>
      <c r="R55" s="24"/>
      <c r="S55" s="24"/>
    </row>
    <row r="56" spans="1:19" x14ac:dyDescent="0.2">
      <c r="A56" s="24"/>
      <c r="B56" s="24"/>
      <c r="C56" s="24"/>
      <c r="D56" s="24"/>
      <c r="E56" s="24"/>
      <c r="F56" s="24"/>
      <c r="G56" s="24"/>
      <c r="H56" s="24"/>
      <c r="I56" s="24"/>
      <c r="J56" s="24"/>
      <c r="K56" s="24"/>
      <c r="L56" s="24"/>
      <c r="M56" s="24"/>
      <c r="N56" s="24"/>
      <c r="O56" s="24"/>
      <c r="P56" s="24"/>
      <c r="Q56" s="24"/>
      <c r="R56" s="24"/>
      <c r="S56" s="24"/>
    </row>
    <row r="57" spans="1:19" x14ac:dyDescent="0.2">
      <c r="A57" s="24"/>
      <c r="B57" s="24"/>
      <c r="C57" s="24"/>
      <c r="D57" s="24"/>
      <c r="E57" s="24"/>
      <c r="F57" s="24"/>
      <c r="G57" s="24"/>
      <c r="H57" s="24"/>
      <c r="I57" s="24"/>
      <c r="J57" s="24"/>
      <c r="K57" s="24"/>
      <c r="L57" s="24"/>
      <c r="M57" s="24"/>
      <c r="N57" s="24"/>
      <c r="O57" s="24"/>
      <c r="P57" s="24"/>
      <c r="Q57" s="24"/>
      <c r="R57" s="24"/>
      <c r="S57" s="24"/>
    </row>
    <row r="58" spans="1:19" x14ac:dyDescent="0.2">
      <c r="A58" s="24"/>
      <c r="B58" s="24"/>
      <c r="C58" s="24"/>
      <c r="D58" s="24"/>
      <c r="E58" s="24"/>
      <c r="F58" s="24"/>
      <c r="G58" s="24"/>
      <c r="H58" s="24"/>
      <c r="I58" s="24"/>
      <c r="J58" s="24"/>
      <c r="K58" s="24"/>
      <c r="L58" s="24"/>
      <c r="M58" s="24"/>
      <c r="N58" s="24"/>
      <c r="O58" s="24"/>
      <c r="P58" s="24"/>
      <c r="Q58" s="24"/>
      <c r="R58" s="24"/>
      <c r="S58" s="24"/>
    </row>
    <row r="59" spans="1:19" x14ac:dyDescent="0.2">
      <c r="A59" s="24"/>
      <c r="B59" s="24"/>
      <c r="C59" s="24"/>
      <c r="D59" s="24"/>
      <c r="E59" s="24"/>
      <c r="F59" s="24"/>
      <c r="G59" s="24"/>
      <c r="H59" s="24"/>
      <c r="I59" s="24"/>
      <c r="J59" s="24"/>
      <c r="K59" s="24"/>
      <c r="L59" s="24"/>
      <c r="M59" s="24"/>
      <c r="N59" s="24"/>
      <c r="O59" s="24"/>
      <c r="P59" s="24"/>
      <c r="Q59" s="24"/>
      <c r="R59" s="24"/>
      <c r="S59" s="24"/>
    </row>
    <row r="60" spans="1:19" x14ac:dyDescent="0.2">
      <c r="A60" s="24"/>
      <c r="B60" s="24"/>
      <c r="C60" s="24"/>
      <c r="D60" s="24"/>
      <c r="E60" s="24"/>
      <c r="F60" s="24"/>
      <c r="G60" s="24"/>
      <c r="H60" s="24"/>
      <c r="I60" s="24"/>
      <c r="J60" s="24"/>
      <c r="K60" s="24"/>
      <c r="L60" s="24"/>
      <c r="M60" s="24"/>
      <c r="N60" s="24"/>
      <c r="O60" s="24"/>
      <c r="P60" s="24"/>
      <c r="Q60" s="24"/>
      <c r="R60" s="24"/>
      <c r="S60" s="24"/>
    </row>
    <row r="61" spans="1:19" x14ac:dyDescent="0.2">
      <c r="A61" s="24"/>
      <c r="B61" s="24"/>
      <c r="C61" s="24"/>
      <c r="D61" s="24"/>
      <c r="E61" s="24"/>
      <c r="F61" s="24"/>
      <c r="G61" s="24"/>
      <c r="H61" s="24"/>
      <c r="I61" s="24"/>
      <c r="J61" s="24"/>
      <c r="K61" s="24"/>
      <c r="L61" s="24"/>
      <c r="M61" s="24"/>
      <c r="N61" s="24"/>
      <c r="O61" s="24"/>
      <c r="P61" s="24"/>
      <c r="Q61" s="24"/>
      <c r="R61" s="24"/>
      <c r="S61" s="24"/>
    </row>
    <row r="62" spans="1:19" x14ac:dyDescent="0.2">
      <c r="A62" s="24"/>
      <c r="B62" s="24"/>
      <c r="C62" s="24"/>
      <c r="D62" s="24"/>
      <c r="E62" s="24"/>
      <c r="F62" s="24"/>
      <c r="G62" s="24"/>
      <c r="H62" s="24"/>
      <c r="I62" s="24"/>
      <c r="J62" s="24"/>
      <c r="K62" s="24"/>
      <c r="L62" s="24"/>
      <c r="M62" s="24"/>
      <c r="N62" s="24"/>
      <c r="O62" s="24"/>
      <c r="P62" s="24"/>
      <c r="Q62" s="24"/>
      <c r="R62" s="24"/>
      <c r="S62" s="24"/>
    </row>
    <row r="63" spans="1:19" x14ac:dyDescent="0.2">
      <c r="A63" s="24"/>
      <c r="B63" s="24"/>
      <c r="C63" s="24"/>
      <c r="D63" s="24"/>
      <c r="E63" s="24"/>
      <c r="F63" s="24"/>
      <c r="G63" s="24"/>
      <c r="H63" s="24"/>
      <c r="I63" s="24"/>
      <c r="J63" s="24"/>
      <c r="K63" s="24"/>
      <c r="L63" s="24"/>
      <c r="M63" s="24"/>
      <c r="N63" s="24"/>
      <c r="O63" s="24"/>
      <c r="P63" s="24"/>
      <c r="Q63" s="24"/>
      <c r="R63" s="24"/>
      <c r="S63" s="24"/>
    </row>
    <row r="64" spans="1:19" x14ac:dyDescent="0.2">
      <c r="A64" s="24"/>
      <c r="B64" s="24"/>
      <c r="C64" s="24"/>
      <c r="D64" s="24"/>
      <c r="E64" s="24"/>
      <c r="F64" s="24"/>
      <c r="G64" s="24"/>
      <c r="H64" s="24"/>
      <c r="I64" s="24"/>
      <c r="J64" s="24"/>
      <c r="K64" s="24"/>
      <c r="L64" s="24"/>
      <c r="M64" s="24"/>
      <c r="N64" s="24"/>
      <c r="O64" s="24"/>
      <c r="P64" s="24"/>
      <c r="Q64" s="24"/>
      <c r="R64" s="24"/>
      <c r="S64" s="24"/>
    </row>
    <row r="65" spans="1:19" x14ac:dyDescent="0.2">
      <c r="A65" s="24"/>
      <c r="B65" s="24"/>
      <c r="C65" s="24"/>
      <c r="D65" s="24"/>
      <c r="E65" s="24"/>
      <c r="F65" s="24"/>
      <c r="G65" s="24"/>
      <c r="H65" s="24"/>
      <c r="I65" s="24"/>
      <c r="J65" s="24"/>
      <c r="K65" s="24"/>
      <c r="L65" s="24"/>
      <c r="M65" s="24"/>
      <c r="N65" s="24"/>
      <c r="O65" s="24"/>
      <c r="P65" s="24"/>
      <c r="Q65" s="24"/>
      <c r="R65" s="24"/>
      <c r="S65" s="24"/>
    </row>
    <row r="66" spans="1:19" x14ac:dyDescent="0.2">
      <c r="A66" s="24"/>
      <c r="B66" s="24"/>
      <c r="C66" s="24"/>
      <c r="D66" s="24"/>
      <c r="E66" s="24"/>
      <c r="F66" s="24"/>
      <c r="G66" s="24"/>
      <c r="H66" s="24"/>
      <c r="I66" s="24"/>
      <c r="J66" s="24"/>
      <c r="K66" s="24"/>
      <c r="L66" s="24"/>
      <c r="M66" s="24"/>
      <c r="N66" s="24"/>
      <c r="O66" s="24"/>
      <c r="P66" s="24"/>
      <c r="Q66" s="24"/>
      <c r="R66" s="24"/>
      <c r="S66" s="24"/>
    </row>
    <row r="67" spans="1:19" x14ac:dyDescent="0.2">
      <c r="A67" s="24"/>
      <c r="B67" s="24"/>
      <c r="C67" s="24"/>
      <c r="D67" s="24"/>
      <c r="E67" s="24"/>
      <c r="F67" s="24"/>
      <c r="G67" s="24"/>
      <c r="H67" s="24"/>
      <c r="I67" s="24"/>
      <c r="J67" s="24"/>
      <c r="K67" s="24"/>
      <c r="L67" s="24"/>
      <c r="M67" s="24"/>
      <c r="N67" s="24"/>
      <c r="O67" s="24"/>
      <c r="P67" s="24"/>
      <c r="Q67" s="24"/>
      <c r="R67" s="24"/>
      <c r="S67" s="24"/>
    </row>
    <row r="68" spans="1:19" x14ac:dyDescent="0.2">
      <c r="A68" s="24"/>
      <c r="B68" s="24"/>
      <c r="C68" s="24"/>
      <c r="D68" s="24"/>
      <c r="E68" s="24"/>
      <c r="F68" s="24"/>
      <c r="G68" s="24"/>
      <c r="H68" s="24"/>
      <c r="I68" s="24"/>
      <c r="J68" s="24"/>
      <c r="K68" s="24"/>
      <c r="L68" s="24"/>
      <c r="M68" s="24"/>
      <c r="N68" s="24"/>
      <c r="O68" s="24"/>
      <c r="P68" s="24"/>
      <c r="Q68" s="24"/>
      <c r="R68" s="24"/>
      <c r="S68" s="24"/>
    </row>
    <row r="69" spans="1:19" x14ac:dyDescent="0.2">
      <c r="A69" s="24"/>
      <c r="B69" s="24"/>
      <c r="C69" s="24"/>
      <c r="D69" s="24"/>
      <c r="E69" s="24"/>
      <c r="F69" s="24"/>
      <c r="G69" s="24"/>
      <c r="H69" s="24"/>
      <c r="I69" s="24"/>
      <c r="J69" s="24"/>
      <c r="K69" s="24"/>
      <c r="L69" s="24"/>
      <c r="M69" s="24"/>
      <c r="N69" s="24"/>
      <c r="O69" s="24"/>
      <c r="P69" s="24"/>
      <c r="Q69" s="24"/>
      <c r="R69" s="24"/>
      <c r="S69" s="24"/>
    </row>
    <row r="70" spans="1:19" x14ac:dyDescent="0.2">
      <c r="A70" s="24"/>
      <c r="B70" s="24"/>
      <c r="C70" s="24"/>
      <c r="D70" s="24"/>
      <c r="E70" s="24"/>
      <c r="F70" s="24"/>
      <c r="G70" s="24"/>
      <c r="H70" s="24"/>
      <c r="I70" s="24"/>
      <c r="J70" s="24"/>
      <c r="K70" s="24"/>
      <c r="L70" s="24"/>
      <c r="M70" s="24"/>
      <c r="N70" s="24"/>
      <c r="O70" s="24"/>
      <c r="P70" s="24"/>
      <c r="Q70" s="24"/>
      <c r="R70" s="24"/>
      <c r="S70" s="24"/>
    </row>
    <row r="71" spans="1:19" x14ac:dyDescent="0.2">
      <c r="A71" s="24"/>
      <c r="B71" s="24"/>
      <c r="C71" s="24"/>
      <c r="D71" s="24"/>
      <c r="E71" s="24"/>
      <c r="F71" s="24"/>
      <c r="G71" s="24"/>
      <c r="H71" s="24"/>
      <c r="I71" s="24"/>
      <c r="J71" s="24"/>
      <c r="K71" s="24"/>
      <c r="L71" s="24"/>
      <c r="M71" s="24"/>
      <c r="N71" s="24"/>
      <c r="O71" s="24"/>
      <c r="P71" s="24"/>
      <c r="Q71" s="24"/>
      <c r="R71" s="24"/>
      <c r="S71" s="24"/>
    </row>
    <row r="72" spans="1:19" x14ac:dyDescent="0.2">
      <c r="A72" s="24"/>
      <c r="B72" s="24"/>
      <c r="C72" s="24"/>
      <c r="D72" s="24"/>
      <c r="E72" s="24"/>
      <c r="F72" s="24"/>
      <c r="G72" s="24"/>
      <c r="H72" s="24"/>
      <c r="I72" s="24"/>
      <c r="J72" s="24"/>
      <c r="K72" s="24"/>
      <c r="L72" s="24"/>
      <c r="M72" s="24"/>
      <c r="N72" s="24"/>
      <c r="O72" s="24"/>
      <c r="P72" s="24"/>
      <c r="Q72" s="24"/>
      <c r="R72" s="24"/>
      <c r="S72" s="24"/>
    </row>
    <row r="73" spans="1:19" x14ac:dyDescent="0.2">
      <c r="A73" s="24"/>
      <c r="B73" s="24"/>
      <c r="C73" s="24"/>
      <c r="D73" s="24"/>
      <c r="E73" s="24"/>
      <c r="F73" s="24"/>
      <c r="G73" s="24"/>
      <c r="H73" s="24"/>
      <c r="I73" s="24"/>
      <c r="J73" s="24"/>
      <c r="K73" s="24"/>
      <c r="L73" s="24"/>
      <c r="M73" s="24"/>
      <c r="N73" s="24"/>
      <c r="O73" s="24"/>
      <c r="P73" s="24"/>
      <c r="Q73" s="24"/>
      <c r="R73" s="24"/>
      <c r="S73" s="24"/>
    </row>
    <row r="74" spans="1:19" x14ac:dyDescent="0.2">
      <c r="A74" s="24"/>
      <c r="B74" s="24"/>
      <c r="C74" s="24"/>
      <c r="D74" s="24"/>
      <c r="E74" s="24"/>
      <c r="F74" s="24"/>
      <c r="G74" s="24"/>
      <c r="H74" s="24"/>
      <c r="I74" s="24"/>
      <c r="J74" s="24"/>
      <c r="K74" s="24"/>
      <c r="L74" s="24"/>
      <c r="M74" s="24"/>
      <c r="N74" s="24"/>
      <c r="O74" s="24"/>
      <c r="P74" s="24"/>
      <c r="Q74" s="24"/>
      <c r="R74" s="24"/>
      <c r="S74" s="24"/>
    </row>
    <row r="75" spans="1:19" x14ac:dyDescent="0.2">
      <c r="A75" s="24"/>
      <c r="B75" s="24"/>
      <c r="C75" s="24"/>
      <c r="D75" s="24"/>
      <c r="E75" s="24"/>
      <c r="F75" s="24"/>
      <c r="G75" s="24"/>
      <c r="H75" s="24"/>
      <c r="I75" s="24"/>
      <c r="J75" s="24"/>
      <c r="K75" s="24"/>
      <c r="L75" s="24"/>
      <c r="M75" s="24"/>
      <c r="N75" s="24"/>
      <c r="O75" s="24"/>
      <c r="P75" s="24"/>
      <c r="Q75" s="24"/>
      <c r="R75" s="24"/>
      <c r="S75" s="24"/>
    </row>
    <row r="76" spans="1:19" x14ac:dyDescent="0.2">
      <c r="A76" s="24"/>
      <c r="B76" s="24"/>
      <c r="C76" s="24"/>
      <c r="D76" s="24"/>
      <c r="E76" s="24"/>
      <c r="F76" s="24"/>
      <c r="G76" s="24"/>
      <c r="H76" s="24"/>
      <c r="I76" s="24"/>
      <c r="J76" s="24"/>
      <c r="K76" s="24"/>
      <c r="L76" s="24"/>
      <c r="M76" s="24"/>
      <c r="N76" s="24"/>
      <c r="O76" s="24"/>
      <c r="P76" s="24"/>
      <c r="Q76" s="24"/>
      <c r="R76" s="24"/>
      <c r="S76" s="24"/>
    </row>
    <row r="77" spans="1:19" x14ac:dyDescent="0.2">
      <c r="A77" s="24"/>
      <c r="B77" s="24"/>
      <c r="C77" s="24"/>
      <c r="D77" s="24"/>
      <c r="E77" s="24"/>
      <c r="F77" s="24"/>
      <c r="G77" s="24"/>
      <c r="H77" s="24"/>
      <c r="I77" s="24"/>
      <c r="J77" s="24"/>
      <c r="K77" s="24"/>
      <c r="L77" s="24"/>
      <c r="M77" s="24"/>
      <c r="N77" s="24"/>
      <c r="O77" s="24"/>
      <c r="P77" s="24"/>
      <c r="Q77" s="24"/>
      <c r="R77" s="24"/>
      <c r="S77" s="24"/>
    </row>
    <row r="78" spans="1:19" x14ac:dyDescent="0.2">
      <c r="A78" s="24"/>
      <c r="B78" s="24"/>
      <c r="C78" s="24"/>
      <c r="D78" s="24"/>
      <c r="E78" s="24"/>
      <c r="F78" s="24"/>
      <c r="G78" s="24"/>
      <c r="H78" s="24"/>
      <c r="I78" s="24"/>
      <c r="J78" s="24"/>
      <c r="K78" s="24"/>
      <c r="L78" s="24"/>
      <c r="M78" s="24"/>
      <c r="N78" s="24"/>
      <c r="O78" s="24"/>
      <c r="P78" s="24"/>
      <c r="Q78" s="24"/>
      <c r="R78" s="24"/>
      <c r="S78" s="24"/>
    </row>
    <row r="79" spans="1:19" x14ac:dyDescent="0.2">
      <c r="A79" s="24"/>
      <c r="B79" s="24"/>
      <c r="C79" s="24"/>
      <c r="D79" s="24"/>
      <c r="E79" s="24"/>
      <c r="F79" s="24"/>
      <c r="G79" s="24"/>
      <c r="H79" s="24"/>
      <c r="I79" s="24"/>
      <c r="J79" s="24"/>
      <c r="K79" s="24"/>
      <c r="L79" s="24"/>
      <c r="M79" s="24"/>
      <c r="N79" s="24"/>
      <c r="O79" s="24"/>
      <c r="P79" s="24"/>
      <c r="Q79" s="24"/>
      <c r="R79" s="24"/>
      <c r="S79" s="24"/>
    </row>
    <row r="80" spans="1:19" x14ac:dyDescent="0.2">
      <c r="A80" s="24"/>
      <c r="B80" s="24"/>
      <c r="C80" s="24"/>
      <c r="D80" s="24"/>
      <c r="E80" s="24"/>
      <c r="F80" s="24"/>
      <c r="G80" s="24"/>
      <c r="H80" s="24"/>
      <c r="I80" s="24"/>
      <c r="J80" s="24"/>
      <c r="K80" s="24"/>
      <c r="L80" s="24"/>
      <c r="M80" s="24"/>
      <c r="N80" s="24"/>
      <c r="O80" s="24"/>
      <c r="P80" s="24"/>
      <c r="Q80" s="24"/>
      <c r="R80" s="24"/>
      <c r="S80" s="24"/>
    </row>
    <row r="81" spans="1:19" x14ac:dyDescent="0.2">
      <c r="A81" s="24"/>
      <c r="B81" s="24"/>
      <c r="C81" s="24"/>
      <c r="D81" s="24"/>
      <c r="E81" s="24"/>
      <c r="F81" s="24"/>
      <c r="G81" s="24"/>
      <c r="H81" s="24"/>
      <c r="I81" s="24"/>
      <c r="J81" s="24"/>
      <c r="K81" s="24"/>
      <c r="L81" s="24"/>
      <c r="M81" s="24"/>
      <c r="N81" s="24"/>
      <c r="O81" s="24"/>
      <c r="P81" s="24"/>
      <c r="Q81" s="24"/>
      <c r="R81" s="24"/>
      <c r="S81" s="24"/>
    </row>
    <row r="82" spans="1:19" x14ac:dyDescent="0.2">
      <c r="A82" s="24"/>
      <c r="B82" s="24"/>
      <c r="C82" s="24"/>
      <c r="D82" s="24"/>
      <c r="E82" s="24"/>
      <c r="F82" s="24"/>
      <c r="G82" s="24"/>
      <c r="H82" s="24"/>
      <c r="I82" s="24"/>
      <c r="J82" s="24"/>
      <c r="K82" s="24"/>
      <c r="L82" s="24"/>
      <c r="M82" s="24"/>
      <c r="N82" s="24"/>
      <c r="O82" s="24"/>
      <c r="P82" s="24"/>
      <c r="Q82" s="24"/>
      <c r="R82" s="24"/>
      <c r="S82" s="24"/>
    </row>
    <row r="83" spans="1:19" x14ac:dyDescent="0.2">
      <c r="A83" s="24"/>
      <c r="B83" s="24"/>
      <c r="C83" s="24"/>
      <c r="D83" s="24"/>
      <c r="E83" s="24"/>
      <c r="F83" s="24"/>
      <c r="G83" s="24"/>
      <c r="H83" s="24"/>
      <c r="I83" s="24"/>
      <c r="J83" s="24"/>
      <c r="K83" s="24"/>
      <c r="L83" s="24"/>
      <c r="M83" s="24"/>
      <c r="N83" s="24"/>
      <c r="O83" s="24"/>
      <c r="P83" s="24"/>
      <c r="Q83" s="24"/>
      <c r="R83" s="24"/>
      <c r="S83" s="24"/>
    </row>
    <row r="84" spans="1:19" x14ac:dyDescent="0.2">
      <c r="A84" s="24"/>
      <c r="B84" s="24"/>
      <c r="C84" s="24"/>
      <c r="D84" s="24"/>
      <c r="E84" s="24"/>
      <c r="F84" s="24"/>
      <c r="G84" s="24"/>
      <c r="H84" s="24"/>
      <c r="I84" s="24"/>
      <c r="J84" s="24"/>
      <c r="K84" s="24"/>
      <c r="L84" s="24"/>
      <c r="M84" s="24"/>
      <c r="N84" s="24"/>
      <c r="O84" s="24"/>
      <c r="P84" s="24"/>
      <c r="Q84" s="24"/>
      <c r="R84" s="24"/>
      <c r="S84" s="24"/>
    </row>
    <row r="85" spans="1:19" x14ac:dyDescent="0.2">
      <c r="A85" s="24"/>
      <c r="B85" s="24"/>
      <c r="C85" s="24"/>
      <c r="D85" s="24"/>
      <c r="E85" s="24"/>
      <c r="F85" s="24"/>
      <c r="G85" s="24"/>
      <c r="H85" s="24"/>
      <c r="I85" s="24"/>
      <c r="J85" s="24"/>
      <c r="K85" s="24"/>
      <c r="L85" s="24"/>
      <c r="M85" s="24"/>
      <c r="N85" s="24"/>
      <c r="O85" s="24"/>
      <c r="P85" s="24"/>
      <c r="Q85" s="24"/>
      <c r="R85" s="24"/>
      <c r="S85" s="24"/>
    </row>
    <row r="86" spans="1:19" x14ac:dyDescent="0.2">
      <c r="A86" s="24"/>
      <c r="B86" s="24"/>
      <c r="C86" s="24"/>
      <c r="D86" s="24"/>
      <c r="E86" s="24"/>
      <c r="F86" s="24"/>
      <c r="G86" s="24"/>
      <c r="H86" s="24"/>
      <c r="I86" s="24"/>
      <c r="J86" s="24"/>
      <c r="K86" s="24"/>
      <c r="L86" s="24"/>
      <c r="M86" s="24"/>
      <c r="N86" s="24"/>
      <c r="O86" s="24"/>
      <c r="P86" s="24"/>
      <c r="Q86" s="24"/>
      <c r="R86" s="24"/>
      <c r="S86" s="24"/>
    </row>
    <row r="87" spans="1:19" x14ac:dyDescent="0.2">
      <c r="A87" s="24"/>
      <c r="B87" s="24"/>
      <c r="C87" s="24"/>
      <c r="D87" s="24"/>
      <c r="E87" s="24"/>
      <c r="F87" s="24"/>
      <c r="G87" s="24"/>
      <c r="H87" s="24"/>
      <c r="I87" s="24"/>
      <c r="J87" s="24"/>
      <c r="K87" s="24"/>
      <c r="L87" s="24"/>
      <c r="M87" s="24"/>
      <c r="N87" s="24"/>
      <c r="O87" s="24"/>
      <c r="P87" s="24"/>
      <c r="Q87" s="24"/>
      <c r="R87" s="24"/>
      <c r="S87" s="24"/>
    </row>
    <row r="88" spans="1:19" x14ac:dyDescent="0.2">
      <c r="A88" s="24"/>
      <c r="B88" s="24"/>
      <c r="C88" s="24"/>
      <c r="D88" s="24"/>
      <c r="E88" s="24"/>
      <c r="F88" s="24"/>
      <c r="G88" s="24"/>
      <c r="H88" s="24"/>
      <c r="I88" s="24"/>
      <c r="J88" s="24"/>
      <c r="K88" s="24"/>
      <c r="L88" s="24"/>
      <c r="M88" s="24"/>
      <c r="N88" s="24"/>
      <c r="O88" s="24"/>
      <c r="P88" s="24"/>
      <c r="Q88" s="24"/>
      <c r="R88" s="24"/>
      <c r="S88" s="24"/>
    </row>
    <row r="89" spans="1:19" x14ac:dyDescent="0.2">
      <c r="A89" s="24"/>
      <c r="B89" s="24"/>
      <c r="C89" s="24"/>
      <c r="D89" s="24"/>
      <c r="E89" s="24"/>
      <c r="F89" s="24"/>
      <c r="G89" s="24"/>
      <c r="H89" s="24"/>
      <c r="I89" s="24"/>
      <c r="J89" s="24"/>
      <c r="K89" s="24"/>
      <c r="L89" s="24"/>
      <c r="M89" s="24"/>
      <c r="N89" s="24"/>
      <c r="O89" s="24"/>
      <c r="P89" s="24"/>
      <c r="Q89" s="24"/>
      <c r="R89" s="24"/>
      <c r="S89" s="24"/>
    </row>
    <row r="90" spans="1:19" x14ac:dyDescent="0.2">
      <c r="A90" s="24"/>
      <c r="B90" s="24"/>
      <c r="C90" s="24"/>
      <c r="D90" s="24"/>
      <c r="E90" s="24"/>
      <c r="F90" s="24"/>
      <c r="G90" s="24"/>
      <c r="H90" s="24"/>
      <c r="I90" s="24"/>
      <c r="J90" s="24"/>
      <c r="K90" s="24"/>
      <c r="L90" s="24"/>
      <c r="M90" s="24"/>
      <c r="N90" s="24"/>
      <c r="O90" s="24"/>
      <c r="P90" s="24"/>
      <c r="Q90" s="24"/>
      <c r="R90" s="24"/>
      <c r="S90" s="24"/>
    </row>
    <row r="91" spans="1:19" x14ac:dyDescent="0.2">
      <c r="A91" s="24"/>
      <c r="B91" s="24"/>
      <c r="C91" s="24"/>
      <c r="D91" s="24"/>
      <c r="E91" s="24"/>
      <c r="F91" s="24"/>
      <c r="G91" s="24"/>
      <c r="H91" s="24"/>
      <c r="I91" s="24"/>
      <c r="J91" s="24"/>
      <c r="K91" s="24"/>
      <c r="L91" s="24"/>
      <c r="M91" s="24"/>
      <c r="N91" s="24"/>
      <c r="O91" s="24"/>
      <c r="P91" s="24"/>
      <c r="Q91" s="24"/>
      <c r="R91" s="24"/>
      <c r="S91" s="24"/>
    </row>
    <row r="92" spans="1:19" x14ac:dyDescent="0.2">
      <c r="A92" s="24"/>
      <c r="B92" s="24"/>
      <c r="C92" s="24"/>
      <c r="D92" s="24"/>
      <c r="E92" s="24"/>
      <c r="F92" s="24"/>
      <c r="G92" s="24"/>
      <c r="H92" s="24"/>
      <c r="I92" s="24"/>
      <c r="J92" s="24"/>
      <c r="K92" s="24"/>
      <c r="L92" s="24"/>
      <c r="M92" s="24"/>
      <c r="N92" s="24"/>
      <c r="O92" s="24"/>
      <c r="P92" s="24"/>
      <c r="Q92" s="24"/>
      <c r="R92" s="24"/>
      <c r="S92" s="24"/>
    </row>
    <row r="93" spans="1:19" x14ac:dyDescent="0.2">
      <c r="A93" s="24"/>
      <c r="B93" s="24"/>
      <c r="C93" s="24"/>
      <c r="D93" s="24"/>
      <c r="E93" s="24"/>
      <c r="F93" s="24"/>
      <c r="G93" s="24"/>
      <c r="H93" s="24"/>
      <c r="I93" s="24"/>
      <c r="J93" s="24"/>
      <c r="K93" s="24"/>
      <c r="L93" s="24"/>
      <c r="M93" s="24"/>
      <c r="N93" s="24"/>
      <c r="O93" s="24"/>
      <c r="P93" s="24"/>
      <c r="Q93" s="24"/>
      <c r="R93" s="24"/>
      <c r="S93" s="24"/>
    </row>
    <row r="94" spans="1:19" x14ac:dyDescent="0.2">
      <c r="A94" s="24"/>
      <c r="B94" s="24"/>
      <c r="C94" s="24"/>
      <c r="D94" s="24"/>
      <c r="E94" s="24"/>
      <c r="F94" s="24"/>
      <c r="G94" s="24"/>
      <c r="H94" s="24"/>
      <c r="I94" s="24"/>
      <c r="J94" s="24"/>
      <c r="K94" s="24"/>
      <c r="L94" s="24"/>
      <c r="M94" s="24"/>
      <c r="N94" s="24"/>
      <c r="O94" s="24"/>
      <c r="P94" s="24"/>
      <c r="Q94" s="24"/>
      <c r="R94" s="24"/>
      <c r="S94" s="24"/>
    </row>
    <row r="95" spans="1:19" x14ac:dyDescent="0.2">
      <c r="A95" s="24"/>
      <c r="B95" s="24"/>
      <c r="C95" s="24"/>
      <c r="D95" s="24"/>
      <c r="E95" s="24"/>
      <c r="F95" s="24"/>
      <c r="G95" s="24"/>
      <c r="H95" s="24"/>
      <c r="I95" s="24"/>
      <c r="J95" s="24"/>
      <c r="K95" s="24"/>
      <c r="L95" s="24"/>
      <c r="M95" s="24"/>
      <c r="N95" s="24"/>
      <c r="O95" s="24"/>
      <c r="P95" s="24"/>
      <c r="Q95" s="24"/>
      <c r="R95" s="24"/>
      <c r="S95" s="24"/>
    </row>
    <row r="96" spans="1:19" x14ac:dyDescent="0.2">
      <c r="A96" s="24"/>
      <c r="B96" s="24"/>
      <c r="C96" s="24"/>
      <c r="D96" s="24"/>
      <c r="E96" s="24"/>
      <c r="F96" s="24"/>
      <c r="G96" s="24"/>
      <c r="H96" s="24"/>
      <c r="I96" s="24"/>
      <c r="J96" s="24"/>
      <c r="K96" s="24"/>
      <c r="L96" s="24"/>
      <c r="M96" s="24"/>
      <c r="N96" s="24"/>
      <c r="O96" s="24"/>
      <c r="P96" s="24"/>
      <c r="Q96" s="24"/>
      <c r="R96" s="24"/>
      <c r="S96" s="24"/>
    </row>
    <row r="97" spans="1:19" x14ac:dyDescent="0.2">
      <c r="A97" s="24"/>
      <c r="B97" s="24"/>
      <c r="C97" s="24"/>
      <c r="D97" s="24"/>
      <c r="E97" s="24"/>
      <c r="F97" s="24"/>
      <c r="G97" s="24"/>
      <c r="H97" s="24"/>
      <c r="I97" s="24"/>
      <c r="J97" s="24"/>
      <c r="K97" s="24"/>
      <c r="L97" s="24"/>
      <c r="M97" s="24"/>
      <c r="N97" s="24"/>
      <c r="O97" s="24"/>
      <c r="P97" s="24"/>
      <c r="Q97" s="24"/>
      <c r="R97" s="24"/>
      <c r="S97" s="24"/>
    </row>
    <row r="98" spans="1:19" x14ac:dyDescent="0.2">
      <c r="A98" s="24"/>
      <c r="B98" s="24"/>
      <c r="C98" s="24"/>
      <c r="D98" s="24"/>
      <c r="E98" s="24"/>
      <c r="F98" s="24"/>
      <c r="G98" s="24"/>
      <c r="H98" s="24"/>
      <c r="I98" s="24"/>
      <c r="J98" s="24"/>
      <c r="K98" s="24"/>
      <c r="L98" s="24"/>
      <c r="M98" s="24"/>
      <c r="N98" s="24"/>
      <c r="O98" s="24"/>
      <c r="P98" s="24"/>
      <c r="Q98" s="24"/>
      <c r="R98" s="24"/>
      <c r="S98" s="24"/>
    </row>
    <row r="99" spans="1:19" x14ac:dyDescent="0.2">
      <c r="A99" s="24"/>
      <c r="B99" s="24"/>
      <c r="C99" s="24"/>
      <c r="D99" s="24"/>
      <c r="E99" s="24"/>
      <c r="F99" s="24"/>
      <c r="G99" s="24"/>
      <c r="H99" s="24"/>
      <c r="I99" s="24"/>
      <c r="J99" s="24"/>
      <c r="K99" s="24"/>
      <c r="L99" s="24"/>
      <c r="M99" s="24"/>
      <c r="N99" s="24"/>
      <c r="O99" s="24"/>
      <c r="P99" s="24"/>
      <c r="Q99" s="24"/>
      <c r="R99" s="24"/>
      <c r="S99" s="24"/>
    </row>
    <row r="100" spans="1:19" x14ac:dyDescent="0.2">
      <c r="A100" s="24"/>
      <c r="B100" s="24"/>
      <c r="C100" s="24"/>
      <c r="D100" s="24"/>
      <c r="E100" s="24"/>
      <c r="F100" s="24"/>
      <c r="G100" s="24"/>
      <c r="H100" s="24"/>
      <c r="I100" s="24"/>
      <c r="J100" s="24"/>
      <c r="K100" s="24"/>
      <c r="L100" s="24"/>
      <c r="M100" s="24"/>
      <c r="N100" s="24"/>
      <c r="O100" s="24"/>
      <c r="P100" s="24"/>
      <c r="Q100" s="24"/>
      <c r="R100" s="24"/>
      <c r="S100" s="24"/>
    </row>
    <row r="101" spans="1:19" x14ac:dyDescent="0.2">
      <c r="A101" s="24"/>
      <c r="B101" s="24"/>
      <c r="C101" s="24"/>
      <c r="D101" s="24"/>
      <c r="E101" s="24"/>
      <c r="F101" s="24"/>
      <c r="G101" s="24"/>
      <c r="H101" s="24"/>
      <c r="I101" s="24"/>
      <c r="J101" s="24"/>
      <c r="K101" s="24"/>
      <c r="L101" s="24"/>
      <c r="M101" s="24"/>
      <c r="N101" s="24"/>
      <c r="O101" s="24"/>
      <c r="P101" s="24"/>
      <c r="Q101" s="24"/>
      <c r="R101" s="24"/>
      <c r="S101" s="24"/>
    </row>
    <row r="102" spans="1:19" x14ac:dyDescent="0.2">
      <c r="A102" s="24"/>
      <c r="B102" s="24"/>
      <c r="C102" s="24"/>
      <c r="D102" s="24"/>
      <c r="E102" s="24"/>
      <c r="F102" s="24"/>
      <c r="G102" s="24"/>
      <c r="H102" s="24"/>
      <c r="I102" s="24"/>
      <c r="J102" s="24"/>
      <c r="K102" s="24"/>
      <c r="L102" s="24"/>
      <c r="M102" s="24"/>
      <c r="N102" s="24"/>
      <c r="O102" s="24"/>
      <c r="P102" s="24"/>
      <c r="Q102" s="24"/>
      <c r="R102" s="24"/>
      <c r="S102" s="24"/>
    </row>
    <row r="103" spans="1:19" x14ac:dyDescent="0.2">
      <c r="A103" s="24"/>
      <c r="B103" s="24"/>
      <c r="C103" s="24"/>
      <c r="D103" s="24"/>
      <c r="E103" s="24"/>
      <c r="F103" s="24"/>
      <c r="G103" s="24"/>
      <c r="H103" s="24"/>
      <c r="I103" s="24"/>
      <c r="J103" s="24"/>
      <c r="K103" s="24"/>
      <c r="L103" s="24"/>
      <c r="M103" s="24"/>
      <c r="N103" s="24"/>
      <c r="O103" s="24"/>
      <c r="P103" s="24"/>
      <c r="Q103" s="24"/>
      <c r="R103" s="24"/>
      <c r="S103" s="24"/>
    </row>
    <row r="104" spans="1:19" x14ac:dyDescent="0.2">
      <c r="A104" s="24"/>
      <c r="B104" s="24"/>
      <c r="C104" s="24"/>
      <c r="D104" s="24"/>
      <c r="E104" s="24"/>
      <c r="F104" s="24"/>
      <c r="G104" s="24"/>
      <c r="H104" s="24"/>
      <c r="I104" s="24"/>
      <c r="J104" s="24"/>
      <c r="K104" s="24"/>
      <c r="L104" s="24"/>
      <c r="M104" s="24"/>
      <c r="N104" s="24"/>
      <c r="O104" s="24"/>
      <c r="P104" s="24"/>
      <c r="Q104" s="24"/>
      <c r="R104" s="24"/>
      <c r="S104" s="24"/>
    </row>
    <row r="105" spans="1:19" x14ac:dyDescent="0.2">
      <c r="A105" s="24"/>
      <c r="B105" s="24"/>
      <c r="C105" s="24"/>
      <c r="D105" s="24"/>
      <c r="E105" s="24"/>
      <c r="F105" s="24"/>
      <c r="G105" s="24"/>
      <c r="H105" s="24"/>
      <c r="I105" s="24"/>
      <c r="J105" s="24"/>
      <c r="K105" s="24"/>
      <c r="L105" s="24"/>
      <c r="M105" s="24"/>
      <c r="N105" s="24"/>
      <c r="O105" s="24"/>
      <c r="P105" s="24"/>
      <c r="Q105" s="24"/>
      <c r="R105" s="24"/>
      <c r="S105" s="24"/>
    </row>
    <row r="106" spans="1:19" x14ac:dyDescent="0.2">
      <c r="A106" s="24"/>
      <c r="B106" s="24"/>
      <c r="C106" s="24"/>
      <c r="D106" s="24"/>
      <c r="E106" s="24"/>
      <c r="F106" s="24"/>
      <c r="G106" s="24"/>
      <c r="H106" s="24"/>
      <c r="I106" s="24"/>
      <c r="J106" s="24"/>
      <c r="K106" s="24"/>
      <c r="L106" s="24"/>
      <c r="M106" s="24"/>
      <c r="N106" s="24"/>
      <c r="O106" s="24"/>
      <c r="P106" s="24"/>
      <c r="Q106" s="24"/>
      <c r="R106" s="24"/>
      <c r="S106" s="24"/>
    </row>
    <row r="107" spans="1:19" x14ac:dyDescent="0.2">
      <c r="A107" s="24"/>
      <c r="B107" s="24"/>
      <c r="C107" s="24"/>
      <c r="D107" s="24"/>
      <c r="E107" s="24"/>
      <c r="F107" s="24"/>
      <c r="G107" s="24"/>
      <c r="H107" s="24"/>
      <c r="I107" s="24"/>
      <c r="J107" s="24"/>
      <c r="K107" s="24"/>
      <c r="L107" s="24"/>
      <c r="M107" s="24"/>
      <c r="N107" s="24"/>
      <c r="O107" s="24"/>
      <c r="P107" s="24"/>
      <c r="Q107" s="24"/>
      <c r="R107" s="24"/>
      <c r="S107" s="24"/>
    </row>
    <row r="108" spans="1:19" x14ac:dyDescent="0.2">
      <c r="A108" s="24"/>
      <c r="B108" s="24"/>
      <c r="C108" s="24"/>
      <c r="D108" s="24"/>
      <c r="E108" s="24"/>
      <c r="F108" s="24"/>
      <c r="G108" s="24"/>
      <c r="H108" s="24"/>
      <c r="I108" s="24"/>
      <c r="J108" s="24"/>
      <c r="K108" s="24"/>
      <c r="L108" s="24"/>
      <c r="M108" s="24"/>
      <c r="N108" s="24"/>
      <c r="O108" s="24"/>
      <c r="P108" s="24"/>
      <c r="Q108" s="24"/>
      <c r="R108" s="24"/>
      <c r="S108" s="24"/>
    </row>
    <row r="109" spans="1:19" x14ac:dyDescent="0.2">
      <c r="A109" s="24"/>
      <c r="B109" s="24"/>
      <c r="C109" s="24"/>
      <c r="D109" s="24"/>
      <c r="E109" s="24"/>
      <c r="F109" s="24"/>
      <c r="G109" s="24"/>
      <c r="H109" s="24"/>
      <c r="I109" s="24"/>
      <c r="J109" s="24"/>
      <c r="K109" s="24"/>
      <c r="L109" s="24"/>
      <c r="M109" s="24"/>
      <c r="N109" s="24"/>
      <c r="O109" s="24"/>
      <c r="P109" s="24"/>
      <c r="Q109" s="24"/>
      <c r="R109" s="24"/>
      <c r="S109" s="24"/>
    </row>
    <row r="110" spans="1:19" x14ac:dyDescent="0.2">
      <c r="A110" s="24"/>
      <c r="B110" s="24"/>
      <c r="C110" s="24"/>
      <c r="D110" s="24"/>
      <c r="E110" s="24"/>
      <c r="F110" s="24"/>
      <c r="G110" s="24"/>
      <c r="H110" s="24"/>
      <c r="I110" s="24"/>
      <c r="J110" s="24"/>
      <c r="K110" s="24"/>
      <c r="L110" s="24"/>
      <c r="M110" s="24"/>
      <c r="N110" s="24"/>
      <c r="O110" s="24"/>
      <c r="P110" s="24"/>
      <c r="Q110" s="24"/>
      <c r="R110" s="24"/>
      <c r="S110" s="24"/>
    </row>
    <row r="111" spans="1:19" x14ac:dyDescent="0.2">
      <c r="A111" s="24"/>
      <c r="B111" s="24"/>
      <c r="C111" s="24"/>
      <c r="D111" s="24"/>
      <c r="E111" s="24"/>
      <c r="F111" s="24"/>
      <c r="G111" s="24"/>
      <c r="H111" s="24"/>
      <c r="I111" s="24"/>
      <c r="J111" s="24"/>
      <c r="K111" s="24"/>
      <c r="L111" s="24"/>
      <c r="M111" s="24"/>
      <c r="N111" s="24"/>
      <c r="O111" s="24"/>
      <c r="P111" s="24"/>
      <c r="Q111" s="24"/>
      <c r="R111" s="24"/>
      <c r="S111" s="24"/>
    </row>
    <row r="112" spans="1:19" x14ac:dyDescent="0.2">
      <c r="A112" s="24"/>
      <c r="B112" s="24"/>
      <c r="C112" s="24"/>
      <c r="D112" s="24"/>
      <c r="E112" s="24"/>
      <c r="F112" s="24"/>
      <c r="G112" s="24"/>
      <c r="H112" s="24"/>
      <c r="I112" s="24"/>
      <c r="J112" s="24"/>
      <c r="K112" s="24"/>
      <c r="L112" s="24"/>
      <c r="M112" s="24"/>
      <c r="N112" s="24"/>
      <c r="O112" s="24"/>
      <c r="P112" s="24"/>
      <c r="Q112" s="24"/>
      <c r="R112" s="24"/>
      <c r="S112" s="24"/>
    </row>
    <row r="113" spans="1:19" x14ac:dyDescent="0.2">
      <c r="A113" s="24"/>
      <c r="B113" s="24"/>
      <c r="C113" s="24"/>
      <c r="D113" s="24"/>
      <c r="E113" s="24"/>
      <c r="F113" s="24"/>
      <c r="G113" s="24"/>
      <c r="H113" s="24"/>
      <c r="I113" s="24"/>
      <c r="J113" s="24"/>
      <c r="K113" s="24"/>
      <c r="L113" s="24"/>
      <c r="M113" s="24"/>
      <c r="N113" s="24"/>
      <c r="O113" s="24"/>
      <c r="P113" s="24"/>
      <c r="Q113" s="24"/>
      <c r="R113" s="24"/>
      <c r="S113" s="24"/>
    </row>
    <row r="114" spans="1:19" x14ac:dyDescent="0.2">
      <c r="A114" s="24"/>
      <c r="B114" s="24"/>
      <c r="C114" s="24"/>
      <c r="D114" s="24"/>
      <c r="E114" s="24"/>
      <c r="F114" s="24"/>
      <c r="G114" s="24"/>
      <c r="H114" s="24"/>
      <c r="I114" s="24"/>
      <c r="J114" s="24"/>
      <c r="K114" s="24"/>
      <c r="L114" s="24"/>
      <c r="M114" s="24"/>
      <c r="N114" s="24"/>
      <c r="O114" s="24"/>
      <c r="P114" s="24"/>
      <c r="Q114" s="24"/>
      <c r="R114" s="24"/>
      <c r="S114" s="24"/>
    </row>
    <row r="115" spans="1:19" x14ac:dyDescent="0.2">
      <c r="A115" s="24"/>
      <c r="B115" s="24"/>
      <c r="C115" s="24"/>
      <c r="D115" s="24"/>
      <c r="E115" s="24"/>
      <c r="F115" s="24"/>
      <c r="G115" s="24"/>
      <c r="H115" s="24"/>
      <c r="I115" s="24"/>
      <c r="J115" s="24"/>
      <c r="K115" s="24"/>
      <c r="L115" s="24"/>
      <c r="M115" s="24"/>
      <c r="N115" s="24"/>
      <c r="O115" s="24"/>
      <c r="P115" s="24"/>
      <c r="Q115" s="24"/>
      <c r="R115" s="24"/>
      <c r="S115" s="24"/>
    </row>
    <row r="116" spans="1:19" x14ac:dyDescent="0.2">
      <c r="A116" s="24"/>
      <c r="B116" s="24"/>
      <c r="C116" s="24"/>
      <c r="D116" s="24"/>
      <c r="E116" s="24"/>
      <c r="F116" s="24"/>
      <c r="G116" s="24"/>
      <c r="H116" s="24"/>
      <c r="I116" s="24"/>
      <c r="J116" s="24"/>
      <c r="K116" s="24"/>
      <c r="L116" s="24"/>
      <c r="M116" s="24"/>
      <c r="N116" s="24"/>
      <c r="O116" s="24"/>
      <c r="P116" s="24"/>
      <c r="Q116" s="24"/>
      <c r="R116" s="24"/>
      <c r="S116" s="24"/>
    </row>
    <row r="117" spans="1:19" x14ac:dyDescent="0.2">
      <c r="A117" s="24"/>
      <c r="B117" s="24"/>
      <c r="C117" s="24"/>
      <c r="D117" s="24"/>
      <c r="E117" s="24"/>
      <c r="F117" s="24"/>
      <c r="G117" s="24"/>
      <c r="H117" s="24"/>
      <c r="I117" s="24"/>
      <c r="J117" s="24"/>
      <c r="K117" s="24"/>
      <c r="L117" s="24"/>
      <c r="M117" s="24"/>
      <c r="N117" s="24"/>
      <c r="O117" s="24"/>
      <c r="P117" s="24"/>
      <c r="Q117" s="24"/>
      <c r="R117" s="24"/>
      <c r="S117" s="24"/>
    </row>
    <row r="118" spans="1:19" x14ac:dyDescent="0.2">
      <c r="A118" s="24"/>
      <c r="B118" s="24"/>
      <c r="C118" s="24"/>
      <c r="D118" s="24"/>
      <c r="E118" s="24"/>
      <c r="F118" s="24"/>
      <c r="G118" s="24"/>
      <c r="H118" s="24"/>
      <c r="I118" s="24"/>
      <c r="J118" s="24"/>
      <c r="K118" s="24"/>
      <c r="L118" s="24"/>
      <c r="M118" s="24"/>
      <c r="N118" s="24"/>
      <c r="O118" s="24"/>
      <c r="P118" s="24"/>
      <c r="Q118" s="24"/>
      <c r="R118" s="24"/>
      <c r="S118" s="24"/>
    </row>
    <row r="119" spans="1:19" x14ac:dyDescent="0.2">
      <c r="A119" s="24"/>
      <c r="B119" s="24"/>
      <c r="C119" s="24"/>
      <c r="D119" s="24"/>
      <c r="E119" s="24"/>
      <c r="F119" s="24"/>
      <c r="G119" s="24"/>
      <c r="H119" s="24"/>
      <c r="I119" s="24"/>
      <c r="J119" s="24"/>
      <c r="K119" s="24"/>
      <c r="L119" s="24"/>
      <c r="M119" s="24"/>
      <c r="N119" s="24"/>
      <c r="O119" s="24"/>
      <c r="P119" s="24"/>
      <c r="Q119" s="24"/>
      <c r="R119" s="24"/>
      <c r="S119" s="24"/>
    </row>
    <row r="120" spans="1:19" x14ac:dyDescent="0.2">
      <c r="A120" s="24"/>
      <c r="B120" s="24"/>
      <c r="C120" s="24"/>
      <c r="D120" s="24"/>
      <c r="E120" s="24"/>
      <c r="F120" s="24"/>
      <c r="G120" s="24"/>
      <c r="H120" s="24"/>
      <c r="I120" s="24"/>
      <c r="J120" s="24"/>
      <c r="K120" s="24"/>
      <c r="L120" s="24"/>
      <c r="M120" s="24"/>
      <c r="N120" s="24"/>
      <c r="O120" s="24"/>
      <c r="P120" s="24"/>
      <c r="Q120" s="24"/>
      <c r="R120" s="24"/>
      <c r="S120" s="24"/>
    </row>
    <row r="121" spans="1:19" x14ac:dyDescent="0.2">
      <c r="A121" s="24"/>
      <c r="B121" s="24"/>
      <c r="C121" s="24"/>
      <c r="D121" s="24"/>
      <c r="E121" s="24"/>
      <c r="F121" s="24"/>
      <c r="G121" s="24"/>
      <c r="H121" s="24"/>
      <c r="I121" s="24"/>
      <c r="J121" s="24"/>
      <c r="K121" s="24"/>
      <c r="L121" s="24"/>
      <c r="M121" s="24"/>
      <c r="N121" s="24"/>
      <c r="O121" s="24"/>
      <c r="P121" s="24"/>
      <c r="Q121" s="24"/>
      <c r="R121" s="24"/>
      <c r="S121" s="24"/>
    </row>
    <row r="122" spans="1:19" x14ac:dyDescent="0.2">
      <c r="A122" s="24"/>
      <c r="B122" s="24"/>
      <c r="C122" s="24"/>
      <c r="D122" s="24"/>
      <c r="E122" s="24"/>
      <c r="F122" s="24"/>
      <c r="G122" s="24"/>
      <c r="H122" s="24"/>
      <c r="I122" s="24"/>
      <c r="J122" s="24"/>
      <c r="K122" s="24"/>
      <c r="L122" s="24"/>
      <c r="M122" s="24"/>
      <c r="N122" s="24"/>
      <c r="O122" s="24"/>
      <c r="P122" s="24"/>
      <c r="Q122" s="24"/>
      <c r="R122" s="24"/>
      <c r="S122" s="24"/>
    </row>
    <row r="123" spans="1:19" x14ac:dyDescent="0.2">
      <c r="A123" s="24"/>
      <c r="B123" s="24"/>
      <c r="C123" s="24"/>
      <c r="D123" s="24"/>
      <c r="E123" s="24"/>
      <c r="F123" s="24"/>
      <c r="G123" s="24"/>
      <c r="H123" s="24"/>
      <c r="I123" s="24"/>
      <c r="J123" s="24"/>
      <c r="K123" s="24"/>
      <c r="L123" s="24"/>
      <c r="M123" s="24"/>
      <c r="N123" s="24"/>
      <c r="O123" s="24"/>
      <c r="P123" s="24"/>
      <c r="Q123" s="24"/>
      <c r="R123" s="24"/>
      <c r="S123" s="24"/>
    </row>
    <row r="124" spans="1:19" x14ac:dyDescent="0.2">
      <c r="A124" s="24"/>
      <c r="B124" s="24"/>
      <c r="C124" s="24"/>
      <c r="D124" s="24"/>
      <c r="E124" s="24"/>
      <c r="F124" s="24"/>
      <c r="G124" s="24"/>
      <c r="H124" s="24"/>
      <c r="I124" s="24"/>
      <c r="J124" s="24"/>
      <c r="K124" s="24"/>
      <c r="L124" s="24"/>
      <c r="M124" s="24"/>
      <c r="N124" s="24"/>
      <c r="O124" s="24"/>
      <c r="P124" s="24"/>
      <c r="Q124" s="24"/>
      <c r="R124" s="24"/>
      <c r="S124" s="24"/>
    </row>
    <row r="125" spans="1:19" x14ac:dyDescent="0.2">
      <c r="A125" s="24"/>
      <c r="B125" s="24"/>
      <c r="C125" s="24"/>
      <c r="D125" s="24"/>
      <c r="E125" s="24"/>
      <c r="F125" s="24"/>
      <c r="G125" s="24"/>
      <c r="H125" s="24"/>
      <c r="I125" s="24"/>
      <c r="J125" s="24"/>
      <c r="K125" s="24"/>
      <c r="L125" s="24"/>
      <c r="M125" s="24"/>
      <c r="N125" s="24"/>
      <c r="O125" s="24"/>
      <c r="P125" s="24"/>
      <c r="Q125" s="24"/>
      <c r="R125" s="24"/>
      <c r="S125" s="24"/>
    </row>
    <row r="126" spans="1:19" x14ac:dyDescent="0.2">
      <c r="A126" s="24"/>
      <c r="B126" s="24"/>
      <c r="C126" s="24"/>
      <c r="D126" s="24"/>
      <c r="E126" s="24"/>
      <c r="F126" s="24"/>
      <c r="G126" s="24"/>
      <c r="H126" s="24"/>
      <c r="I126" s="24"/>
      <c r="J126" s="24"/>
      <c r="K126" s="24"/>
      <c r="L126" s="24"/>
      <c r="M126" s="24"/>
      <c r="N126" s="24"/>
      <c r="O126" s="24"/>
      <c r="P126" s="24"/>
      <c r="Q126" s="24"/>
      <c r="R126" s="24"/>
      <c r="S126" s="24"/>
    </row>
    <row r="127" spans="1:19" x14ac:dyDescent="0.2">
      <c r="A127" s="24"/>
      <c r="B127" s="24"/>
      <c r="C127" s="24"/>
      <c r="D127" s="24"/>
      <c r="E127" s="24"/>
      <c r="F127" s="24"/>
      <c r="G127" s="24"/>
      <c r="H127" s="24"/>
      <c r="I127" s="24"/>
      <c r="J127" s="24"/>
      <c r="K127" s="24"/>
      <c r="L127" s="24"/>
      <c r="M127" s="24"/>
      <c r="N127" s="24"/>
      <c r="O127" s="24"/>
      <c r="P127" s="24"/>
      <c r="Q127" s="24"/>
      <c r="R127" s="24"/>
      <c r="S127" s="24"/>
    </row>
    <row r="128" spans="1:19" x14ac:dyDescent="0.2">
      <c r="A128" s="24"/>
      <c r="B128" s="24"/>
      <c r="C128" s="24"/>
      <c r="D128" s="24"/>
      <c r="E128" s="24"/>
      <c r="F128" s="24"/>
      <c r="G128" s="24"/>
      <c r="H128" s="24"/>
      <c r="I128" s="24"/>
      <c r="J128" s="24"/>
      <c r="K128" s="24"/>
      <c r="L128" s="24"/>
      <c r="M128" s="24"/>
      <c r="N128" s="24"/>
      <c r="O128" s="24"/>
      <c r="P128" s="24"/>
      <c r="Q128" s="24"/>
      <c r="R128" s="24"/>
      <c r="S128" s="24"/>
    </row>
    <row r="129" spans="1:19" x14ac:dyDescent="0.2">
      <c r="A129" s="24"/>
      <c r="B129" s="24"/>
      <c r="C129" s="24"/>
      <c r="D129" s="24"/>
      <c r="E129" s="24"/>
      <c r="F129" s="24"/>
      <c r="G129" s="24"/>
      <c r="H129" s="24"/>
      <c r="I129" s="24"/>
      <c r="J129" s="24"/>
      <c r="K129" s="24"/>
      <c r="L129" s="24"/>
      <c r="M129" s="24"/>
      <c r="N129" s="24"/>
      <c r="O129" s="24"/>
      <c r="P129" s="24"/>
      <c r="Q129" s="24"/>
      <c r="R129" s="24"/>
      <c r="S129" s="24"/>
    </row>
  </sheetData>
  <mergeCells count="5">
    <mergeCell ref="E3:G3"/>
    <mergeCell ref="L3:M3"/>
    <mergeCell ref="O3:T3"/>
    <mergeCell ref="W23:AE33"/>
    <mergeCell ref="Y7:Z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104E8-DFC1-B847-B77C-483E65C1FAD9}">
  <dimension ref="A1:R77"/>
  <sheetViews>
    <sheetView workbookViewId="0">
      <selection activeCell="K7" sqref="K7"/>
    </sheetView>
  </sheetViews>
  <sheetFormatPr baseColWidth="10" defaultRowHeight="16" x14ac:dyDescent="0.2"/>
  <cols>
    <col min="1" max="1" width="14.83203125" style="143" bestFit="1" customWidth="1"/>
    <col min="2" max="3" width="14" style="143" bestFit="1" customWidth="1"/>
    <col min="4" max="7" width="10.83203125" style="143"/>
    <col min="8" max="8" width="9" style="143" customWidth="1"/>
    <col min="9" max="9" width="10.83203125" style="143"/>
    <col min="10" max="10" width="15.1640625" style="143" bestFit="1" customWidth="1"/>
    <col min="11" max="11" width="14.1640625" style="143" bestFit="1" customWidth="1"/>
    <col min="12" max="16384" width="10.83203125" style="143"/>
  </cols>
  <sheetData>
    <row r="1" spans="1:10" x14ac:dyDescent="0.2">
      <c r="A1" s="141" t="s">
        <v>174</v>
      </c>
      <c r="B1" s="142"/>
      <c r="C1" s="142"/>
      <c r="D1" s="142"/>
      <c r="E1" s="142"/>
      <c r="F1" s="142"/>
      <c r="G1" s="142"/>
      <c r="H1" s="142"/>
      <c r="I1" s="142"/>
    </row>
    <row r="3" spans="1:10" x14ac:dyDescent="0.2">
      <c r="A3" s="144" t="s">
        <v>29</v>
      </c>
      <c r="B3" s="144" t="s">
        <v>269</v>
      </c>
      <c r="C3" s="144" t="s">
        <v>72</v>
      </c>
      <c r="D3" s="144" t="s">
        <v>270</v>
      </c>
      <c r="E3" s="144" t="s">
        <v>271</v>
      </c>
      <c r="F3" s="144" t="s">
        <v>272</v>
      </c>
      <c r="G3" s="144" t="s">
        <v>273</v>
      </c>
      <c r="H3" s="144" t="s">
        <v>33</v>
      </c>
    </row>
    <row r="4" spans="1:10" x14ac:dyDescent="0.2">
      <c r="A4" s="143" t="s">
        <v>274</v>
      </c>
      <c r="B4" s="145">
        <v>513.20000000000005</v>
      </c>
    </row>
    <row r="5" spans="1:10" x14ac:dyDescent="0.2">
      <c r="A5" s="143" t="s">
        <v>275</v>
      </c>
      <c r="B5" s="145">
        <v>508.95</v>
      </c>
    </row>
    <row r="6" spans="1:10" x14ac:dyDescent="0.2">
      <c r="A6" s="143" t="s">
        <v>276</v>
      </c>
      <c r="B6" s="145">
        <v>510.88</v>
      </c>
      <c r="C6" s="145">
        <f>AVERAGE(B4:B6)</f>
        <v>511.01000000000005</v>
      </c>
    </row>
    <row r="7" spans="1:10" x14ac:dyDescent="0.2">
      <c r="A7" s="143" t="s">
        <v>277</v>
      </c>
      <c r="B7" s="145">
        <v>519.51</v>
      </c>
      <c r="C7" s="145">
        <f t="shared" ref="C7:D15" si="0">AVERAGE(B5:B7)</f>
        <v>513.11333333333334</v>
      </c>
    </row>
    <row r="8" spans="1:10" x14ac:dyDescent="0.2">
      <c r="A8" s="143" t="s">
        <v>278</v>
      </c>
      <c r="B8" s="145">
        <v>520.34</v>
      </c>
      <c r="C8" s="145">
        <f t="shared" si="0"/>
        <v>516.91</v>
      </c>
      <c r="D8" s="145">
        <f>AVERAGE(C6:C8)</f>
        <v>513.67777777777781</v>
      </c>
      <c r="E8" s="145">
        <f>(2*C8)-D8</f>
        <v>520.14222222222213</v>
      </c>
      <c r="F8" s="145">
        <f>((2/(3-1)))*(C8-D8)</f>
        <v>3.2322222222221626</v>
      </c>
    </row>
    <row r="9" spans="1:10" x14ac:dyDescent="0.2">
      <c r="A9" s="143" t="s">
        <v>279</v>
      </c>
      <c r="B9" s="145">
        <v>520.87</v>
      </c>
      <c r="C9" s="145">
        <f t="shared" si="0"/>
        <v>520.2399999999999</v>
      </c>
      <c r="D9" s="145">
        <f t="shared" si="0"/>
        <v>516.7544444444444</v>
      </c>
      <c r="E9" s="145">
        <f t="shared" ref="E9:E15" si="1">(2*C9)-D9</f>
        <v>523.72555555555539</v>
      </c>
      <c r="F9" s="145">
        <f t="shared" ref="F9:F15" si="2">((2/(3-1)))*(C9-D9)</f>
        <v>3.4855555555554929</v>
      </c>
      <c r="G9" s="145">
        <f>E8+(F8*1)</f>
        <v>523.37444444444429</v>
      </c>
      <c r="H9" s="145">
        <f>POWER(B9-G9,2)</f>
        <v>6.2722419753078622</v>
      </c>
    </row>
    <row r="10" spans="1:10" x14ac:dyDescent="0.2">
      <c r="A10" s="143" t="s">
        <v>280</v>
      </c>
      <c r="B10" s="145">
        <v>509.26</v>
      </c>
      <c r="C10" s="145">
        <f t="shared" si="0"/>
        <v>516.82333333333338</v>
      </c>
      <c r="D10" s="145">
        <f t="shared" si="0"/>
        <v>517.99111111111108</v>
      </c>
      <c r="E10" s="145">
        <f t="shared" si="1"/>
        <v>515.65555555555568</v>
      </c>
      <c r="F10" s="145">
        <f t="shared" si="2"/>
        <v>-1.167777777777701</v>
      </c>
      <c r="G10" s="145">
        <f t="shared" ref="G10:G16" si="3">E9+(F9*1)</f>
        <v>527.21111111111088</v>
      </c>
      <c r="H10" s="145">
        <f t="shared" ref="H10:H15" si="4">POWER(B10-G10,2)</f>
        <v>322.24239012344884</v>
      </c>
    </row>
    <row r="11" spans="1:10" x14ac:dyDescent="0.2">
      <c r="A11" s="143" t="s">
        <v>281</v>
      </c>
      <c r="B11" s="145">
        <v>518.33000000000004</v>
      </c>
      <c r="C11" s="145">
        <f t="shared" si="0"/>
        <v>516.15333333333331</v>
      </c>
      <c r="D11" s="145">
        <f t="shared" si="0"/>
        <v>517.73888888888894</v>
      </c>
      <c r="E11" s="145">
        <f t="shared" si="1"/>
        <v>514.56777777777768</v>
      </c>
      <c r="F11" s="145">
        <f t="shared" si="2"/>
        <v>-1.5855555555556293</v>
      </c>
      <c r="G11" s="145">
        <f t="shared" si="3"/>
        <v>514.48777777777798</v>
      </c>
      <c r="H11" s="145">
        <f t="shared" si="4"/>
        <v>14.762671604937045</v>
      </c>
    </row>
    <row r="12" spans="1:10" x14ac:dyDescent="0.2">
      <c r="A12" s="143" t="s">
        <v>282</v>
      </c>
      <c r="B12" s="145">
        <v>516.23</v>
      </c>
      <c r="C12" s="145">
        <f t="shared" si="0"/>
        <v>514.60666666666668</v>
      </c>
      <c r="D12" s="145">
        <f t="shared" si="0"/>
        <v>515.8611111111112</v>
      </c>
      <c r="E12" s="145">
        <f t="shared" si="1"/>
        <v>513.35222222222217</v>
      </c>
      <c r="F12" s="145">
        <f t="shared" si="2"/>
        <v>-1.2544444444445162</v>
      </c>
      <c r="G12" s="145">
        <f t="shared" si="3"/>
        <v>512.98222222222205</v>
      </c>
      <c r="H12" s="145">
        <f t="shared" si="4"/>
        <v>10.548060493828405</v>
      </c>
    </row>
    <row r="13" spans="1:10" x14ac:dyDescent="0.2">
      <c r="A13" s="143" t="s">
        <v>283</v>
      </c>
      <c r="B13" s="145">
        <v>517.35</v>
      </c>
      <c r="C13" s="145">
        <f t="shared" si="0"/>
        <v>517.30333333333328</v>
      </c>
      <c r="D13" s="145">
        <f t="shared" si="0"/>
        <v>516.02111111111105</v>
      </c>
      <c r="E13" s="145">
        <f t="shared" si="1"/>
        <v>518.58555555555552</v>
      </c>
      <c r="F13" s="145">
        <f t="shared" si="2"/>
        <v>1.2822222222222308</v>
      </c>
      <c r="G13" s="145">
        <f t="shared" si="3"/>
        <v>512.09777777777765</v>
      </c>
      <c r="H13" s="145">
        <f t="shared" si="4"/>
        <v>27.585838271606509</v>
      </c>
    </row>
    <row r="14" spans="1:10" x14ac:dyDescent="0.2">
      <c r="A14" s="143" t="s">
        <v>284</v>
      </c>
      <c r="B14" s="145">
        <v>513.58000000000004</v>
      </c>
      <c r="C14" s="145">
        <f t="shared" si="0"/>
        <v>515.71999999999991</v>
      </c>
      <c r="D14" s="145">
        <f t="shared" si="0"/>
        <v>515.87666666666655</v>
      </c>
      <c r="E14" s="145">
        <f t="shared" si="1"/>
        <v>515.56333333333328</v>
      </c>
      <c r="F14" s="145">
        <f t="shared" si="2"/>
        <v>-0.15666666666663787</v>
      </c>
      <c r="G14" s="145">
        <f t="shared" si="3"/>
        <v>519.86777777777775</v>
      </c>
      <c r="H14" s="145">
        <f t="shared" si="4"/>
        <v>39.536149382715138</v>
      </c>
    </row>
    <row r="15" spans="1:10" x14ac:dyDescent="0.2">
      <c r="A15" s="143" t="s">
        <v>285</v>
      </c>
      <c r="B15" s="145">
        <v>512</v>
      </c>
      <c r="C15" s="145">
        <f t="shared" si="0"/>
        <v>514.31000000000006</v>
      </c>
      <c r="D15" s="145">
        <f t="shared" si="0"/>
        <v>515.77777777777771</v>
      </c>
      <c r="E15" s="145">
        <f t="shared" si="1"/>
        <v>512.8422222222224</v>
      </c>
      <c r="F15" s="145">
        <f t="shared" si="2"/>
        <v>-1.4677777777776555</v>
      </c>
      <c r="G15" s="145">
        <f t="shared" si="3"/>
        <v>515.40666666666664</v>
      </c>
      <c r="H15" s="145">
        <f t="shared" si="4"/>
        <v>11.605377777777582</v>
      </c>
    </row>
    <row r="16" spans="1:10" x14ac:dyDescent="0.2">
      <c r="A16" s="143" t="s">
        <v>286</v>
      </c>
      <c r="G16" s="145">
        <f t="shared" si="3"/>
        <v>511.37444444444475</v>
      </c>
      <c r="J16" s="146" t="s">
        <v>287</v>
      </c>
    </row>
    <row r="18" spans="1:9" x14ac:dyDescent="0.2">
      <c r="H18" s="145">
        <f>AVERAGE(H9:H15)</f>
        <v>61.793247089945908</v>
      </c>
    </row>
    <row r="19" spans="1:9" x14ac:dyDescent="0.2">
      <c r="A19" s="141" t="s">
        <v>180</v>
      </c>
      <c r="B19" s="142"/>
      <c r="C19" s="142"/>
      <c r="D19" s="142"/>
      <c r="E19" s="142"/>
      <c r="F19" s="142"/>
      <c r="G19" s="142"/>
      <c r="H19" s="142"/>
      <c r="I19" s="142"/>
    </row>
    <row r="21" spans="1:9" x14ac:dyDescent="0.2">
      <c r="B21" s="144" t="s">
        <v>269</v>
      </c>
      <c r="C21" s="144" t="s">
        <v>273</v>
      </c>
      <c r="D21" s="144" t="s">
        <v>33</v>
      </c>
    </row>
    <row r="22" spans="1:9" x14ac:dyDescent="0.2">
      <c r="A22" s="143" t="s">
        <v>274</v>
      </c>
      <c r="B22" s="145">
        <v>513.20000000000005</v>
      </c>
    </row>
    <row r="23" spans="1:9" x14ac:dyDescent="0.2">
      <c r="A23" s="143" t="s">
        <v>275</v>
      </c>
      <c r="B23" s="145">
        <v>508.95</v>
      </c>
    </row>
    <row r="24" spans="1:9" x14ac:dyDescent="0.2">
      <c r="A24" s="143" t="s">
        <v>276</v>
      </c>
      <c r="B24" s="145">
        <v>510.88</v>
      </c>
    </row>
    <row r="25" spans="1:9" x14ac:dyDescent="0.2">
      <c r="A25" s="143" t="s">
        <v>277</v>
      </c>
      <c r="B25" s="145">
        <v>519.51</v>
      </c>
      <c r="C25" s="145">
        <f>AVERAGE(B22:B24)</f>
        <v>511.01000000000005</v>
      </c>
      <c r="D25" s="145">
        <f>POWER(B25-C25,2)</f>
        <v>72.249999999999034</v>
      </c>
    </row>
    <row r="26" spans="1:9" x14ac:dyDescent="0.2">
      <c r="A26" s="143" t="s">
        <v>278</v>
      </c>
      <c r="B26" s="145">
        <v>520.34</v>
      </c>
      <c r="C26" s="145">
        <f t="shared" ref="C26:C34" si="5">AVERAGE(B23:B25)</f>
        <v>513.11333333333334</v>
      </c>
      <c r="D26" s="145">
        <f t="shared" ref="D26:D33" si="6">POWER(B26-C26,2)</f>
        <v>52.224711111111418</v>
      </c>
    </row>
    <row r="27" spans="1:9" x14ac:dyDescent="0.2">
      <c r="A27" s="143" t="s">
        <v>279</v>
      </c>
      <c r="B27" s="145">
        <v>520.87</v>
      </c>
      <c r="C27" s="145">
        <f t="shared" si="5"/>
        <v>516.91</v>
      </c>
      <c r="D27" s="145">
        <f t="shared" si="6"/>
        <v>15.681600000000287</v>
      </c>
    </row>
    <row r="28" spans="1:9" x14ac:dyDescent="0.2">
      <c r="A28" s="143" t="s">
        <v>280</v>
      </c>
      <c r="B28" s="145">
        <v>509.26</v>
      </c>
      <c r="C28" s="145">
        <f t="shared" si="5"/>
        <v>520.2399999999999</v>
      </c>
      <c r="D28" s="145">
        <f t="shared" si="6"/>
        <v>120.5603999999979</v>
      </c>
    </row>
    <row r="29" spans="1:9" x14ac:dyDescent="0.2">
      <c r="A29" s="143" t="s">
        <v>281</v>
      </c>
      <c r="B29" s="145">
        <v>518.33000000000004</v>
      </c>
      <c r="C29" s="145">
        <f t="shared" si="5"/>
        <v>516.82333333333338</v>
      </c>
      <c r="D29" s="145">
        <f t="shared" si="6"/>
        <v>2.2700444444444261</v>
      </c>
    </row>
    <row r="30" spans="1:9" x14ac:dyDescent="0.2">
      <c r="A30" s="143" t="s">
        <v>282</v>
      </c>
      <c r="B30" s="145">
        <v>516.23</v>
      </c>
      <c r="C30" s="145">
        <f t="shared" si="5"/>
        <v>516.15333333333331</v>
      </c>
      <c r="D30" s="145">
        <f t="shared" si="6"/>
        <v>5.877777777784518E-3</v>
      </c>
    </row>
    <row r="31" spans="1:9" x14ac:dyDescent="0.2">
      <c r="A31" s="143" t="s">
        <v>283</v>
      </c>
      <c r="B31" s="145">
        <v>517.35</v>
      </c>
      <c r="C31" s="145">
        <f t="shared" si="5"/>
        <v>514.60666666666668</v>
      </c>
      <c r="D31" s="145">
        <f t="shared" si="6"/>
        <v>7.5258777777778114</v>
      </c>
    </row>
    <row r="32" spans="1:9" x14ac:dyDescent="0.2">
      <c r="A32" s="143" t="s">
        <v>284</v>
      </c>
      <c r="B32" s="145">
        <v>513.58000000000004</v>
      </c>
      <c r="C32" s="145">
        <f t="shared" si="5"/>
        <v>517.30333333333328</v>
      </c>
      <c r="D32" s="145">
        <f t="shared" si="6"/>
        <v>13.863211111110445</v>
      </c>
    </row>
    <row r="33" spans="1:18" x14ac:dyDescent="0.2">
      <c r="A33" s="143" t="s">
        <v>285</v>
      </c>
      <c r="B33" s="145">
        <v>512</v>
      </c>
      <c r="C33" s="145">
        <f t="shared" si="5"/>
        <v>515.71999999999991</v>
      </c>
      <c r="D33" s="145">
        <f t="shared" si="6"/>
        <v>13.838399999999357</v>
      </c>
    </row>
    <row r="34" spans="1:18" x14ac:dyDescent="0.2">
      <c r="A34" s="143" t="s">
        <v>286</v>
      </c>
      <c r="C34" s="145">
        <f t="shared" si="5"/>
        <v>514.31000000000006</v>
      </c>
      <c r="F34" s="146" t="s">
        <v>287</v>
      </c>
    </row>
    <row r="36" spans="1:18" x14ac:dyDescent="0.2">
      <c r="D36" s="145">
        <f>AVERAGE(D27:D33)</f>
        <v>24.820773015872579</v>
      </c>
    </row>
    <row r="38" spans="1:18" x14ac:dyDescent="0.2">
      <c r="A38" s="141" t="s">
        <v>288</v>
      </c>
      <c r="B38" s="142"/>
      <c r="C38" s="142"/>
      <c r="D38" s="142"/>
      <c r="E38" s="142"/>
      <c r="F38" s="142"/>
      <c r="G38" s="142"/>
      <c r="H38" s="142"/>
      <c r="I38" s="142"/>
      <c r="J38" s="141" t="s">
        <v>289</v>
      </c>
      <c r="K38" s="142"/>
      <c r="L38" s="142"/>
      <c r="M38" s="142"/>
      <c r="N38" s="142"/>
      <c r="O38" s="142"/>
      <c r="P38" s="142"/>
      <c r="Q38" s="142"/>
      <c r="R38" s="142"/>
    </row>
    <row r="40" spans="1:18" x14ac:dyDescent="0.2">
      <c r="B40" s="144" t="s">
        <v>269</v>
      </c>
      <c r="C40" s="144" t="s">
        <v>273</v>
      </c>
      <c r="D40" s="144" t="s">
        <v>33</v>
      </c>
      <c r="K40" s="144" t="s">
        <v>269</v>
      </c>
      <c r="L40" s="144" t="s">
        <v>273</v>
      </c>
      <c r="M40" s="144" t="s">
        <v>33</v>
      </c>
    </row>
    <row r="41" spans="1:18" x14ac:dyDescent="0.2">
      <c r="A41" s="143" t="s">
        <v>274</v>
      </c>
      <c r="B41" s="145">
        <v>513.20000000000005</v>
      </c>
      <c r="J41" s="143" t="s">
        <v>274</v>
      </c>
      <c r="K41" s="145">
        <v>513.20000000000005</v>
      </c>
    </row>
    <row r="42" spans="1:18" x14ac:dyDescent="0.2">
      <c r="A42" s="143" t="s">
        <v>275</v>
      </c>
      <c r="B42" s="145">
        <v>508.95</v>
      </c>
      <c r="J42" s="143" t="s">
        <v>275</v>
      </c>
      <c r="K42" s="145">
        <v>508.95</v>
      </c>
      <c r="L42" s="143">
        <f>K41/1</f>
        <v>513.20000000000005</v>
      </c>
    </row>
    <row r="43" spans="1:18" x14ac:dyDescent="0.2">
      <c r="A43" s="143" t="s">
        <v>276</v>
      </c>
      <c r="B43" s="145">
        <v>510.88</v>
      </c>
      <c r="J43" s="143" t="s">
        <v>276</v>
      </c>
      <c r="K43" s="145">
        <v>510.88</v>
      </c>
      <c r="L43" s="145">
        <f>(K41+K42)/2</f>
        <v>511.07500000000005</v>
      </c>
    </row>
    <row r="44" spans="1:18" x14ac:dyDescent="0.2">
      <c r="A44" s="143" t="s">
        <v>277</v>
      </c>
      <c r="B44" s="145">
        <v>519.51</v>
      </c>
      <c r="C44" s="145">
        <f>((B41*1)+(B42*2)+(B43*3))/6</f>
        <v>510.62333333333328</v>
      </c>
      <c r="D44" s="145">
        <f>POWER(B44-C44,2)</f>
        <v>78.972844444445272</v>
      </c>
      <c r="J44" s="143" t="s">
        <v>277</v>
      </c>
      <c r="K44" s="145">
        <v>519.51</v>
      </c>
      <c r="L44" s="145">
        <f>(K43+K42+K41)/3</f>
        <v>511.01</v>
      </c>
      <c r="M44" s="145">
        <f>POWER(K44-L44,2)</f>
        <v>72.25</v>
      </c>
    </row>
    <row r="45" spans="1:18" x14ac:dyDescent="0.2">
      <c r="A45" s="143" t="s">
        <v>278</v>
      </c>
      <c r="B45" s="145">
        <v>520.34</v>
      </c>
      <c r="C45" s="145">
        <f t="shared" ref="C45:C53" si="7">((B42*1)+(B43*2)+(B44*3))/6</f>
        <v>514.87333333333333</v>
      </c>
      <c r="D45" s="145">
        <f t="shared" ref="D45:D52" si="8">POWER(B45-C45,2)</f>
        <v>29.884444444444775</v>
      </c>
      <c r="J45" s="143" t="s">
        <v>278</v>
      </c>
      <c r="K45" s="145">
        <v>520.34</v>
      </c>
      <c r="L45" s="145">
        <f>(K44+K43+K42+K41)/4</f>
        <v>513.13499999999999</v>
      </c>
      <c r="M45" s="145">
        <f t="shared" ref="M45:M52" si="9">POWER(K45-L45,2)</f>
        <v>51.91202500000059</v>
      </c>
    </row>
    <row r="46" spans="1:18" x14ac:dyDescent="0.2">
      <c r="A46" s="143" t="s">
        <v>279</v>
      </c>
      <c r="B46" s="145">
        <v>520.87</v>
      </c>
      <c r="C46" s="145">
        <f t="shared" si="7"/>
        <v>518.48666666666668</v>
      </c>
      <c r="D46" s="145">
        <f t="shared" si="8"/>
        <v>5.680277777777742</v>
      </c>
      <c r="J46" s="143" t="s">
        <v>279</v>
      </c>
      <c r="K46" s="145">
        <v>520.87</v>
      </c>
      <c r="L46" s="145">
        <f>(K45+K44+K43+K42+K41)/5</f>
        <v>514.57600000000002</v>
      </c>
      <c r="M46" s="145">
        <f t="shared" si="9"/>
        <v>39.614435999999785</v>
      </c>
    </row>
    <row r="47" spans="1:18" x14ac:dyDescent="0.2">
      <c r="A47" s="143" t="s">
        <v>280</v>
      </c>
      <c r="B47" s="145">
        <v>509.26</v>
      </c>
      <c r="C47" s="145">
        <f t="shared" si="7"/>
        <v>520.4666666666667</v>
      </c>
      <c r="D47" s="145">
        <f t="shared" si="8"/>
        <v>125.58937777777867</v>
      </c>
      <c r="J47" s="143" t="s">
        <v>280</v>
      </c>
      <c r="K47" s="145">
        <v>509.26</v>
      </c>
      <c r="L47" s="145">
        <f>(K46+K45+K44+K43+K42+K41)/6</f>
        <v>515.625</v>
      </c>
      <c r="M47" s="145">
        <f t="shared" si="9"/>
        <v>40.513225000000119</v>
      </c>
    </row>
    <row r="48" spans="1:18" x14ac:dyDescent="0.2">
      <c r="A48" s="143" t="s">
        <v>281</v>
      </c>
      <c r="B48" s="145">
        <v>518.33000000000004</v>
      </c>
      <c r="C48" s="145">
        <f t="shared" si="7"/>
        <v>514.97666666666657</v>
      </c>
      <c r="D48" s="145">
        <f t="shared" si="8"/>
        <v>11.24484444444534</v>
      </c>
      <c r="J48" s="143" t="s">
        <v>281</v>
      </c>
      <c r="K48" s="145">
        <v>518.33000000000004</v>
      </c>
      <c r="L48" s="145">
        <f>(K47+K46+K45+K44+K43+K42+K41)/7</f>
        <v>514.71571428571428</v>
      </c>
      <c r="M48" s="145">
        <f t="shared" si="9"/>
        <v>13.063061224490101</v>
      </c>
    </row>
    <row r="49" spans="1:15" x14ac:dyDescent="0.2">
      <c r="A49" s="143" t="s">
        <v>282</v>
      </c>
      <c r="B49" s="145">
        <v>516.23</v>
      </c>
      <c r="C49" s="145">
        <f t="shared" si="7"/>
        <v>515.73</v>
      </c>
      <c r="D49" s="145">
        <f t="shared" si="8"/>
        <v>0.25</v>
      </c>
      <c r="J49" s="143" t="s">
        <v>282</v>
      </c>
      <c r="K49" s="145">
        <v>516.23</v>
      </c>
      <c r="L49" s="145">
        <f>(K48+K47+K46+K45+K44+K43+K42+K41)/8</f>
        <v>515.16750000000002</v>
      </c>
      <c r="M49" s="145">
        <f t="shared" si="9"/>
        <v>1.12890625</v>
      </c>
    </row>
    <row r="50" spans="1:15" x14ac:dyDescent="0.2">
      <c r="A50" s="143" t="s">
        <v>283</v>
      </c>
      <c r="B50" s="145">
        <v>517.35</v>
      </c>
      <c r="C50" s="145">
        <f t="shared" si="7"/>
        <v>515.76833333333332</v>
      </c>
      <c r="D50" s="145">
        <f t="shared" si="8"/>
        <v>2.5016694444445693</v>
      </c>
      <c r="J50" s="143" t="s">
        <v>283</v>
      </c>
      <c r="K50" s="145">
        <v>517.35</v>
      </c>
      <c r="L50" s="145">
        <f>(K49+K48+K47+K46+K45+K44+K43+K42+K41)/9</f>
        <v>515.28555555555556</v>
      </c>
      <c r="M50" s="145">
        <f t="shared" si="9"/>
        <v>4.2619308641976019</v>
      </c>
    </row>
    <row r="51" spans="1:15" x14ac:dyDescent="0.2">
      <c r="A51" s="143" t="s">
        <v>284</v>
      </c>
      <c r="B51" s="145">
        <v>513.58000000000004</v>
      </c>
      <c r="C51" s="145">
        <f t="shared" si="7"/>
        <v>517.14</v>
      </c>
      <c r="D51" s="145">
        <f t="shared" si="8"/>
        <v>12.673599999999611</v>
      </c>
      <c r="J51" s="143" t="s">
        <v>284</v>
      </c>
      <c r="K51" s="145">
        <v>513.58000000000004</v>
      </c>
      <c r="L51" s="145">
        <f>(K50+K49+K48+K47+K46+K45+K44+K43+K42+K41)/10</f>
        <v>515.49199999999996</v>
      </c>
      <c r="M51" s="145">
        <f t="shared" si="9"/>
        <v>3.6557439999996975</v>
      </c>
    </row>
    <row r="52" spans="1:15" x14ac:dyDescent="0.2">
      <c r="A52" s="143" t="s">
        <v>285</v>
      </c>
      <c r="B52" s="145">
        <v>512</v>
      </c>
      <c r="C52" s="145">
        <f t="shared" si="7"/>
        <v>515.27833333333331</v>
      </c>
      <c r="D52" s="145">
        <f t="shared" si="8"/>
        <v>10.747469444444276</v>
      </c>
      <c r="J52" s="143" t="s">
        <v>285</v>
      </c>
      <c r="K52" s="145">
        <v>512</v>
      </c>
      <c r="L52" s="145">
        <f>(K51+K50+K49+K48+K47+K46+K45+K44+K43+K42+K41)/11</f>
        <v>515.31818181818187</v>
      </c>
      <c r="M52" s="145">
        <f t="shared" si="9"/>
        <v>11.01033057851274</v>
      </c>
    </row>
    <row r="53" spans="1:15" x14ac:dyDescent="0.2">
      <c r="A53" s="143" t="s">
        <v>286</v>
      </c>
      <c r="C53" s="145">
        <f t="shared" si="7"/>
        <v>513.41833333333341</v>
      </c>
      <c r="F53" s="146" t="s">
        <v>287</v>
      </c>
      <c r="J53" s="143" t="s">
        <v>286</v>
      </c>
      <c r="L53" s="145">
        <f>(K52+K51+K50+K49+K48+K47+K46+K45+K44+K43+K42+K41)/12</f>
        <v>515.04166666666663</v>
      </c>
      <c r="O53" s="146" t="s">
        <v>287</v>
      </c>
    </row>
    <row r="55" spans="1:15" x14ac:dyDescent="0.2">
      <c r="D55" s="145">
        <f>AVERAGE(D46:D52)</f>
        <v>24.098176984127171</v>
      </c>
      <c r="M55" s="145">
        <f>AVERAGE(M46:M52)</f>
        <v>16.178233416742863</v>
      </c>
    </row>
    <row r="57" spans="1:15" x14ac:dyDescent="0.2">
      <c r="A57" s="141" t="s">
        <v>290</v>
      </c>
      <c r="B57" s="142"/>
      <c r="C57" s="142"/>
      <c r="D57" s="142"/>
      <c r="E57" s="142"/>
      <c r="F57" s="142"/>
      <c r="G57" s="142"/>
      <c r="H57" s="142"/>
      <c r="I57" s="142"/>
    </row>
    <row r="58" spans="1:15" x14ac:dyDescent="0.2">
      <c r="A58" s="147"/>
    </row>
    <row r="59" spans="1:15" x14ac:dyDescent="0.2">
      <c r="A59" s="148" t="s">
        <v>291</v>
      </c>
    </row>
    <row r="60" spans="1:15" x14ac:dyDescent="0.2">
      <c r="A60" s="149" t="s">
        <v>292</v>
      </c>
      <c r="B60" s="150" t="s">
        <v>285</v>
      </c>
      <c r="C60" s="150" t="s">
        <v>286</v>
      </c>
    </row>
    <row r="61" spans="1:15" x14ac:dyDescent="0.2">
      <c r="A61" s="149"/>
      <c r="B61" s="150" t="s">
        <v>293</v>
      </c>
      <c r="C61" s="150"/>
    </row>
    <row r="62" spans="1:15" ht="34" x14ac:dyDescent="0.2">
      <c r="A62" s="151" t="s">
        <v>294</v>
      </c>
      <c r="B62" s="152">
        <v>100000</v>
      </c>
      <c r="C62" s="152">
        <v>100000</v>
      </c>
    </row>
    <row r="63" spans="1:15" ht="34" x14ac:dyDescent="0.2">
      <c r="A63" s="151" t="s">
        <v>295</v>
      </c>
      <c r="B63" s="153">
        <f>B62*B52</f>
        <v>51200000</v>
      </c>
      <c r="C63" s="153">
        <f>C62*C53</f>
        <v>51341833.333333343</v>
      </c>
    </row>
    <row r="64" spans="1:15" x14ac:dyDescent="0.2">
      <c r="A64" s="149"/>
      <c r="B64" s="293" t="s">
        <v>296</v>
      </c>
      <c r="C64" s="293"/>
    </row>
    <row r="65" spans="1:5" x14ac:dyDescent="0.2">
      <c r="A65" s="149"/>
      <c r="B65" s="154">
        <f>B63-C63</f>
        <v>-141833.33333334327</v>
      </c>
      <c r="C65" s="155">
        <f>(C63-B63)/B63</f>
        <v>2.7701822916668607E-3</v>
      </c>
      <c r="E65" s="146" t="s">
        <v>297</v>
      </c>
    </row>
    <row r="66" spans="1:5" x14ac:dyDescent="0.2">
      <c r="C66" s="156"/>
    </row>
    <row r="67" spans="1:5" x14ac:dyDescent="0.2">
      <c r="B67" s="143" t="s">
        <v>298</v>
      </c>
      <c r="C67" s="156"/>
    </row>
    <row r="68" spans="1:5" x14ac:dyDescent="0.2">
      <c r="C68" s="156"/>
    </row>
    <row r="69" spans="1:5" x14ac:dyDescent="0.2">
      <c r="A69" s="148" t="s">
        <v>299</v>
      </c>
    </row>
    <row r="70" spans="1:5" x14ac:dyDescent="0.2">
      <c r="A70" s="149" t="s">
        <v>292</v>
      </c>
      <c r="B70" s="150" t="s">
        <v>285</v>
      </c>
      <c r="C70" s="150" t="s">
        <v>286</v>
      </c>
    </row>
    <row r="71" spans="1:5" x14ac:dyDescent="0.2">
      <c r="A71" s="149"/>
      <c r="B71" s="150" t="s">
        <v>293</v>
      </c>
      <c r="C71" s="150"/>
    </row>
    <row r="72" spans="1:5" ht="34" x14ac:dyDescent="0.2">
      <c r="A72" s="151" t="s">
        <v>294</v>
      </c>
      <c r="B72" s="152">
        <v>100000</v>
      </c>
      <c r="C72" s="152">
        <v>100000</v>
      </c>
    </row>
    <row r="73" spans="1:5" ht="34" x14ac:dyDescent="0.2">
      <c r="A73" s="151" t="s">
        <v>295</v>
      </c>
      <c r="B73" s="153">
        <f>B72*K52</f>
        <v>51200000</v>
      </c>
      <c r="C73" s="153">
        <f>C72*L53</f>
        <v>51504166.666666664</v>
      </c>
    </row>
    <row r="74" spans="1:5" x14ac:dyDescent="0.2">
      <c r="A74" s="149"/>
      <c r="B74" s="293" t="s">
        <v>296</v>
      </c>
      <c r="C74" s="293"/>
    </row>
    <row r="75" spans="1:5" x14ac:dyDescent="0.2">
      <c r="A75" s="149"/>
      <c r="B75" s="154">
        <f>B73-C73</f>
        <v>-304166.66666666418</v>
      </c>
      <c r="C75" s="155">
        <f>(C73-B73)/B73</f>
        <v>5.9407552083332845E-3</v>
      </c>
    </row>
    <row r="77" spans="1:5" x14ac:dyDescent="0.2">
      <c r="B77" s="143" t="s">
        <v>300</v>
      </c>
    </row>
  </sheetData>
  <mergeCells count="2">
    <mergeCell ref="B64:C64"/>
    <mergeCell ref="B74:C74"/>
  </mergeCells>
  <pageMargins left="0.75" right="0.75" top="1" bottom="1" header="0.5" footer="0.5"/>
  <pageSetup paperSize="9" orientation="portrait" horizontalDpi="4294967292" verticalDpi="4294967292"/>
  <ignoredErrors>
    <ignoredError sqref="C6:C15 C25:C34" formulaRange="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CF155-7EFB-BD45-98B8-33816A5DE144}">
  <dimension ref="A1:K27"/>
  <sheetViews>
    <sheetView zoomScale="125" zoomScaleNormal="125" workbookViewId="0">
      <selection activeCell="H36" sqref="H36"/>
    </sheetView>
  </sheetViews>
  <sheetFormatPr baseColWidth="10" defaultRowHeight="13" x14ac:dyDescent="0.15"/>
  <cols>
    <col min="1" max="1" width="13.5" style="160" bestFit="1" customWidth="1"/>
    <col min="2" max="2" width="17.1640625" style="160" customWidth="1"/>
    <col min="3" max="5" width="10.83203125" style="160"/>
    <col min="6" max="6" width="14.5" style="160" bestFit="1" customWidth="1"/>
    <col min="7" max="8" width="17.5" style="160" bestFit="1" customWidth="1"/>
    <col min="9" max="9" width="10.83203125" style="160"/>
    <col min="10" max="10" width="28.6640625" style="160" bestFit="1" customWidth="1"/>
    <col min="11" max="256" width="10.83203125" style="160"/>
    <col min="257" max="257" width="13.5" style="160" bestFit="1" customWidth="1"/>
    <col min="258" max="258" width="17.1640625" style="160" customWidth="1"/>
    <col min="259" max="261" width="10.83203125" style="160"/>
    <col min="262" max="262" width="14.5" style="160" bestFit="1" customWidth="1"/>
    <col min="263" max="264" width="17.5" style="160" bestFit="1" customWidth="1"/>
    <col min="265" max="265" width="10.83203125" style="160"/>
    <col min="266" max="266" width="28.6640625" style="160" bestFit="1" customWidth="1"/>
    <col min="267" max="512" width="10.83203125" style="160"/>
    <col min="513" max="513" width="13.5" style="160" bestFit="1" customWidth="1"/>
    <col min="514" max="514" width="17.1640625" style="160" customWidth="1"/>
    <col min="515" max="517" width="10.83203125" style="160"/>
    <col min="518" max="518" width="14.5" style="160" bestFit="1" customWidth="1"/>
    <col min="519" max="520" width="17.5" style="160" bestFit="1" customWidth="1"/>
    <col min="521" max="521" width="10.83203125" style="160"/>
    <col min="522" max="522" width="28.6640625" style="160" bestFit="1" customWidth="1"/>
    <col min="523" max="768" width="10.83203125" style="160"/>
    <col min="769" max="769" width="13.5" style="160" bestFit="1" customWidth="1"/>
    <col min="770" max="770" width="17.1640625" style="160" customWidth="1"/>
    <col min="771" max="773" width="10.83203125" style="160"/>
    <col min="774" max="774" width="14.5" style="160" bestFit="1" customWidth="1"/>
    <col min="775" max="776" width="17.5" style="160" bestFit="1" customWidth="1"/>
    <col min="777" max="777" width="10.83203125" style="160"/>
    <col min="778" max="778" width="28.6640625" style="160" bestFit="1" customWidth="1"/>
    <col min="779" max="1024" width="10.83203125" style="160"/>
    <col min="1025" max="1025" width="13.5" style="160" bestFit="1" customWidth="1"/>
    <col min="1026" max="1026" width="17.1640625" style="160" customWidth="1"/>
    <col min="1027" max="1029" width="10.83203125" style="160"/>
    <col min="1030" max="1030" width="14.5" style="160" bestFit="1" customWidth="1"/>
    <col min="1031" max="1032" width="17.5" style="160" bestFit="1" customWidth="1"/>
    <col min="1033" max="1033" width="10.83203125" style="160"/>
    <col min="1034" max="1034" width="28.6640625" style="160" bestFit="1" customWidth="1"/>
    <col min="1035" max="1280" width="10.83203125" style="160"/>
    <col min="1281" max="1281" width="13.5" style="160" bestFit="1" customWidth="1"/>
    <col min="1282" max="1282" width="17.1640625" style="160" customWidth="1"/>
    <col min="1283" max="1285" width="10.83203125" style="160"/>
    <col min="1286" max="1286" width="14.5" style="160" bestFit="1" customWidth="1"/>
    <col min="1287" max="1288" width="17.5" style="160" bestFit="1" customWidth="1"/>
    <col min="1289" max="1289" width="10.83203125" style="160"/>
    <col min="1290" max="1290" width="28.6640625" style="160" bestFit="1" customWidth="1"/>
    <col min="1291" max="1536" width="10.83203125" style="160"/>
    <col min="1537" max="1537" width="13.5" style="160" bestFit="1" customWidth="1"/>
    <col min="1538" max="1538" width="17.1640625" style="160" customWidth="1"/>
    <col min="1539" max="1541" width="10.83203125" style="160"/>
    <col min="1542" max="1542" width="14.5" style="160" bestFit="1" customWidth="1"/>
    <col min="1543" max="1544" width="17.5" style="160" bestFit="1" customWidth="1"/>
    <col min="1545" max="1545" width="10.83203125" style="160"/>
    <col min="1546" max="1546" width="28.6640625" style="160" bestFit="1" customWidth="1"/>
    <col min="1547" max="1792" width="10.83203125" style="160"/>
    <col min="1793" max="1793" width="13.5" style="160" bestFit="1" customWidth="1"/>
    <col min="1794" max="1794" width="17.1640625" style="160" customWidth="1"/>
    <col min="1795" max="1797" width="10.83203125" style="160"/>
    <col min="1798" max="1798" width="14.5" style="160" bestFit="1" customWidth="1"/>
    <col min="1799" max="1800" width="17.5" style="160" bestFit="1" customWidth="1"/>
    <col min="1801" max="1801" width="10.83203125" style="160"/>
    <col min="1802" max="1802" width="28.6640625" style="160" bestFit="1" customWidth="1"/>
    <col min="1803" max="2048" width="10.83203125" style="160"/>
    <col min="2049" max="2049" width="13.5" style="160" bestFit="1" customWidth="1"/>
    <col min="2050" max="2050" width="17.1640625" style="160" customWidth="1"/>
    <col min="2051" max="2053" width="10.83203125" style="160"/>
    <col min="2054" max="2054" width="14.5" style="160" bestFit="1" customWidth="1"/>
    <col min="2055" max="2056" width="17.5" style="160" bestFit="1" customWidth="1"/>
    <col min="2057" max="2057" width="10.83203125" style="160"/>
    <col min="2058" max="2058" width="28.6640625" style="160" bestFit="1" customWidth="1"/>
    <col min="2059" max="2304" width="10.83203125" style="160"/>
    <col min="2305" max="2305" width="13.5" style="160" bestFit="1" customWidth="1"/>
    <col min="2306" max="2306" width="17.1640625" style="160" customWidth="1"/>
    <col min="2307" max="2309" width="10.83203125" style="160"/>
    <col min="2310" max="2310" width="14.5" style="160" bestFit="1" customWidth="1"/>
    <col min="2311" max="2312" width="17.5" style="160" bestFit="1" customWidth="1"/>
    <col min="2313" max="2313" width="10.83203125" style="160"/>
    <col min="2314" max="2314" width="28.6640625" style="160" bestFit="1" customWidth="1"/>
    <col min="2315" max="2560" width="10.83203125" style="160"/>
    <col min="2561" max="2561" width="13.5" style="160" bestFit="1" customWidth="1"/>
    <col min="2562" max="2562" width="17.1640625" style="160" customWidth="1"/>
    <col min="2563" max="2565" width="10.83203125" style="160"/>
    <col min="2566" max="2566" width="14.5" style="160" bestFit="1" customWidth="1"/>
    <col min="2567" max="2568" width="17.5" style="160" bestFit="1" customWidth="1"/>
    <col min="2569" max="2569" width="10.83203125" style="160"/>
    <col min="2570" max="2570" width="28.6640625" style="160" bestFit="1" customWidth="1"/>
    <col min="2571" max="2816" width="10.83203125" style="160"/>
    <col min="2817" max="2817" width="13.5" style="160" bestFit="1" customWidth="1"/>
    <col min="2818" max="2818" width="17.1640625" style="160" customWidth="1"/>
    <col min="2819" max="2821" width="10.83203125" style="160"/>
    <col min="2822" max="2822" width="14.5" style="160" bestFit="1" customWidth="1"/>
    <col min="2823" max="2824" width="17.5" style="160" bestFit="1" customWidth="1"/>
    <col min="2825" max="2825" width="10.83203125" style="160"/>
    <col min="2826" max="2826" width="28.6640625" style="160" bestFit="1" customWidth="1"/>
    <col min="2827" max="3072" width="10.83203125" style="160"/>
    <col min="3073" max="3073" width="13.5" style="160" bestFit="1" customWidth="1"/>
    <col min="3074" max="3074" width="17.1640625" style="160" customWidth="1"/>
    <col min="3075" max="3077" width="10.83203125" style="160"/>
    <col min="3078" max="3078" width="14.5" style="160" bestFit="1" customWidth="1"/>
    <col min="3079" max="3080" width="17.5" style="160" bestFit="1" customWidth="1"/>
    <col min="3081" max="3081" width="10.83203125" style="160"/>
    <col min="3082" max="3082" width="28.6640625" style="160" bestFit="1" customWidth="1"/>
    <col min="3083" max="3328" width="10.83203125" style="160"/>
    <col min="3329" max="3329" width="13.5" style="160" bestFit="1" customWidth="1"/>
    <col min="3330" max="3330" width="17.1640625" style="160" customWidth="1"/>
    <col min="3331" max="3333" width="10.83203125" style="160"/>
    <col min="3334" max="3334" width="14.5" style="160" bestFit="1" customWidth="1"/>
    <col min="3335" max="3336" width="17.5" style="160" bestFit="1" customWidth="1"/>
    <col min="3337" max="3337" width="10.83203125" style="160"/>
    <col min="3338" max="3338" width="28.6640625" style="160" bestFit="1" customWidth="1"/>
    <col min="3339" max="3584" width="10.83203125" style="160"/>
    <col min="3585" max="3585" width="13.5" style="160" bestFit="1" customWidth="1"/>
    <col min="3586" max="3586" width="17.1640625" style="160" customWidth="1"/>
    <col min="3587" max="3589" width="10.83203125" style="160"/>
    <col min="3590" max="3590" width="14.5" style="160" bestFit="1" customWidth="1"/>
    <col min="3591" max="3592" width="17.5" style="160" bestFit="1" customWidth="1"/>
    <col min="3593" max="3593" width="10.83203125" style="160"/>
    <col min="3594" max="3594" width="28.6640625" style="160" bestFit="1" customWidth="1"/>
    <col min="3595" max="3840" width="10.83203125" style="160"/>
    <col min="3841" max="3841" width="13.5" style="160" bestFit="1" customWidth="1"/>
    <col min="3842" max="3842" width="17.1640625" style="160" customWidth="1"/>
    <col min="3843" max="3845" width="10.83203125" style="160"/>
    <col min="3846" max="3846" width="14.5" style="160" bestFit="1" customWidth="1"/>
    <col min="3847" max="3848" width="17.5" style="160" bestFit="1" customWidth="1"/>
    <col min="3849" max="3849" width="10.83203125" style="160"/>
    <col min="3850" max="3850" width="28.6640625" style="160" bestFit="1" customWidth="1"/>
    <col min="3851" max="4096" width="10.83203125" style="160"/>
    <col min="4097" max="4097" width="13.5" style="160" bestFit="1" customWidth="1"/>
    <col min="4098" max="4098" width="17.1640625" style="160" customWidth="1"/>
    <col min="4099" max="4101" width="10.83203125" style="160"/>
    <col min="4102" max="4102" width="14.5" style="160" bestFit="1" customWidth="1"/>
    <col min="4103" max="4104" width="17.5" style="160" bestFit="1" customWidth="1"/>
    <col min="4105" max="4105" width="10.83203125" style="160"/>
    <col min="4106" max="4106" width="28.6640625" style="160" bestFit="1" customWidth="1"/>
    <col min="4107" max="4352" width="10.83203125" style="160"/>
    <col min="4353" max="4353" width="13.5" style="160" bestFit="1" customWidth="1"/>
    <col min="4354" max="4354" width="17.1640625" style="160" customWidth="1"/>
    <col min="4355" max="4357" width="10.83203125" style="160"/>
    <col min="4358" max="4358" width="14.5" style="160" bestFit="1" customWidth="1"/>
    <col min="4359" max="4360" width="17.5" style="160" bestFit="1" customWidth="1"/>
    <col min="4361" max="4361" width="10.83203125" style="160"/>
    <col min="4362" max="4362" width="28.6640625" style="160" bestFit="1" customWidth="1"/>
    <col min="4363" max="4608" width="10.83203125" style="160"/>
    <col min="4609" max="4609" width="13.5" style="160" bestFit="1" customWidth="1"/>
    <col min="4610" max="4610" width="17.1640625" style="160" customWidth="1"/>
    <col min="4611" max="4613" width="10.83203125" style="160"/>
    <col min="4614" max="4614" width="14.5" style="160" bestFit="1" customWidth="1"/>
    <col min="4615" max="4616" width="17.5" style="160" bestFit="1" customWidth="1"/>
    <col min="4617" max="4617" width="10.83203125" style="160"/>
    <col min="4618" max="4618" width="28.6640625" style="160" bestFit="1" customWidth="1"/>
    <col min="4619" max="4864" width="10.83203125" style="160"/>
    <col min="4865" max="4865" width="13.5" style="160" bestFit="1" customWidth="1"/>
    <col min="4866" max="4866" width="17.1640625" style="160" customWidth="1"/>
    <col min="4867" max="4869" width="10.83203125" style="160"/>
    <col min="4870" max="4870" width="14.5" style="160" bestFit="1" customWidth="1"/>
    <col min="4871" max="4872" width="17.5" style="160" bestFit="1" customWidth="1"/>
    <col min="4873" max="4873" width="10.83203125" style="160"/>
    <col min="4874" max="4874" width="28.6640625" style="160" bestFit="1" customWidth="1"/>
    <col min="4875" max="5120" width="10.83203125" style="160"/>
    <col min="5121" max="5121" width="13.5" style="160" bestFit="1" customWidth="1"/>
    <col min="5122" max="5122" width="17.1640625" style="160" customWidth="1"/>
    <col min="5123" max="5125" width="10.83203125" style="160"/>
    <col min="5126" max="5126" width="14.5" style="160" bestFit="1" customWidth="1"/>
    <col min="5127" max="5128" width="17.5" style="160" bestFit="1" customWidth="1"/>
    <col min="5129" max="5129" width="10.83203125" style="160"/>
    <col min="5130" max="5130" width="28.6640625" style="160" bestFit="1" customWidth="1"/>
    <col min="5131" max="5376" width="10.83203125" style="160"/>
    <col min="5377" max="5377" width="13.5" style="160" bestFit="1" customWidth="1"/>
    <col min="5378" max="5378" width="17.1640625" style="160" customWidth="1"/>
    <col min="5379" max="5381" width="10.83203125" style="160"/>
    <col min="5382" max="5382" width="14.5" style="160" bestFit="1" customWidth="1"/>
    <col min="5383" max="5384" width="17.5" style="160" bestFit="1" customWidth="1"/>
    <col min="5385" max="5385" width="10.83203125" style="160"/>
    <col min="5386" max="5386" width="28.6640625" style="160" bestFit="1" customWidth="1"/>
    <col min="5387" max="5632" width="10.83203125" style="160"/>
    <col min="5633" max="5633" width="13.5" style="160" bestFit="1" customWidth="1"/>
    <col min="5634" max="5634" width="17.1640625" style="160" customWidth="1"/>
    <col min="5635" max="5637" width="10.83203125" style="160"/>
    <col min="5638" max="5638" width="14.5" style="160" bestFit="1" customWidth="1"/>
    <col min="5639" max="5640" width="17.5" style="160" bestFit="1" customWidth="1"/>
    <col min="5641" max="5641" width="10.83203125" style="160"/>
    <col min="5642" max="5642" width="28.6640625" style="160" bestFit="1" customWidth="1"/>
    <col min="5643" max="5888" width="10.83203125" style="160"/>
    <col min="5889" max="5889" width="13.5" style="160" bestFit="1" customWidth="1"/>
    <col min="5890" max="5890" width="17.1640625" style="160" customWidth="1"/>
    <col min="5891" max="5893" width="10.83203125" style="160"/>
    <col min="5894" max="5894" width="14.5" style="160" bestFit="1" customWidth="1"/>
    <col min="5895" max="5896" width="17.5" style="160" bestFit="1" customWidth="1"/>
    <col min="5897" max="5897" width="10.83203125" style="160"/>
    <col min="5898" max="5898" width="28.6640625" style="160" bestFit="1" customWidth="1"/>
    <col min="5899" max="6144" width="10.83203125" style="160"/>
    <col min="6145" max="6145" width="13.5" style="160" bestFit="1" customWidth="1"/>
    <col min="6146" max="6146" width="17.1640625" style="160" customWidth="1"/>
    <col min="6147" max="6149" width="10.83203125" style="160"/>
    <col min="6150" max="6150" width="14.5" style="160" bestFit="1" customWidth="1"/>
    <col min="6151" max="6152" width="17.5" style="160" bestFit="1" customWidth="1"/>
    <col min="6153" max="6153" width="10.83203125" style="160"/>
    <col min="6154" max="6154" width="28.6640625" style="160" bestFit="1" customWidth="1"/>
    <col min="6155" max="6400" width="10.83203125" style="160"/>
    <col min="6401" max="6401" width="13.5" style="160" bestFit="1" customWidth="1"/>
    <col min="6402" max="6402" width="17.1640625" style="160" customWidth="1"/>
    <col min="6403" max="6405" width="10.83203125" style="160"/>
    <col min="6406" max="6406" width="14.5" style="160" bestFit="1" customWidth="1"/>
    <col min="6407" max="6408" width="17.5" style="160" bestFit="1" customWidth="1"/>
    <col min="6409" max="6409" width="10.83203125" style="160"/>
    <col min="6410" max="6410" width="28.6640625" style="160" bestFit="1" customWidth="1"/>
    <col min="6411" max="6656" width="10.83203125" style="160"/>
    <col min="6657" max="6657" width="13.5" style="160" bestFit="1" customWidth="1"/>
    <col min="6658" max="6658" width="17.1640625" style="160" customWidth="1"/>
    <col min="6659" max="6661" width="10.83203125" style="160"/>
    <col min="6662" max="6662" width="14.5" style="160" bestFit="1" customWidth="1"/>
    <col min="6663" max="6664" width="17.5" style="160" bestFit="1" customWidth="1"/>
    <col min="6665" max="6665" width="10.83203125" style="160"/>
    <col min="6666" max="6666" width="28.6640625" style="160" bestFit="1" customWidth="1"/>
    <col min="6667" max="6912" width="10.83203125" style="160"/>
    <col min="6913" max="6913" width="13.5" style="160" bestFit="1" customWidth="1"/>
    <col min="6914" max="6914" width="17.1640625" style="160" customWidth="1"/>
    <col min="6915" max="6917" width="10.83203125" style="160"/>
    <col min="6918" max="6918" width="14.5" style="160" bestFit="1" customWidth="1"/>
    <col min="6919" max="6920" width="17.5" style="160" bestFit="1" customWidth="1"/>
    <col min="6921" max="6921" width="10.83203125" style="160"/>
    <col min="6922" max="6922" width="28.6640625" style="160" bestFit="1" customWidth="1"/>
    <col min="6923" max="7168" width="10.83203125" style="160"/>
    <col min="7169" max="7169" width="13.5" style="160" bestFit="1" customWidth="1"/>
    <col min="7170" max="7170" width="17.1640625" style="160" customWidth="1"/>
    <col min="7171" max="7173" width="10.83203125" style="160"/>
    <col min="7174" max="7174" width="14.5" style="160" bestFit="1" customWidth="1"/>
    <col min="7175" max="7176" width="17.5" style="160" bestFit="1" customWidth="1"/>
    <col min="7177" max="7177" width="10.83203125" style="160"/>
    <col min="7178" max="7178" width="28.6640625" style="160" bestFit="1" customWidth="1"/>
    <col min="7179" max="7424" width="10.83203125" style="160"/>
    <col min="7425" max="7425" width="13.5" style="160" bestFit="1" customWidth="1"/>
    <col min="7426" max="7426" width="17.1640625" style="160" customWidth="1"/>
    <col min="7427" max="7429" width="10.83203125" style="160"/>
    <col min="7430" max="7430" width="14.5" style="160" bestFit="1" customWidth="1"/>
    <col min="7431" max="7432" width="17.5" style="160" bestFit="1" customWidth="1"/>
    <col min="7433" max="7433" width="10.83203125" style="160"/>
    <col min="7434" max="7434" width="28.6640625" style="160" bestFit="1" customWidth="1"/>
    <col min="7435" max="7680" width="10.83203125" style="160"/>
    <col min="7681" max="7681" width="13.5" style="160" bestFit="1" customWidth="1"/>
    <col min="7682" max="7682" width="17.1640625" style="160" customWidth="1"/>
    <col min="7683" max="7685" width="10.83203125" style="160"/>
    <col min="7686" max="7686" width="14.5" style="160" bestFit="1" customWidth="1"/>
    <col min="7687" max="7688" width="17.5" style="160" bestFit="1" customWidth="1"/>
    <col min="7689" max="7689" width="10.83203125" style="160"/>
    <col min="7690" max="7690" width="28.6640625" style="160" bestFit="1" customWidth="1"/>
    <col min="7691" max="7936" width="10.83203125" style="160"/>
    <col min="7937" max="7937" width="13.5" style="160" bestFit="1" customWidth="1"/>
    <col min="7938" max="7938" width="17.1640625" style="160" customWidth="1"/>
    <col min="7939" max="7941" width="10.83203125" style="160"/>
    <col min="7942" max="7942" width="14.5" style="160" bestFit="1" customWidth="1"/>
    <col min="7943" max="7944" width="17.5" style="160" bestFit="1" customWidth="1"/>
    <col min="7945" max="7945" width="10.83203125" style="160"/>
    <col min="7946" max="7946" width="28.6640625" style="160" bestFit="1" customWidth="1"/>
    <col min="7947" max="8192" width="10.83203125" style="160"/>
    <col min="8193" max="8193" width="13.5" style="160" bestFit="1" customWidth="1"/>
    <col min="8194" max="8194" width="17.1640625" style="160" customWidth="1"/>
    <col min="8195" max="8197" width="10.83203125" style="160"/>
    <col min="8198" max="8198" width="14.5" style="160" bestFit="1" customWidth="1"/>
    <col min="8199" max="8200" width="17.5" style="160" bestFit="1" customWidth="1"/>
    <col min="8201" max="8201" width="10.83203125" style="160"/>
    <col min="8202" max="8202" width="28.6640625" style="160" bestFit="1" customWidth="1"/>
    <col min="8203" max="8448" width="10.83203125" style="160"/>
    <col min="8449" max="8449" width="13.5" style="160" bestFit="1" customWidth="1"/>
    <col min="8450" max="8450" width="17.1640625" style="160" customWidth="1"/>
    <col min="8451" max="8453" width="10.83203125" style="160"/>
    <col min="8454" max="8454" width="14.5" style="160" bestFit="1" customWidth="1"/>
    <col min="8455" max="8456" width="17.5" style="160" bestFit="1" customWidth="1"/>
    <col min="8457" max="8457" width="10.83203125" style="160"/>
    <col min="8458" max="8458" width="28.6640625" style="160" bestFit="1" customWidth="1"/>
    <col min="8459" max="8704" width="10.83203125" style="160"/>
    <col min="8705" max="8705" width="13.5" style="160" bestFit="1" customWidth="1"/>
    <col min="8706" max="8706" width="17.1640625" style="160" customWidth="1"/>
    <col min="8707" max="8709" width="10.83203125" style="160"/>
    <col min="8710" max="8710" width="14.5" style="160" bestFit="1" customWidth="1"/>
    <col min="8711" max="8712" width="17.5" style="160" bestFit="1" customWidth="1"/>
    <col min="8713" max="8713" width="10.83203125" style="160"/>
    <col min="8714" max="8714" width="28.6640625" style="160" bestFit="1" customWidth="1"/>
    <col min="8715" max="8960" width="10.83203125" style="160"/>
    <col min="8961" max="8961" width="13.5" style="160" bestFit="1" customWidth="1"/>
    <col min="8962" max="8962" width="17.1640625" style="160" customWidth="1"/>
    <col min="8963" max="8965" width="10.83203125" style="160"/>
    <col min="8966" max="8966" width="14.5" style="160" bestFit="1" customWidth="1"/>
    <col min="8967" max="8968" width="17.5" style="160" bestFit="1" customWidth="1"/>
    <col min="8969" max="8969" width="10.83203125" style="160"/>
    <col min="8970" max="8970" width="28.6640625" style="160" bestFit="1" customWidth="1"/>
    <col min="8971" max="9216" width="10.83203125" style="160"/>
    <col min="9217" max="9217" width="13.5" style="160" bestFit="1" customWidth="1"/>
    <col min="9218" max="9218" width="17.1640625" style="160" customWidth="1"/>
    <col min="9219" max="9221" width="10.83203125" style="160"/>
    <col min="9222" max="9222" width="14.5" style="160" bestFit="1" customWidth="1"/>
    <col min="9223" max="9224" width="17.5" style="160" bestFit="1" customWidth="1"/>
    <col min="9225" max="9225" width="10.83203125" style="160"/>
    <col min="9226" max="9226" width="28.6640625" style="160" bestFit="1" customWidth="1"/>
    <col min="9227" max="9472" width="10.83203125" style="160"/>
    <col min="9473" max="9473" width="13.5" style="160" bestFit="1" customWidth="1"/>
    <col min="9474" max="9474" width="17.1640625" style="160" customWidth="1"/>
    <col min="9475" max="9477" width="10.83203125" style="160"/>
    <col min="9478" max="9478" width="14.5" style="160" bestFit="1" customWidth="1"/>
    <col min="9479" max="9480" width="17.5" style="160" bestFit="1" customWidth="1"/>
    <col min="9481" max="9481" width="10.83203125" style="160"/>
    <col min="9482" max="9482" width="28.6640625" style="160" bestFit="1" customWidth="1"/>
    <col min="9483" max="9728" width="10.83203125" style="160"/>
    <col min="9729" max="9729" width="13.5" style="160" bestFit="1" customWidth="1"/>
    <col min="9730" max="9730" width="17.1640625" style="160" customWidth="1"/>
    <col min="9731" max="9733" width="10.83203125" style="160"/>
    <col min="9734" max="9734" width="14.5" style="160" bestFit="1" customWidth="1"/>
    <col min="9735" max="9736" width="17.5" style="160" bestFit="1" customWidth="1"/>
    <col min="9737" max="9737" width="10.83203125" style="160"/>
    <col min="9738" max="9738" width="28.6640625" style="160" bestFit="1" customWidth="1"/>
    <col min="9739" max="9984" width="10.83203125" style="160"/>
    <col min="9985" max="9985" width="13.5" style="160" bestFit="1" customWidth="1"/>
    <col min="9986" max="9986" width="17.1640625" style="160" customWidth="1"/>
    <col min="9987" max="9989" width="10.83203125" style="160"/>
    <col min="9990" max="9990" width="14.5" style="160" bestFit="1" customWidth="1"/>
    <col min="9991" max="9992" width="17.5" style="160" bestFit="1" customWidth="1"/>
    <col min="9993" max="9993" width="10.83203125" style="160"/>
    <col min="9994" max="9994" width="28.6640625" style="160" bestFit="1" customWidth="1"/>
    <col min="9995" max="10240" width="10.83203125" style="160"/>
    <col min="10241" max="10241" width="13.5" style="160" bestFit="1" customWidth="1"/>
    <col min="10242" max="10242" width="17.1640625" style="160" customWidth="1"/>
    <col min="10243" max="10245" width="10.83203125" style="160"/>
    <col min="10246" max="10246" width="14.5" style="160" bestFit="1" customWidth="1"/>
    <col min="10247" max="10248" width="17.5" style="160" bestFit="1" customWidth="1"/>
    <col min="10249" max="10249" width="10.83203125" style="160"/>
    <col min="10250" max="10250" width="28.6640625" style="160" bestFit="1" customWidth="1"/>
    <col min="10251" max="10496" width="10.83203125" style="160"/>
    <col min="10497" max="10497" width="13.5" style="160" bestFit="1" customWidth="1"/>
    <col min="10498" max="10498" width="17.1640625" style="160" customWidth="1"/>
    <col min="10499" max="10501" width="10.83203125" style="160"/>
    <col min="10502" max="10502" width="14.5" style="160" bestFit="1" customWidth="1"/>
    <col min="10503" max="10504" width="17.5" style="160" bestFit="1" customWidth="1"/>
    <col min="10505" max="10505" width="10.83203125" style="160"/>
    <col min="10506" max="10506" width="28.6640625" style="160" bestFit="1" customWidth="1"/>
    <col min="10507" max="10752" width="10.83203125" style="160"/>
    <col min="10753" max="10753" width="13.5" style="160" bestFit="1" customWidth="1"/>
    <col min="10754" max="10754" width="17.1640625" style="160" customWidth="1"/>
    <col min="10755" max="10757" width="10.83203125" style="160"/>
    <col min="10758" max="10758" width="14.5" style="160" bestFit="1" customWidth="1"/>
    <col min="10759" max="10760" width="17.5" style="160" bestFit="1" customWidth="1"/>
    <col min="10761" max="10761" width="10.83203125" style="160"/>
    <col min="10762" max="10762" width="28.6640625" style="160" bestFit="1" customWidth="1"/>
    <col min="10763" max="11008" width="10.83203125" style="160"/>
    <col min="11009" max="11009" width="13.5" style="160" bestFit="1" customWidth="1"/>
    <col min="11010" max="11010" width="17.1640625" style="160" customWidth="1"/>
    <col min="11011" max="11013" width="10.83203125" style="160"/>
    <col min="11014" max="11014" width="14.5" style="160" bestFit="1" customWidth="1"/>
    <col min="11015" max="11016" width="17.5" style="160" bestFit="1" customWidth="1"/>
    <col min="11017" max="11017" width="10.83203125" style="160"/>
    <col min="11018" max="11018" width="28.6640625" style="160" bestFit="1" customWidth="1"/>
    <col min="11019" max="11264" width="10.83203125" style="160"/>
    <col min="11265" max="11265" width="13.5" style="160" bestFit="1" customWidth="1"/>
    <col min="11266" max="11266" width="17.1640625" style="160" customWidth="1"/>
    <col min="11267" max="11269" width="10.83203125" style="160"/>
    <col min="11270" max="11270" width="14.5" style="160" bestFit="1" customWidth="1"/>
    <col min="11271" max="11272" width="17.5" style="160" bestFit="1" customWidth="1"/>
    <col min="11273" max="11273" width="10.83203125" style="160"/>
    <col min="11274" max="11274" width="28.6640625" style="160" bestFit="1" customWidth="1"/>
    <col min="11275" max="11520" width="10.83203125" style="160"/>
    <col min="11521" max="11521" width="13.5" style="160" bestFit="1" customWidth="1"/>
    <col min="11522" max="11522" width="17.1640625" style="160" customWidth="1"/>
    <col min="11523" max="11525" width="10.83203125" style="160"/>
    <col min="11526" max="11526" width="14.5" style="160" bestFit="1" customWidth="1"/>
    <col min="11527" max="11528" width="17.5" style="160" bestFit="1" customWidth="1"/>
    <col min="11529" max="11529" width="10.83203125" style="160"/>
    <col min="11530" max="11530" width="28.6640625" style="160" bestFit="1" customWidth="1"/>
    <col min="11531" max="11776" width="10.83203125" style="160"/>
    <col min="11777" max="11777" width="13.5" style="160" bestFit="1" customWidth="1"/>
    <col min="11778" max="11778" width="17.1640625" style="160" customWidth="1"/>
    <col min="11779" max="11781" width="10.83203125" style="160"/>
    <col min="11782" max="11782" width="14.5" style="160" bestFit="1" customWidth="1"/>
    <col min="11783" max="11784" width="17.5" style="160" bestFit="1" customWidth="1"/>
    <col min="11785" max="11785" width="10.83203125" style="160"/>
    <col min="11786" max="11786" width="28.6640625" style="160" bestFit="1" customWidth="1"/>
    <col min="11787" max="12032" width="10.83203125" style="160"/>
    <col min="12033" max="12033" width="13.5" style="160" bestFit="1" customWidth="1"/>
    <col min="12034" max="12034" width="17.1640625" style="160" customWidth="1"/>
    <col min="12035" max="12037" width="10.83203125" style="160"/>
    <col min="12038" max="12038" width="14.5" style="160" bestFit="1" customWidth="1"/>
    <col min="12039" max="12040" width="17.5" style="160" bestFit="1" customWidth="1"/>
    <col min="12041" max="12041" width="10.83203125" style="160"/>
    <col min="12042" max="12042" width="28.6640625" style="160" bestFit="1" customWidth="1"/>
    <col min="12043" max="12288" width="10.83203125" style="160"/>
    <col min="12289" max="12289" width="13.5" style="160" bestFit="1" customWidth="1"/>
    <col min="12290" max="12290" width="17.1640625" style="160" customWidth="1"/>
    <col min="12291" max="12293" width="10.83203125" style="160"/>
    <col min="12294" max="12294" width="14.5" style="160" bestFit="1" customWidth="1"/>
    <col min="12295" max="12296" width="17.5" style="160" bestFit="1" customWidth="1"/>
    <col min="12297" max="12297" width="10.83203125" style="160"/>
    <col min="12298" max="12298" width="28.6640625" style="160" bestFit="1" customWidth="1"/>
    <col min="12299" max="12544" width="10.83203125" style="160"/>
    <col min="12545" max="12545" width="13.5" style="160" bestFit="1" customWidth="1"/>
    <col min="12546" max="12546" width="17.1640625" style="160" customWidth="1"/>
    <col min="12547" max="12549" width="10.83203125" style="160"/>
    <col min="12550" max="12550" width="14.5" style="160" bestFit="1" customWidth="1"/>
    <col min="12551" max="12552" width="17.5" style="160" bestFit="1" customWidth="1"/>
    <col min="12553" max="12553" width="10.83203125" style="160"/>
    <col min="12554" max="12554" width="28.6640625" style="160" bestFit="1" customWidth="1"/>
    <col min="12555" max="12800" width="10.83203125" style="160"/>
    <col min="12801" max="12801" width="13.5" style="160" bestFit="1" customWidth="1"/>
    <col min="12802" max="12802" width="17.1640625" style="160" customWidth="1"/>
    <col min="12803" max="12805" width="10.83203125" style="160"/>
    <col min="12806" max="12806" width="14.5" style="160" bestFit="1" customWidth="1"/>
    <col min="12807" max="12808" width="17.5" style="160" bestFit="1" customWidth="1"/>
    <col min="12809" max="12809" width="10.83203125" style="160"/>
    <col min="12810" max="12810" width="28.6640625" style="160" bestFit="1" customWidth="1"/>
    <col min="12811" max="13056" width="10.83203125" style="160"/>
    <col min="13057" max="13057" width="13.5" style="160" bestFit="1" customWidth="1"/>
    <col min="13058" max="13058" width="17.1640625" style="160" customWidth="1"/>
    <col min="13059" max="13061" width="10.83203125" style="160"/>
    <col min="13062" max="13062" width="14.5" style="160" bestFit="1" customWidth="1"/>
    <col min="13063" max="13064" width="17.5" style="160" bestFit="1" customWidth="1"/>
    <col min="13065" max="13065" width="10.83203125" style="160"/>
    <col min="13066" max="13066" width="28.6640625" style="160" bestFit="1" customWidth="1"/>
    <col min="13067" max="13312" width="10.83203125" style="160"/>
    <col min="13313" max="13313" width="13.5" style="160" bestFit="1" customWidth="1"/>
    <col min="13314" max="13314" width="17.1640625" style="160" customWidth="1"/>
    <col min="13315" max="13317" width="10.83203125" style="160"/>
    <col min="13318" max="13318" width="14.5" style="160" bestFit="1" customWidth="1"/>
    <col min="13319" max="13320" width="17.5" style="160" bestFit="1" customWidth="1"/>
    <col min="13321" max="13321" width="10.83203125" style="160"/>
    <col min="13322" max="13322" width="28.6640625" style="160" bestFit="1" customWidth="1"/>
    <col min="13323" max="13568" width="10.83203125" style="160"/>
    <col min="13569" max="13569" width="13.5" style="160" bestFit="1" customWidth="1"/>
    <col min="13570" max="13570" width="17.1640625" style="160" customWidth="1"/>
    <col min="13571" max="13573" width="10.83203125" style="160"/>
    <col min="13574" max="13574" width="14.5" style="160" bestFit="1" customWidth="1"/>
    <col min="13575" max="13576" width="17.5" style="160" bestFit="1" customWidth="1"/>
    <col min="13577" max="13577" width="10.83203125" style="160"/>
    <col min="13578" max="13578" width="28.6640625" style="160" bestFit="1" customWidth="1"/>
    <col min="13579" max="13824" width="10.83203125" style="160"/>
    <col min="13825" max="13825" width="13.5" style="160" bestFit="1" customWidth="1"/>
    <col min="13826" max="13826" width="17.1640625" style="160" customWidth="1"/>
    <col min="13827" max="13829" width="10.83203125" style="160"/>
    <col min="13830" max="13830" width="14.5" style="160" bestFit="1" customWidth="1"/>
    <col min="13831" max="13832" width="17.5" style="160" bestFit="1" customWidth="1"/>
    <col min="13833" max="13833" width="10.83203125" style="160"/>
    <col min="13834" max="13834" width="28.6640625" style="160" bestFit="1" customWidth="1"/>
    <col min="13835" max="14080" width="10.83203125" style="160"/>
    <col min="14081" max="14081" width="13.5" style="160" bestFit="1" customWidth="1"/>
    <col min="14082" max="14082" width="17.1640625" style="160" customWidth="1"/>
    <col min="14083" max="14085" width="10.83203125" style="160"/>
    <col min="14086" max="14086" width="14.5" style="160" bestFit="1" customWidth="1"/>
    <col min="14087" max="14088" width="17.5" style="160" bestFit="1" customWidth="1"/>
    <col min="14089" max="14089" width="10.83203125" style="160"/>
    <col min="14090" max="14090" width="28.6640625" style="160" bestFit="1" customWidth="1"/>
    <col min="14091" max="14336" width="10.83203125" style="160"/>
    <col min="14337" max="14337" width="13.5" style="160" bestFit="1" customWidth="1"/>
    <col min="14338" max="14338" width="17.1640625" style="160" customWidth="1"/>
    <col min="14339" max="14341" width="10.83203125" style="160"/>
    <col min="14342" max="14342" width="14.5" style="160" bestFit="1" customWidth="1"/>
    <col min="14343" max="14344" width="17.5" style="160" bestFit="1" customWidth="1"/>
    <col min="14345" max="14345" width="10.83203125" style="160"/>
    <col min="14346" max="14346" width="28.6640625" style="160" bestFit="1" customWidth="1"/>
    <col min="14347" max="14592" width="10.83203125" style="160"/>
    <col min="14593" max="14593" width="13.5" style="160" bestFit="1" customWidth="1"/>
    <col min="14594" max="14594" width="17.1640625" style="160" customWidth="1"/>
    <col min="14595" max="14597" width="10.83203125" style="160"/>
    <col min="14598" max="14598" width="14.5" style="160" bestFit="1" customWidth="1"/>
    <col min="14599" max="14600" width="17.5" style="160" bestFit="1" customWidth="1"/>
    <col min="14601" max="14601" width="10.83203125" style="160"/>
    <col min="14602" max="14602" width="28.6640625" style="160" bestFit="1" customWidth="1"/>
    <col min="14603" max="14848" width="10.83203125" style="160"/>
    <col min="14849" max="14849" width="13.5" style="160" bestFit="1" customWidth="1"/>
    <col min="14850" max="14850" width="17.1640625" style="160" customWidth="1"/>
    <col min="14851" max="14853" width="10.83203125" style="160"/>
    <col min="14854" max="14854" width="14.5" style="160" bestFit="1" customWidth="1"/>
    <col min="14855" max="14856" width="17.5" style="160" bestFit="1" customWidth="1"/>
    <col min="14857" max="14857" width="10.83203125" style="160"/>
    <col min="14858" max="14858" width="28.6640625" style="160" bestFit="1" customWidth="1"/>
    <col min="14859" max="15104" width="10.83203125" style="160"/>
    <col min="15105" max="15105" width="13.5" style="160" bestFit="1" customWidth="1"/>
    <col min="15106" max="15106" width="17.1640625" style="160" customWidth="1"/>
    <col min="15107" max="15109" width="10.83203125" style="160"/>
    <col min="15110" max="15110" width="14.5" style="160" bestFit="1" customWidth="1"/>
    <col min="15111" max="15112" width="17.5" style="160" bestFit="1" customWidth="1"/>
    <col min="15113" max="15113" width="10.83203125" style="160"/>
    <col min="15114" max="15114" width="28.6640625" style="160" bestFit="1" customWidth="1"/>
    <col min="15115" max="15360" width="10.83203125" style="160"/>
    <col min="15361" max="15361" width="13.5" style="160" bestFit="1" customWidth="1"/>
    <col min="15362" max="15362" width="17.1640625" style="160" customWidth="1"/>
    <col min="15363" max="15365" width="10.83203125" style="160"/>
    <col min="15366" max="15366" width="14.5" style="160" bestFit="1" customWidth="1"/>
    <col min="15367" max="15368" width="17.5" style="160" bestFit="1" customWidth="1"/>
    <col min="15369" max="15369" width="10.83203125" style="160"/>
    <col min="15370" max="15370" width="28.6640625" style="160" bestFit="1" customWidth="1"/>
    <col min="15371" max="15616" width="10.83203125" style="160"/>
    <col min="15617" max="15617" width="13.5" style="160" bestFit="1" customWidth="1"/>
    <col min="15618" max="15618" width="17.1640625" style="160" customWidth="1"/>
    <col min="15619" max="15621" width="10.83203125" style="160"/>
    <col min="15622" max="15622" width="14.5" style="160" bestFit="1" customWidth="1"/>
    <col min="15623" max="15624" width="17.5" style="160" bestFit="1" customWidth="1"/>
    <col min="15625" max="15625" width="10.83203125" style="160"/>
    <col min="15626" max="15626" width="28.6640625" style="160" bestFit="1" customWidth="1"/>
    <col min="15627" max="15872" width="10.83203125" style="160"/>
    <col min="15873" max="15873" width="13.5" style="160" bestFit="1" customWidth="1"/>
    <col min="15874" max="15874" width="17.1640625" style="160" customWidth="1"/>
    <col min="15875" max="15877" width="10.83203125" style="160"/>
    <col min="15878" max="15878" width="14.5" style="160" bestFit="1" customWidth="1"/>
    <col min="15879" max="15880" width="17.5" style="160" bestFit="1" customWidth="1"/>
    <col min="15881" max="15881" width="10.83203125" style="160"/>
    <col min="15882" max="15882" width="28.6640625" style="160" bestFit="1" customWidth="1"/>
    <col min="15883" max="16128" width="10.83203125" style="160"/>
    <col min="16129" max="16129" width="13.5" style="160" bestFit="1" customWidth="1"/>
    <col min="16130" max="16130" width="17.1640625" style="160" customWidth="1"/>
    <col min="16131" max="16133" width="10.83203125" style="160"/>
    <col min="16134" max="16134" width="14.5" style="160" bestFit="1" customWidth="1"/>
    <col min="16135" max="16136" width="17.5" style="160" bestFit="1" customWidth="1"/>
    <col min="16137" max="16137" width="10.83203125" style="160"/>
    <col min="16138" max="16138" width="28.6640625" style="160" bestFit="1" customWidth="1"/>
    <col min="16139" max="16384" width="10.83203125" style="160"/>
  </cols>
  <sheetData>
    <row r="1" spans="1:11" ht="14" x14ac:dyDescent="0.15">
      <c r="A1" s="157" t="s">
        <v>193</v>
      </c>
      <c r="B1" s="158" t="s">
        <v>29</v>
      </c>
      <c r="C1" s="158" t="s">
        <v>301</v>
      </c>
      <c r="D1" s="158" t="s">
        <v>302</v>
      </c>
      <c r="E1" s="158" t="s">
        <v>303</v>
      </c>
      <c r="F1" s="159" t="s">
        <v>304</v>
      </c>
      <c r="G1" s="159" t="s">
        <v>305</v>
      </c>
      <c r="H1" s="159" t="s">
        <v>306</v>
      </c>
      <c r="J1" s="161" t="s">
        <v>301</v>
      </c>
      <c r="K1" s="159" t="s">
        <v>307</v>
      </c>
    </row>
    <row r="2" spans="1:11" ht="14" x14ac:dyDescent="0.15">
      <c r="A2" s="157">
        <v>1</v>
      </c>
      <c r="B2" s="162" t="s">
        <v>308</v>
      </c>
      <c r="C2" s="158">
        <v>11168</v>
      </c>
      <c r="D2" s="158">
        <v>48.5</v>
      </c>
      <c r="E2" s="158">
        <v>32.4</v>
      </c>
      <c r="G2" s="163"/>
      <c r="H2" s="163"/>
      <c r="J2" s="160" t="s">
        <v>309</v>
      </c>
      <c r="K2" s="163">
        <v>10838.884615384615</v>
      </c>
    </row>
    <row r="3" spans="1:11" ht="15" thickBot="1" x14ac:dyDescent="0.2">
      <c r="A3" s="157">
        <v>2</v>
      </c>
      <c r="B3" s="162" t="s">
        <v>310</v>
      </c>
      <c r="C3" s="158">
        <v>11150</v>
      </c>
      <c r="D3" s="158">
        <v>48.2</v>
      </c>
      <c r="E3" s="164">
        <v>31.7</v>
      </c>
      <c r="G3" s="163"/>
      <c r="H3" s="163"/>
      <c r="J3" s="165" t="s">
        <v>193</v>
      </c>
      <c r="K3" s="166">
        <v>176.46703296703296</v>
      </c>
    </row>
    <row r="4" spans="1:11" ht="14" x14ac:dyDescent="0.15">
      <c r="A4" s="157">
        <v>3</v>
      </c>
      <c r="B4" s="162" t="s">
        <v>311</v>
      </c>
      <c r="C4" s="158">
        <v>11186</v>
      </c>
      <c r="D4" s="158">
        <v>44.5</v>
      </c>
      <c r="E4" s="158">
        <v>31.9</v>
      </c>
      <c r="G4" s="163"/>
      <c r="H4" s="163"/>
      <c r="J4" s="167" t="s">
        <v>312</v>
      </c>
      <c r="K4" s="167"/>
    </row>
    <row r="5" spans="1:11" ht="14" x14ac:dyDescent="0.15">
      <c r="A5" s="157">
        <v>4</v>
      </c>
      <c r="B5" s="162" t="s">
        <v>313</v>
      </c>
      <c r="C5" s="158">
        <v>11381</v>
      </c>
      <c r="D5" s="158">
        <v>44.7</v>
      </c>
      <c r="E5" s="158">
        <v>36.6</v>
      </c>
      <c r="G5" s="163"/>
      <c r="H5" s="163"/>
      <c r="J5" s="160" t="s">
        <v>314</v>
      </c>
      <c r="K5" s="163">
        <v>0.95340854403328235</v>
      </c>
    </row>
    <row r="6" spans="1:11" ht="15" thickBot="1" x14ac:dyDescent="0.2">
      <c r="A6" s="157">
        <v>5</v>
      </c>
      <c r="B6" s="162" t="s">
        <v>315</v>
      </c>
      <c r="C6" s="158">
        <v>11679</v>
      </c>
      <c r="D6" s="158">
        <v>49.3</v>
      </c>
      <c r="E6" s="158">
        <v>36.700000000000003</v>
      </c>
      <c r="G6" s="163"/>
      <c r="H6" s="163"/>
      <c r="J6" s="160" t="s">
        <v>316</v>
      </c>
      <c r="K6" s="163">
        <v>0.90898785183566333</v>
      </c>
    </row>
    <row r="7" spans="1:11" ht="14" x14ac:dyDescent="0.15">
      <c r="A7" s="157">
        <v>6</v>
      </c>
      <c r="B7" s="162" t="s">
        <v>317</v>
      </c>
      <c r="C7" s="158">
        <v>12081</v>
      </c>
      <c r="D7" s="158">
        <v>49.3</v>
      </c>
      <c r="E7" s="158">
        <v>38.700000000000003</v>
      </c>
      <c r="G7" s="163"/>
      <c r="H7" s="163"/>
      <c r="J7" s="161" t="s">
        <v>302</v>
      </c>
      <c r="K7" s="159" t="s">
        <v>307</v>
      </c>
    </row>
    <row r="8" spans="1:11" ht="14" x14ac:dyDescent="0.15">
      <c r="A8" s="157">
        <v>7</v>
      </c>
      <c r="B8" s="162" t="s">
        <v>318</v>
      </c>
      <c r="C8" s="158">
        <v>12222</v>
      </c>
      <c r="D8" s="158">
        <v>46.1</v>
      </c>
      <c r="E8" s="158">
        <v>39.5</v>
      </c>
      <c r="G8" s="163"/>
      <c r="H8" s="163"/>
      <c r="J8" s="160" t="s">
        <v>309</v>
      </c>
      <c r="K8" s="163">
        <v>42.432478246145408</v>
      </c>
    </row>
    <row r="9" spans="1:11" ht="15" thickBot="1" x14ac:dyDescent="0.2">
      <c r="A9" s="157">
        <v>8</v>
      </c>
      <c r="B9" s="162" t="s">
        <v>319</v>
      </c>
      <c r="C9" s="158">
        <v>12463</v>
      </c>
      <c r="D9" s="158">
        <v>46.2</v>
      </c>
      <c r="E9" s="158">
        <v>41.2</v>
      </c>
      <c r="G9" s="163"/>
      <c r="H9" s="163"/>
      <c r="J9" s="165" t="s">
        <v>301</v>
      </c>
      <c r="K9" s="168">
        <v>4.0695817384947915E-4</v>
      </c>
    </row>
    <row r="10" spans="1:11" ht="14" x14ac:dyDescent="0.15">
      <c r="A10" s="157">
        <v>9</v>
      </c>
      <c r="B10" s="162" t="s">
        <v>320</v>
      </c>
      <c r="C10" s="158">
        <v>12622</v>
      </c>
      <c r="D10" s="158">
        <v>47.7</v>
      </c>
      <c r="E10" s="158">
        <v>43.3</v>
      </c>
      <c r="G10" s="163"/>
      <c r="H10" s="163"/>
      <c r="J10" s="167" t="s">
        <v>312</v>
      </c>
      <c r="K10" s="167"/>
    </row>
    <row r="11" spans="1:11" ht="14" x14ac:dyDescent="0.15">
      <c r="A11" s="157">
        <v>10</v>
      </c>
      <c r="B11" s="162" t="s">
        <v>321</v>
      </c>
      <c r="C11" s="158">
        <v>12269</v>
      </c>
      <c r="D11" s="158">
        <v>48.3</v>
      </c>
      <c r="E11" s="158">
        <v>39.4</v>
      </c>
      <c r="G11" s="163"/>
      <c r="H11" s="163"/>
      <c r="J11" s="160" t="s">
        <v>314</v>
      </c>
      <c r="K11" s="163">
        <v>0.18762767540229072</v>
      </c>
    </row>
    <row r="12" spans="1:11" ht="15" thickBot="1" x14ac:dyDescent="0.2">
      <c r="A12" s="157">
        <v>11</v>
      </c>
      <c r="B12" s="162" t="s">
        <v>322</v>
      </c>
      <c r="C12" s="158">
        <v>12354</v>
      </c>
      <c r="D12" s="158">
        <v>47</v>
      </c>
      <c r="E12" s="158">
        <v>40.1</v>
      </c>
      <c r="G12" s="163"/>
      <c r="H12" s="163"/>
      <c r="J12" s="160" t="s">
        <v>316</v>
      </c>
      <c r="K12" s="163">
        <v>3.5204144576867373E-2</v>
      </c>
    </row>
    <row r="13" spans="1:11" ht="14" x14ac:dyDescent="0.15">
      <c r="A13" s="157">
        <v>12</v>
      </c>
      <c r="B13" s="162" t="s">
        <v>323</v>
      </c>
      <c r="C13" s="158">
        <v>13063</v>
      </c>
      <c r="D13" s="158">
        <v>47.9</v>
      </c>
      <c r="E13" s="158">
        <v>42.1</v>
      </c>
      <c r="G13" s="163"/>
      <c r="H13" s="163"/>
      <c r="J13" s="161" t="s">
        <v>303</v>
      </c>
      <c r="K13" s="159" t="s">
        <v>307</v>
      </c>
    </row>
    <row r="14" spans="1:11" ht="15" thickBot="1" x14ac:dyDescent="0.2">
      <c r="A14" s="157">
        <v>13</v>
      </c>
      <c r="B14" s="162" t="s">
        <v>324</v>
      </c>
      <c r="C14" s="158">
        <v>13326</v>
      </c>
      <c r="D14" s="158">
        <v>47.8</v>
      </c>
      <c r="E14" s="158">
        <v>39.5</v>
      </c>
      <c r="F14" s="165"/>
      <c r="G14" s="166"/>
      <c r="H14" s="166"/>
      <c r="J14" s="160" t="s">
        <v>309</v>
      </c>
      <c r="K14" s="163">
        <v>-18.160638012725826</v>
      </c>
    </row>
    <row r="15" spans="1:11" ht="14" thickBot="1" x14ac:dyDescent="0.2">
      <c r="A15" s="157">
        <v>14</v>
      </c>
      <c r="B15" s="169">
        <v>42036</v>
      </c>
      <c r="F15" s="170">
        <f>$K$2+(A15*$K$3)</f>
        <v>13309.423076923076</v>
      </c>
      <c r="G15" s="171">
        <f>$K$8+(F15*$K$9)</f>
        <v>47.848856756520135</v>
      </c>
      <c r="H15" s="171">
        <f>$K$14+(F15*$K$15)</f>
        <v>43.669307132578979</v>
      </c>
      <c r="J15" s="165" t="s">
        <v>301</v>
      </c>
      <c r="K15" s="168">
        <v>4.6455766555734803E-3</v>
      </c>
    </row>
    <row r="16" spans="1:11" x14ac:dyDescent="0.15">
      <c r="A16" s="157">
        <v>15</v>
      </c>
      <c r="B16" s="169">
        <v>42064</v>
      </c>
      <c r="F16" s="170">
        <f t="shared" ref="F16:F21" si="0">$K$2+(A16*$K$3)</f>
        <v>13485.89010989011</v>
      </c>
      <c r="G16" s="171">
        <f t="shared" ref="G16:G21" si="1">$K$8+(F16*$K$9)</f>
        <v>47.920671458001038</v>
      </c>
      <c r="H16" s="171">
        <f t="shared" ref="H16:H21" si="2">$K$14+(F16*$K$15)</f>
        <v>44.489098261408941</v>
      </c>
      <c r="J16" s="167" t="s">
        <v>312</v>
      </c>
      <c r="K16" s="172"/>
    </row>
    <row r="17" spans="1:11" x14ac:dyDescent="0.15">
      <c r="A17" s="157">
        <v>16</v>
      </c>
      <c r="B17" s="169">
        <v>42095</v>
      </c>
      <c r="F17" s="170">
        <f t="shared" si="0"/>
        <v>13662.357142857143</v>
      </c>
      <c r="G17" s="171">
        <f t="shared" si="1"/>
        <v>47.992486159481942</v>
      </c>
      <c r="H17" s="171">
        <f t="shared" si="2"/>
        <v>45.30888939023891</v>
      </c>
      <c r="J17" s="160" t="s">
        <v>314</v>
      </c>
      <c r="K17" s="163">
        <v>0.86861259358891063</v>
      </c>
    </row>
    <row r="18" spans="1:11" x14ac:dyDescent="0.15">
      <c r="A18" s="157">
        <v>17</v>
      </c>
      <c r="B18" s="169">
        <v>42125</v>
      </c>
      <c r="F18" s="170">
        <f t="shared" si="0"/>
        <v>13838.824175824175</v>
      </c>
      <c r="G18" s="171">
        <f t="shared" si="1"/>
        <v>48.064300860962838</v>
      </c>
      <c r="H18" s="171">
        <f t="shared" si="2"/>
        <v>46.128680519068865</v>
      </c>
      <c r="J18" s="160" t="s">
        <v>316</v>
      </c>
      <c r="K18" s="163">
        <v>0.75448783774125405</v>
      </c>
    </row>
    <row r="19" spans="1:11" x14ac:dyDescent="0.15">
      <c r="A19" s="157">
        <v>18</v>
      </c>
      <c r="B19" s="169">
        <v>42156</v>
      </c>
      <c r="F19" s="170">
        <f t="shared" si="0"/>
        <v>14015.291208791208</v>
      </c>
      <c r="G19" s="171">
        <f t="shared" si="1"/>
        <v>48.136115562443734</v>
      </c>
      <c r="H19" s="171">
        <f t="shared" si="2"/>
        <v>46.948471647898828</v>
      </c>
    </row>
    <row r="20" spans="1:11" x14ac:dyDescent="0.15">
      <c r="A20" s="157">
        <v>19</v>
      </c>
      <c r="B20" s="169">
        <v>42186</v>
      </c>
      <c r="F20" s="170">
        <f t="shared" si="0"/>
        <v>14191.758241758242</v>
      </c>
      <c r="G20" s="171">
        <f t="shared" si="1"/>
        <v>48.207930263924638</v>
      </c>
      <c r="H20" s="171">
        <f t="shared" si="2"/>
        <v>47.768262776728804</v>
      </c>
    </row>
    <row r="21" spans="1:11" x14ac:dyDescent="0.15">
      <c r="A21" s="157">
        <v>20</v>
      </c>
      <c r="B21" s="169">
        <v>42217</v>
      </c>
      <c r="F21" s="170">
        <f t="shared" si="0"/>
        <v>14368.225274725275</v>
      </c>
      <c r="G21" s="171">
        <f t="shared" si="1"/>
        <v>48.279744965405534</v>
      </c>
      <c r="H21" s="171">
        <f t="shared" si="2"/>
        <v>48.588053905558766</v>
      </c>
    </row>
    <row r="24" spans="1:11" ht="56" x14ac:dyDescent="0.15">
      <c r="A24" s="173"/>
      <c r="B24" s="294" t="s">
        <v>325</v>
      </c>
      <c r="C24" s="294"/>
      <c r="D24" s="158" t="s">
        <v>326</v>
      </c>
      <c r="E24" s="164" t="s">
        <v>327</v>
      </c>
      <c r="F24" s="174" t="s">
        <v>328</v>
      </c>
      <c r="H24" s="295" t="s">
        <v>329</v>
      </c>
      <c r="I24" s="295"/>
      <c r="J24" s="295"/>
    </row>
    <row r="25" spans="1:11" x14ac:dyDescent="0.15">
      <c r="A25" s="173" t="s">
        <v>330</v>
      </c>
      <c r="B25" s="175" t="s">
        <v>302</v>
      </c>
      <c r="C25" s="175">
        <v>35</v>
      </c>
      <c r="D25" s="175" t="s">
        <v>32</v>
      </c>
      <c r="E25" s="175" t="s">
        <v>32</v>
      </c>
      <c r="F25" s="176" t="s">
        <v>331</v>
      </c>
    </row>
    <row r="26" spans="1:11" x14ac:dyDescent="0.15">
      <c r="A26" s="177">
        <v>1000000</v>
      </c>
      <c r="B26" s="175" t="s">
        <v>303</v>
      </c>
      <c r="C26" s="175">
        <v>35</v>
      </c>
      <c r="D26" s="178">
        <f>A26/C26</f>
        <v>28571.428571428572</v>
      </c>
      <c r="E26" s="173">
        <f>D26*H21</f>
        <v>1388230.1115873933</v>
      </c>
      <c r="F26" s="179">
        <f>E26-A26</f>
        <v>388230.11158739333</v>
      </c>
    </row>
    <row r="27" spans="1:11" x14ac:dyDescent="0.15">
      <c r="B27" s="180"/>
    </row>
  </sheetData>
  <mergeCells count="2">
    <mergeCell ref="B24:C24"/>
    <mergeCell ref="H24:J24"/>
  </mergeCell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66F01-AA88-F44A-BAB5-8990D4FE0496}">
  <dimension ref="B2:V67"/>
  <sheetViews>
    <sheetView workbookViewId="0">
      <selection activeCell="B3" sqref="B3"/>
    </sheetView>
  </sheetViews>
  <sheetFormatPr baseColWidth="10" defaultRowHeight="16" x14ac:dyDescent="0.2"/>
  <cols>
    <col min="1" max="1" width="4.5" customWidth="1"/>
    <col min="2" max="2" width="26.5" customWidth="1"/>
    <col min="7" max="7" width="12.33203125" customWidth="1"/>
    <col min="8" max="8" width="13" customWidth="1"/>
    <col min="9" max="9" width="12.83203125" customWidth="1"/>
    <col min="19" max="19" width="14.33203125" bestFit="1" customWidth="1"/>
  </cols>
  <sheetData>
    <row r="2" spans="2:22" x14ac:dyDescent="0.2">
      <c r="B2" s="216"/>
      <c r="C2" s="216" t="s">
        <v>332</v>
      </c>
      <c r="D2" s="216"/>
      <c r="E2" s="216"/>
      <c r="F2" s="217" t="s">
        <v>333</v>
      </c>
      <c r="G2" s="218" t="s">
        <v>334</v>
      </c>
      <c r="H2" s="219" t="s">
        <v>335</v>
      </c>
      <c r="I2" s="217"/>
      <c r="J2" s="220"/>
      <c r="K2" s="24"/>
      <c r="L2" s="24" t="s">
        <v>266</v>
      </c>
      <c r="M2" s="24"/>
      <c r="N2" s="24"/>
      <c r="O2" s="24"/>
      <c r="P2" s="24"/>
      <c r="Q2" s="24"/>
      <c r="R2" s="24"/>
      <c r="S2" s="24"/>
      <c r="T2" s="24"/>
      <c r="U2" s="24"/>
      <c r="V2" s="24"/>
    </row>
    <row r="3" spans="2:22" x14ac:dyDescent="0.2">
      <c r="B3" s="216"/>
      <c r="C3" s="216"/>
      <c r="D3" s="216"/>
      <c r="E3" s="220"/>
      <c r="F3" s="221">
        <v>0.4</v>
      </c>
      <c r="G3" s="217">
        <v>0.1</v>
      </c>
      <c r="H3" s="222">
        <v>0.3</v>
      </c>
      <c r="I3" s="217"/>
      <c r="J3" s="220"/>
      <c r="K3" s="24"/>
      <c r="L3" s="24"/>
      <c r="M3" s="24"/>
      <c r="N3" s="24"/>
      <c r="O3" s="24"/>
      <c r="P3" s="24"/>
      <c r="Q3" s="24"/>
      <c r="R3" s="24"/>
      <c r="S3" s="24"/>
      <c r="T3" s="24"/>
      <c r="U3" s="24"/>
      <c r="V3" s="24"/>
    </row>
    <row r="4" spans="2:22" x14ac:dyDescent="0.2">
      <c r="B4" s="216"/>
      <c r="C4" s="216"/>
      <c r="D4" s="216"/>
      <c r="E4" s="216"/>
      <c r="F4" s="216"/>
      <c r="G4" s="223"/>
      <c r="H4" s="224"/>
      <c r="I4" s="217"/>
      <c r="J4" s="220"/>
      <c r="K4" s="24"/>
      <c r="L4" s="24"/>
      <c r="M4" s="24"/>
      <c r="N4" s="24"/>
      <c r="O4" s="24"/>
      <c r="P4" s="24"/>
      <c r="Q4" s="24"/>
      <c r="R4" s="24"/>
      <c r="S4" s="24"/>
      <c r="T4" s="24"/>
      <c r="U4" s="24"/>
      <c r="V4" s="24"/>
    </row>
    <row r="5" spans="2:22" x14ac:dyDescent="0.2">
      <c r="B5" s="225" t="s">
        <v>0</v>
      </c>
      <c r="C5" s="225" t="s">
        <v>124</v>
      </c>
      <c r="D5" s="225" t="s">
        <v>85</v>
      </c>
      <c r="E5" s="225" t="s">
        <v>125</v>
      </c>
      <c r="F5" s="217"/>
      <c r="G5" s="223"/>
      <c r="H5" s="224"/>
      <c r="I5" s="217"/>
      <c r="J5" s="220"/>
      <c r="K5" s="24"/>
      <c r="L5" s="24"/>
      <c r="M5" s="24"/>
      <c r="N5" s="24"/>
      <c r="O5" s="24"/>
      <c r="P5" s="24"/>
      <c r="Q5" s="24"/>
      <c r="R5" s="24"/>
      <c r="S5" s="24"/>
      <c r="T5" s="24"/>
      <c r="U5" s="24"/>
      <c r="V5" s="24"/>
    </row>
    <row r="6" spans="2:22" x14ac:dyDescent="0.2">
      <c r="B6" s="225"/>
      <c r="C6" s="225"/>
      <c r="D6" s="225"/>
      <c r="E6" s="225" t="s">
        <v>336</v>
      </c>
      <c r="F6" s="226" t="s">
        <v>337</v>
      </c>
      <c r="G6" s="227" t="s">
        <v>338</v>
      </c>
      <c r="H6" s="228" t="s">
        <v>83</v>
      </c>
      <c r="I6" s="226" t="s">
        <v>339</v>
      </c>
      <c r="J6" s="216" t="s">
        <v>33</v>
      </c>
      <c r="K6" s="24"/>
      <c r="L6" s="182"/>
      <c r="M6" s="182"/>
      <c r="N6" s="182"/>
      <c r="O6" s="182"/>
      <c r="P6" s="182"/>
      <c r="Q6" s="182"/>
      <c r="R6" s="182"/>
      <c r="S6" s="182"/>
      <c r="T6" s="182"/>
      <c r="U6" s="183"/>
      <c r="V6" s="182"/>
    </row>
    <row r="7" spans="2:22" x14ac:dyDescent="0.2">
      <c r="B7" s="225"/>
      <c r="C7" s="225"/>
      <c r="D7" s="225"/>
      <c r="E7" s="225" t="s">
        <v>340</v>
      </c>
      <c r="F7" s="226"/>
      <c r="G7" s="227"/>
      <c r="H7" s="228"/>
      <c r="I7" s="226" t="s">
        <v>341</v>
      </c>
      <c r="J7" s="216"/>
      <c r="K7" s="24"/>
      <c r="L7" s="182"/>
      <c r="M7" s="184"/>
      <c r="N7" s="184"/>
      <c r="O7" s="185" t="s">
        <v>30</v>
      </c>
      <c r="P7" s="185" t="s">
        <v>256</v>
      </c>
      <c r="Q7" s="185" t="s">
        <v>345</v>
      </c>
      <c r="R7" s="185" t="s">
        <v>30</v>
      </c>
      <c r="S7" s="185" t="s">
        <v>346</v>
      </c>
      <c r="T7" s="185" t="s">
        <v>345</v>
      </c>
      <c r="U7" s="186" t="s">
        <v>346</v>
      </c>
      <c r="V7" s="185" t="s">
        <v>33</v>
      </c>
    </row>
    <row r="8" spans="2:22" x14ac:dyDescent="0.2">
      <c r="B8" s="225"/>
      <c r="C8" s="225"/>
      <c r="D8" s="225"/>
      <c r="E8" s="225" t="s">
        <v>342</v>
      </c>
      <c r="F8" s="226"/>
      <c r="G8" s="227"/>
      <c r="H8" s="228"/>
      <c r="I8" s="226" t="s">
        <v>343</v>
      </c>
      <c r="J8" s="216"/>
      <c r="K8" s="24"/>
      <c r="L8" s="185" t="s">
        <v>0</v>
      </c>
      <c r="M8" s="187" t="s">
        <v>347</v>
      </c>
      <c r="N8" s="185" t="s">
        <v>193</v>
      </c>
      <c r="O8" s="185" t="s">
        <v>238</v>
      </c>
      <c r="P8" s="185" t="s">
        <v>93</v>
      </c>
      <c r="Q8" s="185" t="s">
        <v>348</v>
      </c>
      <c r="R8" s="185" t="s">
        <v>349</v>
      </c>
      <c r="S8" s="185" t="s">
        <v>350</v>
      </c>
      <c r="T8" s="185" t="s">
        <v>348</v>
      </c>
      <c r="U8" s="186" t="s">
        <v>351</v>
      </c>
      <c r="V8" s="184"/>
    </row>
    <row r="9" spans="2:22" x14ac:dyDescent="0.2">
      <c r="B9" s="229">
        <v>2020</v>
      </c>
      <c r="C9" s="230">
        <v>1</v>
      </c>
      <c r="D9" s="230">
        <v>1</v>
      </c>
      <c r="E9" s="231">
        <v>24</v>
      </c>
      <c r="F9" s="232">
        <v>24</v>
      </c>
      <c r="G9" s="233">
        <v>0</v>
      </c>
      <c r="H9" s="234">
        <v>1</v>
      </c>
      <c r="I9" s="235">
        <v>24</v>
      </c>
      <c r="J9" s="233">
        <v>0</v>
      </c>
      <c r="K9" s="24"/>
      <c r="L9" s="185"/>
      <c r="M9" s="188"/>
      <c r="N9" s="185"/>
      <c r="O9" s="189" t="s">
        <v>352</v>
      </c>
      <c r="P9" s="190"/>
      <c r="Q9" s="190"/>
      <c r="R9" s="190"/>
      <c r="S9" s="191"/>
      <c r="T9" s="190"/>
      <c r="U9" s="192" t="s">
        <v>352</v>
      </c>
      <c r="V9" s="191"/>
    </row>
    <row r="10" spans="2:22" x14ac:dyDescent="0.2">
      <c r="B10" s="236"/>
      <c r="C10" s="237">
        <v>2</v>
      </c>
      <c r="D10" s="237">
        <f>D9+1</f>
        <v>2</v>
      </c>
      <c r="E10" s="238">
        <v>25</v>
      </c>
      <c r="F10" s="239">
        <v>24.4</v>
      </c>
      <c r="G10" s="240">
        <v>0.04</v>
      </c>
      <c r="H10" s="241">
        <v>1.0074000000000001</v>
      </c>
      <c r="I10" s="242">
        <v>24</v>
      </c>
      <c r="J10" s="243">
        <v>1</v>
      </c>
      <c r="K10" s="24"/>
      <c r="L10" s="185"/>
      <c r="M10" s="188"/>
      <c r="N10" s="185"/>
      <c r="O10" s="189"/>
      <c r="P10" s="190"/>
      <c r="Q10" s="190"/>
      <c r="R10" s="190"/>
      <c r="S10" s="191"/>
      <c r="T10" s="190"/>
      <c r="U10" s="192"/>
      <c r="V10" s="191"/>
    </row>
    <row r="11" spans="2:22" x14ac:dyDescent="0.2">
      <c r="B11" s="236"/>
      <c r="C11" s="237">
        <v>3</v>
      </c>
      <c r="D11" s="237">
        <f t="shared" ref="D11:D28" si="0">D10+1</f>
        <v>3</v>
      </c>
      <c r="E11" s="238">
        <v>21</v>
      </c>
      <c r="F11" s="239">
        <v>23.06</v>
      </c>
      <c r="G11" s="240">
        <v>-9.7600000000000006E-2</v>
      </c>
      <c r="H11" s="241">
        <v>0.97319999999999995</v>
      </c>
      <c r="I11" s="242">
        <v>24</v>
      </c>
      <c r="J11" s="243">
        <v>9</v>
      </c>
      <c r="K11" s="24"/>
      <c r="L11" s="185">
        <v>2020</v>
      </c>
      <c r="M11" s="185">
        <v>1</v>
      </c>
      <c r="N11" s="184">
        <v>1</v>
      </c>
      <c r="O11" s="193">
        <v>24</v>
      </c>
      <c r="P11" s="194">
        <f>AVERAGE(O11,O15,O19,O23)</f>
        <v>27.5</v>
      </c>
      <c r="Q11" s="195">
        <f>+P11/$O$32</f>
        <v>0.97995545657015593</v>
      </c>
      <c r="R11" s="194">
        <f>O11/Q11</f>
        <v>24.490909090909092</v>
      </c>
      <c r="S11" s="194">
        <f>FORECAST(N11,$R$11:$R$26,$N$11:$N$26)</f>
        <v>25.169144455472203</v>
      </c>
      <c r="T11" s="195">
        <f>Q11</f>
        <v>0.97995545657015593</v>
      </c>
      <c r="U11" s="196">
        <f>S11*T11</f>
        <v>24.664640446342471</v>
      </c>
      <c r="V11" s="195">
        <f>POWER(U11-O11,2)</f>
        <v>0.44174692291431894</v>
      </c>
    </row>
    <row r="12" spans="2:22" x14ac:dyDescent="0.2">
      <c r="B12" s="236"/>
      <c r="C12" s="237">
        <v>4</v>
      </c>
      <c r="D12" s="237">
        <f t="shared" si="0"/>
        <v>4</v>
      </c>
      <c r="E12" s="238">
        <v>34</v>
      </c>
      <c r="F12" s="239">
        <v>27.38</v>
      </c>
      <c r="G12" s="240">
        <v>0.34370000000000001</v>
      </c>
      <c r="H12" s="241">
        <v>1.0725</v>
      </c>
      <c r="I12" s="242">
        <v>24</v>
      </c>
      <c r="J12" s="243">
        <v>100</v>
      </c>
      <c r="K12" s="24"/>
      <c r="L12" s="185"/>
      <c r="M12" s="185">
        <v>2</v>
      </c>
      <c r="N12" s="184">
        <v>2</v>
      </c>
      <c r="O12" s="197">
        <v>25</v>
      </c>
      <c r="P12" s="198">
        <f>AVERAGE(O12,O16,O20,O24)</f>
        <v>28</v>
      </c>
      <c r="Q12" s="195">
        <f t="shared" ref="Q12:Q26" si="1">+P12/$O$32</f>
        <v>0.99777282850779514</v>
      </c>
      <c r="R12" s="198">
        <f t="shared" ref="R12:R26" si="2">O12/Q12</f>
        <v>25.055803571428569</v>
      </c>
      <c r="S12" s="194">
        <f t="shared" ref="S12:S30" si="3">FORECAST(N12,$R$11:$R$26,$N$11:$N$26)</f>
        <v>25.554925194742577</v>
      </c>
      <c r="T12" s="199">
        <f t="shared" ref="T12:T22" si="4">Q12</f>
        <v>0.99777282850779514</v>
      </c>
      <c r="U12" s="200">
        <f t="shared" ref="U12:U30" si="5">S12*T12</f>
        <v>25.49800999386342</v>
      </c>
      <c r="V12" s="199">
        <f t="shared" ref="V12:V26" si="6">POWER(U12-O12,2)</f>
        <v>0.24801395398784334</v>
      </c>
    </row>
    <row r="13" spans="2:22" x14ac:dyDescent="0.2">
      <c r="B13" s="236">
        <v>2021</v>
      </c>
      <c r="C13" s="237">
        <v>1</v>
      </c>
      <c r="D13" s="237">
        <f t="shared" si="0"/>
        <v>5</v>
      </c>
      <c r="E13" s="238">
        <v>24</v>
      </c>
      <c r="F13" s="239">
        <v>26.23</v>
      </c>
      <c r="G13" s="240">
        <v>0.1948</v>
      </c>
      <c r="H13" s="241">
        <v>0.97450000000000003</v>
      </c>
      <c r="I13" s="242">
        <v>28</v>
      </c>
      <c r="J13" s="243">
        <v>13.87</v>
      </c>
      <c r="K13" s="24"/>
      <c r="L13" s="185"/>
      <c r="M13" s="185">
        <v>3</v>
      </c>
      <c r="N13" s="184">
        <v>3</v>
      </c>
      <c r="O13" s="197">
        <v>21</v>
      </c>
      <c r="P13" s="198">
        <f>AVERAGE(O13,O17,O21,O25)</f>
        <v>26.25</v>
      </c>
      <c r="Q13" s="195">
        <f t="shared" si="1"/>
        <v>0.93541202672605794</v>
      </c>
      <c r="R13" s="198">
        <f t="shared" si="2"/>
        <v>22.45</v>
      </c>
      <c r="S13" s="194">
        <f t="shared" si="3"/>
        <v>25.94070593401295</v>
      </c>
      <c r="T13" s="199">
        <f t="shared" si="4"/>
        <v>0.93541202672605794</v>
      </c>
      <c r="U13" s="200">
        <f t="shared" si="5"/>
        <v>24.265248312439731</v>
      </c>
      <c r="V13" s="199">
        <f t="shared" si="6"/>
        <v>10.66184654189051</v>
      </c>
    </row>
    <row r="14" spans="2:22" x14ac:dyDescent="0.2">
      <c r="B14" s="236"/>
      <c r="C14" s="237">
        <v>2</v>
      </c>
      <c r="D14" s="237">
        <f t="shared" si="0"/>
        <v>6</v>
      </c>
      <c r="E14" s="238">
        <v>27</v>
      </c>
      <c r="F14" s="239">
        <v>26.58</v>
      </c>
      <c r="G14" s="240">
        <v>0.2097</v>
      </c>
      <c r="H14" s="241">
        <v>1.0099</v>
      </c>
      <c r="I14" s="242">
        <v>27</v>
      </c>
      <c r="J14" s="243">
        <v>0.14000000000000001</v>
      </c>
      <c r="K14" s="24"/>
      <c r="L14" s="185"/>
      <c r="M14" s="185">
        <v>4</v>
      </c>
      <c r="N14" s="184">
        <v>4</v>
      </c>
      <c r="O14" s="197">
        <v>34</v>
      </c>
      <c r="P14" s="198">
        <f>AVERAGE(O14,O18,O22,O26)</f>
        <v>30.5</v>
      </c>
      <c r="Q14" s="195">
        <f t="shared" si="1"/>
        <v>1.0868596881959911</v>
      </c>
      <c r="R14" s="198">
        <f t="shared" si="2"/>
        <v>31.282786885245901</v>
      </c>
      <c r="S14" s="194">
        <f t="shared" si="3"/>
        <v>26.32648667328332</v>
      </c>
      <c r="T14" s="199">
        <f t="shared" si="4"/>
        <v>1.0868596881959911</v>
      </c>
      <c r="U14" s="200">
        <f t="shared" si="5"/>
        <v>28.613197097020624</v>
      </c>
      <c r="V14" s="199">
        <f t="shared" si="6"/>
        <v>29.017645515547034</v>
      </c>
    </row>
    <row r="15" spans="2:22" x14ac:dyDescent="0.2">
      <c r="B15" s="236"/>
      <c r="C15" s="237">
        <v>3</v>
      </c>
      <c r="D15" s="237">
        <f t="shared" si="0"/>
        <v>7</v>
      </c>
      <c r="E15" s="238">
        <v>25</v>
      </c>
      <c r="F15" s="239">
        <v>26.35</v>
      </c>
      <c r="G15" s="240">
        <v>0.1658</v>
      </c>
      <c r="H15" s="241">
        <v>0.96589999999999998</v>
      </c>
      <c r="I15" s="242">
        <v>26</v>
      </c>
      <c r="J15" s="243">
        <v>1.1399999999999999</v>
      </c>
      <c r="K15" s="24"/>
      <c r="L15" s="185">
        <v>2021</v>
      </c>
      <c r="M15" s="185">
        <v>1</v>
      </c>
      <c r="N15" s="184">
        <v>5</v>
      </c>
      <c r="O15" s="197">
        <v>24</v>
      </c>
      <c r="P15" s="198">
        <f t="shared" ref="P15:P22" si="7">P11</f>
        <v>27.5</v>
      </c>
      <c r="Q15" s="195">
        <f t="shared" si="1"/>
        <v>0.97995545657015593</v>
      </c>
      <c r="R15" s="198">
        <f t="shared" si="2"/>
        <v>24.490909090909092</v>
      </c>
      <c r="S15" s="194">
        <f t="shared" si="3"/>
        <v>26.712267412553693</v>
      </c>
      <c r="T15" s="199">
        <f t="shared" si="4"/>
        <v>0.97995545657015593</v>
      </c>
      <c r="U15" s="200">
        <f t="shared" si="5"/>
        <v>26.176832208293153</v>
      </c>
      <c r="V15" s="199">
        <f t="shared" si="6"/>
        <v>4.7385984630624431</v>
      </c>
    </row>
    <row r="16" spans="2:22" x14ac:dyDescent="0.2">
      <c r="B16" s="236"/>
      <c r="C16" s="237">
        <v>4</v>
      </c>
      <c r="D16" s="237">
        <f t="shared" si="0"/>
        <v>8</v>
      </c>
      <c r="E16" s="238">
        <v>26</v>
      </c>
      <c r="F16" s="239">
        <v>25.61</v>
      </c>
      <c r="G16" s="240">
        <v>7.4899999999999994E-2</v>
      </c>
      <c r="H16" s="241">
        <v>1.0553999999999999</v>
      </c>
      <c r="I16" s="242">
        <v>28</v>
      </c>
      <c r="J16" s="243">
        <v>5.94</v>
      </c>
      <c r="K16" s="24"/>
      <c r="L16" s="185"/>
      <c r="M16" s="185">
        <v>2</v>
      </c>
      <c r="N16" s="184">
        <v>6</v>
      </c>
      <c r="O16" s="197">
        <v>27</v>
      </c>
      <c r="P16" s="198">
        <f t="shared" si="7"/>
        <v>28</v>
      </c>
      <c r="Q16" s="195">
        <f t="shared" si="1"/>
        <v>0.99777282850779514</v>
      </c>
      <c r="R16" s="198">
        <f t="shared" si="2"/>
        <v>27.060267857142858</v>
      </c>
      <c r="S16" s="194">
        <f t="shared" si="3"/>
        <v>27.098048151824067</v>
      </c>
      <c r="T16" s="199">
        <f t="shared" si="4"/>
        <v>0.99777282850779514</v>
      </c>
      <c r="U16" s="200">
        <f t="shared" si="5"/>
        <v>27.037696151485928</v>
      </c>
      <c r="V16" s="199">
        <f t="shared" si="6"/>
        <v>1.4209998368500468E-3</v>
      </c>
    </row>
    <row r="17" spans="2:22" x14ac:dyDescent="0.2">
      <c r="B17" s="236">
        <v>2022</v>
      </c>
      <c r="C17" s="237">
        <v>1</v>
      </c>
      <c r="D17" s="237">
        <f t="shared" si="0"/>
        <v>9</v>
      </c>
      <c r="E17" s="238">
        <v>32</v>
      </c>
      <c r="F17" s="239">
        <v>28.54</v>
      </c>
      <c r="G17" s="240">
        <v>0.36120000000000002</v>
      </c>
      <c r="H17" s="241">
        <v>1.0184</v>
      </c>
      <c r="I17" s="242">
        <v>25</v>
      </c>
      <c r="J17" s="243">
        <v>48.66</v>
      </c>
      <c r="K17" s="24"/>
      <c r="L17" s="185"/>
      <c r="M17" s="185">
        <v>3</v>
      </c>
      <c r="N17" s="184">
        <v>7</v>
      </c>
      <c r="O17" s="197">
        <v>25</v>
      </c>
      <c r="P17" s="198">
        <f t="shared" si="7"/>
        <v>26.25</v>
      </c>
      <c r="Q17" s="195">
        <f t="shared" si="1"/>
        <v>0.93541202672605794</v>
      </c>
      <c r="R17" s="198">
        <f t="shared" si="2"/>
        <v>26.726190476190474</v>
      </c>
      <c r="S17" s="194">
        <f t="shared" si="3"/>
        <v>27.48382889109444</v>
      </c>
      <c r="T17" s="199">
        <f t="shared" si="4"/>
        <v>0.93541202672605794</v>
      </c>
      <c r="U17" s="200">
        <f t="shared" si="5"/>
        <v>25.708704085210837</v>
      </c>
      <c r="V17" s="199">
        <f t="shared" si="6"/>
        <v>0.50226148039452878</v>
      </c>
    </row>
    <row r="18" spans="2:22" x14ac:dyDescent="0.2">
      <c r="B18" s="236"/>
      <c r="C18" s="237">
        <v>2</v>
      </c>
      <c r="D18" s="237">
        <f t="shared" si="0"/>
        <v>10</v>
      </c>
      <c r="E18" s="238">
        <v>33</v>
      </c>
      <c r="F18" s="239">
        <v>30.41</v>
      </c>
      <c r="G18" s="240">
        <v>0.5121</v>
      </c>
      <c r="H18" s="241">
        <v>1.0325</v>
      </c>
      <c r="I18" s="242">
        <v>29</v>
      </c>
      <c r="J18" s="243">
        <v>14.5</v>
      </c>
      <c r="K18" s="24"/>
      <c r="L18" s="185"/>
      <c r="M18" s="185">
        <v>4</v>
      </c>
      <c r="N18" s="184">
        <v>8</v>
      </c>
      <c r="O18" s="197">
        <v>26</v>
      </c>
      <c r="P18" s="198">
        <f t="shared" si="7"/>
        <v>30.5</v>
      </c>
      <c r="Q18" s="195">
        <f t="shared" si="1"/>
        <v>1.0868596881959911</v>
      </c>
      <c r="R18" s="198">
        <f t="shared" si="2"/>
        <v>23.922131147540984</v>
      </c>
      <c r="S18" s="194">
        <f t="shared" si="3"/>
        <v>27.869609630364813</v>
      </c>
      <c r="T18" s="199">
        <f t="shared" si="4"/>
        <v>1.0868596881959911</v>
      </c>
      <c r="U18" s="200">
        <f t="shared" si="5"/>
        <v>30.290355233002291</v>
      </c>
      <c r="V18" s="199">
        <f t="shared" si="6"/>
        <v>18.407148025350143</v>
      </c>
    </row>
    <row r="19" spans="2:22" x14ac:dyDescent="0.2">
      <c r="B19" s="236"/>
      <c r="C19" s="237">
        <v>3</v>
      </c>
      <c r="D19" s="237">
        <f t="shared" si="0"/>
        <v>11</v>
      </c>
      <c r="E19" s="238">
        <v>31</v>
      </c>
      <c r="F19" s="239">
        <v>31.39</v>
      </c>
      <c r="G19" s="240">
        <v>0.55889999999999995</v>
      </c>
      <c r="H19" s="241">
        <v>0.97230000000000005</v>
      </c>
      <c r="I19" s="242">
        <v>30</v>
      </c>
      <c r="J19" s="243">
        <v>1.28</v>
      </c>
      <c r="K19" s="24"/>
      <c r="L19" s="185">
        <v>2022</v>
      </c>
      <c r="M19" s="185">
        <v>1</v>
      </c>
      <c r="N19" s="184">
        <v>9</v>
      </c>
      <c r="O19" s="197">
        <v>32</v>
      </c>
      <c r="P19" s="199">
        <f t="shared" si="7"/>
        <v>27.5</v>
      </c>
      <c r="Q19" s="195">
        <f t="shared" si="1"/>
        <v>0.97995545657015593</v>
      </c>
      <c r="R19" s="198">
        <f t="shared" si="2"/>
        <v>32.654545454545456</v>
      </c>
      <c r="S19" s="194">
        <f t="shared" si="3"/>
        <v>28.255390369635187</v>
      </c>
      <c r="T19" s="199">
        <f t="shared" si="4"/>
        <v>0.97995545657015593</v>
      </c>
      <c r="U19" s="200">
        <f t="shared" si="5"/>
        <v>27.689023970243838</v>
      </c>
      <c r="V19" s="199">
        <f t="shared" si="6"/>
        <v>18.584514329132201</v>
      </c>
    </row>
    <row r="20" spans="2:22" x14ac:dyDescent="0.2">
      <c r="B20" s="236"/>
      <c r="C20" s="237">
        <v>4</v>
      </c>
      <c r="D20" s="237">
        <f t="shared" si="0"/>
        <v>12</v>
      </c>
      <c r="E20" s="238">
        <v>30</v>
      </c>
      <c r="F20" s="239">
        <v>30.54</v>
      </c>
      <c r="G20" s="240">
        <v>0.4178</v>
      </c>
      <c r="H20" s="241">
        <v>1.0335000000000001</v>
      </c>
      <c r="I20" s="242">
        <v>34</v>
      </c>
      <c r="J20" s="243">
        <v>13.86</v>
      </c>
      <c r="K20" s="24"/>
      <c r="L20" s="185"/>
      <c r="M20" s="185">
        <v>2</v>
      </c>
      <c r="N20" s="184">
        <v>10</v>
      </c>
      <c r="O20" s="197">
        <v>33</v>
      </c>
      <c r="P20" s="199">
        <f t="shared" si="7"/>
        <v>28</v>
      </c>
      <c r="Q20" s="195">
        <f t="shared" si="1"/>
        <v>0.99777282850779514</v>
      </c>
      <c r="R20" s="198">
        <f t="shared" si="2"/>
        <v>33.073660714285715</v>
      </c>
      <c r="S20" s="194">
        <f t="shared" si="3"/>
        <v>28.64117110890556</v>
      </c>
      <c r="T20" s="199">
        <f t="shared" si="4"/>
        <v>0.99777282850779514</v>
      </c>
      <c r="U20" s="200">
        <f t="shared" si="5"/>
        <v>28.577382309108444</v>
      </c>
      <c r="V20" s="199">
        <f t="shared" si="6"/>
        <v>19.559547239786962</v>
      </c>
    </row>
    <row r="21" spans="2:22" x14ac:dyDescent="0.2">
      <c r="B21" s="236">
        <v>2023</v>
      </c>
      <c r="C21" s="237">
        <v>1</v>
      </c>
      <c r="D21" s="237">
        <f t="shared" si="0"/>
        <v>13</v>
      </c>
      <c r="E21" s="238">
        <v>30</v>
      </c>
      <c r="F21" s="239">
        <v>30.36</v>
      </c>
      <c r="G21" s="240">
        <v>0.35770000000000002</v>
      </c>
      <c r="H21" s="241">
        <v>1.0094000000000001</v>
      </c>
      <c r="I21" s="242">
        <v>32</v>
      </c>
      <c r="J21" s="243">
        <v>2.34</v>
      </c>
      <c r="K21" s="24"/>
      <c r="L21" s="185"/>
      <c r="M21" s="185">
        <v>3</v>
      </c>
      <c r="N21" s="184">
        <v>11</v>
      </c>
      <c r="O21" s="197">
        <v>31</v>
      </c>
      <c r="P21" s="199">
        <f t="shared" si="7"/>
        <v>26.25</v>
      </c>
      <c r="Q21" s="195">
        <f t="shared" si="1"/>
        <v>0.93541202672605794</v>
      </c>
      <c r="R21" s="198">
        <f t="shared" si="2"/>
        <v>33.140476190476193</v>
      </c>
      <c r="S21" s="194">
        <f t="shared" si="3"/>
        <v>29.026951848175933</v>
      </c>
      <c r="T21" s="199">
        <f t="shared" si="4"/>
        <v>0.93541202672605794</v>
      </c>
      <c r="U21" s="200">
        <f t="shared" si="5"/>
        <v>27.152159857981943</v>
      </c>
      <c r="V21" s="199">
        <f t="shared" si="6"/>
        <v>14.805873758525545</v>
      </c>
    </row>
    <row r="22" spans="2:22" x14ac:dyDescent="0.2">
      <c r="B22" s="236"/>
      <c r="C22" s="237">
        <v>2</v>
      </c>
      <c r="D22" s="237">
        <f t="shared" si="0"/>
        <v>14</v>
      </c>
      <c r="E22" s="238">
        <v>27</v>
      </c>
      <c r="F22" s="239">
        <v>28.89</v>
      </c>
      <c r="G22" s="240">
        <v>0.17510000000000001</v>
      </c>
      <c r="H22" s="241">
        <v>1.0031000000000001</v>
      </c>
      <c r="I22" s="242">
        <v>32</v>
      </c>
      <c r="J22" s="243">
        <v>22.21</v>
      </c>
      <c r="K22" s="24"/>
      <c r="L22" s="185"/>
      <c r="M22" s="185">
        <v>4</v>
      </c>
      <c r="N22" s="184">
        <v>12</v>
      </c>
      <c r="O22" s="197">
        <v>30</v>
      </c>
      <c r="P22" s="199">
        <f t="shared" si="7"/>
        <v>30.5</v>
      </c>
      <c r="Q22" s="195">
        <f t="shared" si="1"/>
        <v>1.0868596881959911</v>
      </c>
      <c r="R22" s="198">
        <f t="shared" si="2"/>
        <v>27.602459016393443</v>
      </c>
      <c r="S22" s="194">
        <f t="shared" si="3"/>
        <v>29.412732587446303</v>
      </c>
      <c r="T22" s="199">
        <f t="shared" si="4"/>
        <v>1.0868596881959911</v>
      </c>
      <c r="U22" s="200">
        <f t="shared" si="5"/>
        <v>31.967513368983955</v>
      </c>
      <c r="V22" s="199">
        <f t="shared" si="6"/>
        <v>3.8711088571305918</v>
      </c>
    </row>
    <row r="23" spans="2:22" x14ac:dyDescent="0.2">
      <c r="B23" s="236"/>
      <c r="C23" s="237">
        <v>3</v>
      </c>
      <c r="D23" s="237">
        <f t="shared" si="0"/>
        <v>15</v>
      </c>
      <c r="E23" s="238">
        <v>28</v>
      </c>
      <c r="F23" s="239">
        <v>28.96</v>
      </c>
      <c r="G23" s="240">
        <v>0.16439999999999999</v>
      </c>
      <c r="H23" s="241">
        <v>0.97070000000000001</v>
      </c>
      <c r="I23" s="242">
        <v>28</v>
      </c>
      <c r="J23" s="243">
        <v>7.0000000000000007E-2</v>
      </c>
      <c r="K23" s="24"/>
      <c r="L23" s="185">
        <v>2023</v>
      </c>
      <c r="M23" s="185">
        <v>1</v>
      </c>
      <c r="N23" s="184">
        <v>13</v>
      </c>
      <c r="O23" s="197">
        <v>30</v>
      </c>
      <c r="P23" s="199">
        <f>P19</f>
        <v>27.5</v>
      </c>
      <c r="Q23" s="195">
        <f t="shared" si="1"/>
        <v>0.97995545657015593</v>
      </c>
      <c r="R23" s="198">
        <f t="shared" si="2"/>
        <v>30.613636363636363</v>
      </c>
      <c r="S23" s="194">
        <f t="shared" si="3"/>
        <v>29.798513326716677</v>
      </c>
      <c r="T23" s="199">
        <f>Q11</f>
        <v>0.97995545657015593</v>
      </c>
      <c r="U23" s="200">
        <f t="shared" si="5"/>
        <v>29.201215732194516</v>
      </c>
      <c r="V23" s="199">
        <f t="shared" si="6"/>
        <v>0.63805630649354306</v>
      </c>
    </row>
    <row r="24" spans="2:22" x14ac:dyDescent="0.2">
      <c r="B24" s="236"/>
      <c r="C24" s="237">
        <v>4</v>
      </c>
      <c r="D24" s="237">
        <f t="shared" si="0"/>
        <v>16</v>
      </c>
      <c r="E24" s="238">
        <v>32</v>
      </c>
      <c r="F24" s="239">
        <v>29.86</v>
      </c>
      <c r="G24" s="240">
        <v>0.23799999999999999</v>
      </c>
      <c r="H24" s="241">
        <v>1.0448999999999999</v>
      </c>
      <c r="I24" s="242">
        <v>30</v>
      </c>
      <c r="J24" s="243">
        <v>3.62</v>
      </c>
      <c r="K24" s="24"/>
      <c r="L24" s="185"/>
      <c r="M24" s="185">
        <v>2</v>
      </c>
      <c r="N24" s="184">
        <v>14</v>
      </c>
      <c r="O24" s="197">
        <v>27</v>
      </c>
      <c r="P24" s="199">
        <f>P20</f>
        <v>28</v>
      </c>
      <c r="Q24" s="195">
        <f t="shared" si="1"/>
        <v>0.99777282850779514</v>
      </c>
      <c r="R24" s="198">
        <f t="shared" si="2"/>
        <v>27.060267857142858</v>
      </c>
      <c r="S24" s="194">
        <f t="shared" si="3"/>
        <v>30.18429406598705</v>
      </c>
      <c r="T24" s="199">
        <f>Q12</f>
        <v>0.99777282850779514</v>
      </c>
      <c r="U24" s="200">
        <f t="shared" si="5"/>
        <v>30.117068466730956</v>
      </c>
      <c r="V24" s="199">
        <f t="shared" si="6"/>
        <v>9.7161158262884726</v>
      </c>
    </row>
    <row r="25" spans="2:22" x14ac:dyDescent="0.2">
      <c r="B25" s="236">
        <v>2024</v>
      </c>
      <c r="C25" s="237">
        <v>1</v>
      </c>
      <c r="D25" s="237">
        <f t="shared" si="0"/>
        <v>17</v>
      </c>
      <c r="E25" s="237"/>
      <c r="F25" s="239"/>
      <c r="G25" s="240"/>
      <c r="H25" s="241"/>
      <c r="I25" s="242">
        <v>32</v>
      </c>
      <c r="J25" s="243"/>
      <c r="K25" s="24"/>
      <c r="L25" s="185"/>
      <c r="M25" s="185">
        <v>3</v>
      </c>
      <c r="N25" s="184">
        <v>15</v>
      </c>
      <c r="O25" s="197">
        <v>28</v>
      </c>
      <c r="P25" s="199">
        <f>P21</f>
        <v>26.25</v>
      </c>
      <c r="Q25" s="195">
        <f t="shared" si="1"/>
        <v>0.93541202672605794</v>
      </c>
      <c r="R25" s="198">
        <f t="shared" si="2"/>
        <v>29.933333333333334</v>
      </c>
      <c r="S25" s="194">
        <f t="shared" si="3"/>
        <v>30.570074805257423</v>
      </c>
      <c r="T25" s="199">
        <f>Q13</f>
        <v>0.93541202672605794</v>
      </c>
      <c r="U25" s="200">
        <f t="shared" si="5"/>
        <v>28.595615630753048</v>
      </c>
      <c r="V25" s="199">
        <f t="shared" si="6"/>
        <v>0.35475797959735178</v>
      </c>
    </row>
    <row r="26" spans="2:22" x14ac:dyDescent="0.2">
      <c r="B26" s="236"/>
      <c r="C26" s="237">
        <v>2</v>
      </c>
      <c r="D26" s="237">
        <f t="shared" si="0"/>
        <v>18</v>
      </c>
      <c r="E26" s="237"/>
      <c r="F26" s="239"/>
      <c r="G26" s="240"/>
      <c r="H26" s="241"/>
      <c r="I26" s="242">
        <v>30</v>
      </c>
      <c r="J26" s="243"/>
      <c r="K26" s="24"/>
      <c r="L26" s="185"/>
      <c r="M26" s="185">
        <v>4</v>
      </c>
      <c r="N26" s="184">
        <v>16</v>
      </c>
      <c r="O26" s="197">
        <v>32</v>
      </c>
      <c r="P26" s="199">
        <f>P22</f>
        <v>30.5</v>
      </c>
      <c r="Q26" s="195">
        <f t="shared" si="1"/>
        <v>1.0868596881959911</v>
      </c>
      <c r="R26" s="198">
        <f t="shared" si="2"/>
        <v>29.442622950819672</v>
      </c>
      <c r="S26" s="194">
        <f t="shared" si="3"/>
        <v>30.955855544527797</v>
      </c>
      <c r="T26" s="199">
        <f>Q14</f>
        <v>1.0868596881959911</v>
      </c>
      <c r="U26" s="200">
        <f t="shared" si="5"/>
        <v>33.644671504965622</v>
      </c>
      <c r="V26" s="199">
        <f t="shared" si="6"/>
        <v>2.7049443592458839</v>
      </c>
    </row>
    <row r="27" spans="2:22" x14ac:dyDescent="0.2">
      <c r="B27" s="236"/>
      <c r="C27" s="237">
        <v>3</v>
      </c>
      <c r="D27" s="237">
        <f t="shared" si="0"/>
        <v>19</v>
      </c>
      <c r="E27" s="237"/>
      <c r="F27" s="239"/>
      <c r="G27" s="240"/>
      <c r="H27" s="241"/>
      <c r="I27" s="242">
        <v>29</v>
      </c>
      <c r="J27" s="243"/>
      <c r="K27" s="24"/>
      <c r="L27" s="185">
        <v>2024</v>
      </c>
      <c r="M27" s="185"/>
      <c r="N27" s="184">
        <v>17</v>
      </c>
      <c r="O27" s="201"/>
      <c r="P27" s="199"/>
      <c r="Q27" s="199"/>
      <c r="R27" s="198"/>
      <c r="S27" s="194">
        <f t="shared" si="3"/>
        <v>31.341636283798167</v>
      </c>
      <c r="T27" s="199">
        <f>T23</f>
        <v>0.97995545657015593</v>
      </c>
      <c r="U27" s="200">
        <f t="shared" si="5"/>
        <v>30.713407494145198</v>
      </c>
      <c r="V27" s="199"/>
    </row>
    <row r="28" spans="2:22" x14ac:dyDescent="0.2">
      <c r="B28" s="236"/>
      <c r="C28" s="237">
        <v>4</v>
      </c>
      <c r="D28" s="237">
        <f t="shared" si="0"/>
        <v>20</v>
      </c>
      <c r="E28" s="237"/>
      <c r="F28" s="239"/>
      <c r="G28" s="240"/>
      <c r="H28" s="241"/>
      <c r="I28" s="242">
        <v>32</v>
      </c>
      <c r="J28" s="243"/>
      <c r="K28" s="24"/>
      <c r="L28" s="185"/>
      <c r="M28" s="185"/>
      <c r="N28" s="184">
        <v>18</v>
      </c>
      <c r="O28" s="201"/>
      <c r="P28" s="199"/>
      <c r="Q28" s="199"/>
      <c r="R28" s="198"/>
      <c r="S28" s="194">
        <f t="shared" si="3"/>
        <v>31.72741702306854</v>
      </c>
      <c r="T28" s="199">
        <f>T24</f>
        <v>0.99777282850779514</v>
      </c>
      <c r="U28" s="200">
        <f t="shared" si="5"/>
        <v>31.656754624353468</v>
      </c>
      <c r="V28" s="199"/>
    </row>
    <row r="29" spans="2:22" x14ac:dyDescent="0.2">
      <c r="B29" s="236"/>
      <c r="C29" s="237"/>
      <c r="D29" s="237"/>
      <c r="E29" s="237"/>
      <c r="F29" s="239"/>
      <c r="G29" s="240"/>
      <c r="H29" s="241"/>
      <c r="I29" s="239"/>
      <c r="J29" s="243"/>
      <c r="K29" s="24"/>
      <c r="L29" s="185"/>
      <c r="M29" s="185"/>
      <c r="N29" s="184">
        <v>19</v>
      </c>
      <c r="O29" s="201"/>
      <c r="P29" s="199"/>
      <c r="Q29" s="199"/>
      <c r="R29" s="198"/>
      <c r="S29" s="194">
        <f t="shared" si="3"/>
        <v>32.113197762338913</v>
      </c>
      <c r="T29" s="199">
        <f>T25</f>
        <v>0.93541202672605794</v>
      </c>
      <c r="U29" s="200">
        <f t="shared" si="5"/>
        <v>30.039071403524151</v>
      </c>
      <c r="V29" s="199"/>
    </row>
    <row r="30" spans="2:22" x14ac:dyDescent="0.2">
      <c r="B30" s="220"/>
      <c r="C30" s="220"/>
      <c r="D30" s="220"/>
      <c r="E30" s="220"/>
      <c r="F30" s="217"/>
      <c r="G30" s="223"/>
      <c r="H30" s="224"/>
      <c r="I30" s="217"/>
      <c r="J30" s="220"/>
      <c r="K30" s="24"/>
      <c r="L30" s="185"/>
      <c r="M30" s="185"/>
      <c r="N30" s="184">
        <v>20</v>
      </c>
      <c r="O30" s="201"/>
      <c r="P30" s="199"/>
      <c r="Q30" s="199"/>
      <c r="R30" s="198"/>
      <c r="S30" s="194">
        <f t="shared" si="3"/>
        <v>32.498978501609287</v>
      </c>
      <c r="T30" s="199">
        <f>T26</f>
        <v>1.0868596881959911</v>
      </c>
      <c r="U30" s="200">
        <f t="shared" si="5"/>
        <v>35.321829640947286</v>
      </c>
      <c r="V30" s="199"/>
    </row>
    <row r="31" spans="2:22" x14ac:dyDescent="0.2">
      <c r="B31" s="220"/>
      <c r="C31" s="220"/>
      <c r="D31" s="220"/>
      <c r="E31" s="220"/>
      <c r="F31" s="217"/>
      <c r="G31" s="223"/>
      <c r="H31" s="224"/>
      <c r="I31" s="217" t="s">
        <v>344</v>
      </c>
      <c r="J31" s="244">
        <v>14.85</v>
      </c>
      <c r="K31" s="24"/>
      <c r="L31" s="182"/>
      <c r="M31" s="202"/>
      <c r="N31" s="182"/>
      <c r="O31" s="203"/>
      <c r="P31" s="204"/>
      <c r="Q31" s="204"/>
      <c r="R31" s="205"/>
      <c r="S31" s="205"/>
      <c r="T31" s="204"/>
      <c r="U31" s="206"/>
      <c r="V31" s="204"/>
    </row>
    <row r="32" spans="2:22" x14ac:dyDescent="0.2">
      <c r="B32" s="24"/>
      <c r="C32" s="24"/>
      <c r="D32" s="24"/>
      <c r="E32" s="24"/>
      <c r="F32" s="24"/>
      <c r="G32" s="24"/>
      <c r="H32" s="24"/>
      <c r="I32" s="24"/>
      <c r="J32" s="24"/>
      <c r="K32" s="24"/>
      <c r="L32" s="182"/>
      <c r="M32" s="182" t="s">
        <v>353</v>
      </c>
      <c r="N32" s="182">
        <f>AVERAGE(N11:N30)</f>
        <v>10.5</v>
      </c>
      <c r="O32" s="207">
        <f>AVERAGE(O11:O26)</f>
        <v>28.0625</v>
      </c>
      <c r="P32" s="182"/>
      <c r="Q32" s="182"/>
      <c r="R32" s="207">
        <f>AVERAGE(R11:R26)</f>
        <v>28.0625</v>
      </c>
      <c r="S32" s="182"/>
      <c r="T32" s="182"/>
      <c r="U32" s="183"/>
      <c r="V32" s="182"/>
    </row>
    <row r="33" spans="2:22" x14ac:dyDescent="0.2">
      <c r="B33" s="24"/>
      <c r="C33" s="24"/>
      <c r="D33" s="24"/>
      <c r="E33" s="24"/>
      <c r="F33" s="24"/>
      <c r="G33" s="24"/>
      <c r="H33" s="24"/>
      <c r="I33" s="24"/>
      <c r="J33" s="24"/>
      <c r="K33" s="24"/>
      <c r="L33" s="182"/>
      <c r="M33" s="182" t="s">
        <v>12</v>
      </c>
      <c r="N33" s="182">
        <f>SUM(N11:N30)</f>
        <v>210</v>
      </c>
      <c r="O33" s="207">
        <f>SUM(O11:O26)</f>
        <v>449</v>
      </c>
      <c r="P33" s="182"/>
      <c r="Q33" s="182"/>
      <c r="R33" s="207">
        <f>SUM(R11:R26)</f>
        <v>449</v>
      </c>
      <c r="S33" s="182"/>
      <c r="T33" s="182"/>
      <c r="U33" s="183"/>
      <c r="V33" s="182"/>
    </row>
    <row r="34" spans="2:22" x14ac:dyDescent="0.2">
      <c r="B34" s="24"/>
      <c r="C34" s="24"/>
      <c r="D34" s="24"/>
      <c r="E34" s="24"/>
      <c r="F34" s="24"/>
      <c r="G34" s="24"/>
      <c r="H34" s="24"/>
      <c r="I34" s="24"/>
      <c r="J34" s="24"/>
      <c r="K34" s="24"/>
      <c r="L34" s="182"/>
      <c r="M34" s="182"/>
      <c r="N34" s="182"/>
      <c r="O34" s="182"/>
      <c r="P34" s="182"/>
      <c r="Q34" s="182"/>
      <c r="R34" s="182"/>
      <c r="S34" s="182"/>
      <c r="T34" s="182"/>
      <c r="U34" s="183" t="s">
        <v>33</v>
      </c>
      <c r="V34" s="204">
        <f>AVERAGE(V11:V26)</f>
        <v>8.3908500349490129</v>
      </c>
    </row>
    <row r="35" spans="2:22" x14ac:dyDescent="0.2">
      <c r="B35" s="24"/>
      <c r="C35" s="24"/>
      <c r="D35" s="24"/>
      <c r="E35" s="24"/>
      <c r="F35" s="24"/>
      <c r="G35" s="24"/>
      <c r="H35" s="24"/>
      <c r="I35" s="24"/>
      <c r="J35" s="24"/>
      <c r="K35" s="24"/>
      <c r="L35" s="24"/>
      <c r="M35" s="24"/>
      <c r="N35" s="24"/>
      <c r="O35" s="24"/>
      <c r="P35" s="24"/>
      <c r="Q35" s="24"/>
      <c r="R35" s="24"/>
      <c r="S35" s="24"/>
      <c r="T35" s="24"/>
      <c r="U35" s="24"/>
      <c r="V35" s="24"/>
    </row>
    <row r="36" spans="2:22" x14ac:dyDescent="0.2">
      <c r="B36" s="24"/>
      <c r="C36" s="24"/>
      <c r="D36" s="24"/>
      <c r="E36" s="24"/>
      <c r="F36" s="24"/>
      <c r="G36" s="24"/>
      <c r="H36" s="24"/>
      <c r="I36" s="24"/>
      <c r="J36" s="24"/>
      <c r="K36" s="24"/>
      <c r="L36" s="24"/>
      <c r="M36" s="24"/>
      <c r="N36" s="24"/>
      <c r="O36" s="24"/>
      <c r="P36" s="24"/>
      <c r="Q36" s="24"/>
      <c r="R36" s="24"/>
      <c r="S36" s="24"/>
      <c r="T36" s="24"/>
      <c r="U36" s="24"/>
      <c r="V36" s="24"/>
    </row>
    <row r="37" spans="2:22" x14ac:dyDescent="0.2">
      <c r="B37" s="24"/>
      <c r="C37" s="24"/>
      <c r="D37" s="24"/>
      <c r="E37" s="24"/>
      <c r="F37" s="24"/>
      <c r="G37" s="24"/>
      <c r="H37" s="24"/>
      <c r="I37" s="24"/>
      <c r="J37" s="24"/>
      <c r="K37" s="24"/>
      <c r="L37" s="24"/>
      <c r="M37" s="24"/>
      <c r="N37" s="24"/>
      <c r="O37" s="24"/>
      <c r="P37" s="24"/>
      <c r="Q37" s="24"/>
      <c r="R37" s="24"/>
      <c r="S37" s="24"/>
      <c r="T37" s="24"/>
      <c r="U37" s="24"/>
      <c r="V37" s="24"/>
    </row>
    <row r="38" spans="2:22" x14ac:dyDescent="0.2">
      <c r="B38" s="181" t="s">
        <v>354</v>
      </c>
      <c r="C38" s="182"/>
      <c r="D38" s="182"/>
      <c r="E38" s="183"/>
      <c r="F38" s="183"/>
      <c r="G38" s="183"/>
      <c r="H38" s="183"/>
      <c r="I38" s="183"/>
      <c r="J38" s="183"/>
      <c r="K38" s="182"/>
      <c r="L38" s="24"/>
      <c r="M38" s="24"/>
      <c r="N38" s="24"/>
      <c r="O38" s="24"/>
      <c r="P38" s="24"/>
      <c r="Q38" s="24"/>
      <c r="R38" s="24"/>
      <c r="S38" s="24"/>
      <c r="T38" s="24"/>
      <c r="U38" s="24"/>
      <c r="V38" s="24"/>
    </row>
    <row r="39" spans="2:22" x14ac:dyDescent="0.2">
      <c r="B39" s="182"/>
      <c r="C39" s="182"/>
      <c r="D39" s="182"/>
      <c r="E39" s="208" t="s">
        <v>371</v>
      </c>
      <c r="F39" s="296" t="s">
        <v>372</v>
      </c>
      <c r="G39" s="296"/>
      <c r="H39" s="296"/>
      <c r="I39" s="296"/>
      <c r="J39" s="183"/>
      <c r="K39" s="182"/>
      <c r="L39" s="24"/>
      <c r="M39" s="24"/>
      <c r="N39" s="24"/>
      <c r="O39" s="24"/>
      <c r="P39" s="24"/>
      <c r="Q39" s="24"/>
      <c r="R39" s="24"/>
      <c r="S39" s="24"/>
      <c r="T39" s="24"/>
      <c r="U39" s="24"/>
      <c r="V39" s="24"/>
    </row>
    <row r="40" spans="2:22" x14ac:dyDescent="0.2">
      <c r="B40" s="182"/>
      <c r="C40" s="182"/>
      <c r="D40" s="182"/>
      <c r="E40" s="208" t="s">
        <v>129</v>
      </c>
      <c r="F40" s="208" t="s">
        <v>126</v>
      </c>
      <c r="G40" s="208" t="s">
        <v>127</v>
      </c>
      <c r="H40" s="208" t="s">
        <v>128</v>
      </c>
      <c r="I40" s="208" t="s">
        <v>129</v>
      </c>
      <c r="J40" s="208"/>
      <c r="K40" s="208" t="s">
        <v>355</v>
      </c>
      <c r="L40" s="24"/>
      <c r="M40" s="24"/>
      <c r="N40" s="24"/>
      <c r="O40" s="24"/>
      <c r="P40" s="24"/>
      <c r="Q40" s="24"/>
      <c r="R40" s="24"/>
      <c r="S40" s="24"/>
      <c r="T40" s="24"/>
      <c r="U40" s="24"/>
      <c r="V40" s="24"/>
    </row>
    <row r="41" spans="2:22" x14ac:dyDescent="0.2">
      <c r="B41" s="182"/>
      <c r="C41" s="182"/>
      <c r="D41" s="182"/>
      <c r="E41" s="183">
        <f>U26*1000</f>
        <v>33644.67150496562</v>
      </c>
      <c r="F41" s="183">
        <f>U27*1000</f>
        <v>30713.407494145198</v>
      </c>
      <c r="G41" s="183">
        <f>U28*1000</f>
        <v>31656.754624353467</v>
      </c>
      <c r="H41" s="183">
        <f>U29*1000</f>
        <v>30039.071403524151</v>
      </c>
      <c r="I41" s="183">
        <f>U30*1000</f>
        <v>35321.829640947282</v>
      </c>
      <c r="J41" s="183"/>
      <c r="K41" s="202" t="s">
        <v>124</v>
      </c>
      <c r="L41" s="24"/>
      <c r="M41" s="24"/>
      <c r="N41" s="24"/>
      <c r="O41" s="24"/>
      <c r="P41" s="24"/>
      <c r="Q41" s="24"/>
      <c r="R41" s="24"/>
      <c r="S41" s="24"/>
      <c r="T41" s="24"/>
      <c r="U41" s="24"/>
      <c r="V41" s="24"/>
    </row>
    <row r="42" spans="2:22" x14ac:dyDescent="0.2">
      <c r="B42" s="182" t="s">
        <v>356</v>
      </c>
      <c r="C42" s="182">
        <v>5</v>
      </c>
      <c r="D42" s="182"/>
      <c r="E42" s="183"/>
      <c r="F42" s="183"/>
      <c r="G42" s="183"/>
      <c r="H42" s="183"/>
      <c r="I42" s="183"/>
      <c r="J42" s="183"/>
      <c r="K42" s="182"/>
      <c r="L42" s="24"/>
      <c r="M42" s="24"/>
      <c r="N42" s="24"/>
      <c r="O42" s="24"/>
      <c r="P42" s="24"/>
      <c r="Q42" s="24"/>
      <c r="R42" s="24"/>
      <c r="S42" s="24"/>
      <c r="T42" s="24"/>
      <c r="U42" s="24"/>
      <c r="V42" s="24"/>
    </row>
    <row r="43" spans="2:22" x14ac:dyDescent="0.2">
      <c r="B43" s="182"/>
      <c r="C43" s="182"/>
      <c r="D43" s="182"/>
      <c r="E43" s="183"/>
      <c r="F43" s="183"/>
      <c r="G43" s="183"/>
      <c r="H43" s="183"/>
      <c r="I43" s="183"/>
      <c r="J43" s="183"/>
      <c r="K43" s="182"/>
      <c r="L43" s="24"/>
      <c r="M43" s="24"/>
      <c r="N43" s="24"/>
      <c r="O43" s="24"/>
      <c r="P43" s="24"/>
      <c r="Q43" s="24"/>
      <c r="R43" s="24"/>
      <c r="S43" s="24"/>
      <c r="T43" s="24"/>
      <c r="U43" s="24"/>
      <c r="V43" s="24"/>
    </row>
    <row r="44" spans="2:22" x14ac:dyDescent="0.2">
      <c r="B44" s="182"/>
      <c r="C44" s="182"/>
      <c r="D44" s="182"/>
      <c r="E44" s="183"/>
      <c r="F44" s="183"/>
      <c r="G44" s="183"/>
      <c r="H44" s="183"/>
      <c r="I44" s="183"/>
      <c r="J44" s="183"/>
      <c r="K44" s="182"/>
      <c r="L44" s="24"/>
      <c r="M44" s="24"/>
      <c r="N44" s="24"/>
      <c r="O44" s="24"/>
      <c r="P44" s="24"/>
      <c r="Q44" s="24"/>
      <c r="R44" s="24"/>
      <c r="S44" s="24"/>
      <c r="T44" s="24"/>
      <c r="U44" s="24"/>
      <c r="V44" s="24"/>
    </row>
    <row r="45" spans="2:22" x14ac:dyDescent="0.2">
      <c r="B45" s="182" t="s">
        <v>125</v>
      </c>
      <c r="C45" s="182"/>
      <c r="D45" s="182"/>
      <c r="E45" s="209">
        <f>E41*$C$42</f>
        <v>168223.35752482811</v>
      </c>
      <c r="F45" s="209">
        <f t="shared" ref="F45:I45" si="8">F41*$C$42</f>
        <v>153567.03747072601</v>
      </c>
      <c r="G45" s="209">
        <f t="shared" si="8"/>
        <v>158283.77312176733</v>
      </c>
      <c r="H45" s="209">
        <f t="shared" si="8"/>
        <v>150195.35701762076</v>
      </c>
      <c r="I45" s="209">
        <f t="shared" si="8"/>
        <v>176609.14820473641</v>
      </c>
      <c r="J45" s="206"/>
      <c r="K45" s="210">
        <f>SUM(G45:I45)</f>
        <v>485088.2783441245</v>
      </c>
      <c r="L45" s="24"/>
      <c r="M45" s="24"/>
      <c r="N45" s="24"/>
      <c r="O45" s="24"/>
      <c r="P45" s="24"/>
      <c r="Q45" s="24"/>
      <c r="R45" s="24"/>
      <c r="S45" s="24"/>
      <c r="T45" s="24"/>
      <c r="U45" s="24"/>
      <c r="V45" s="24"/>
    </row>
    <row r="46" spans="2:22" x14ac:dyDescent="0.2">
      <c r="B46" s="182" t="s">
        <v>357</v>
      </c>
      <c r="C46" s="211">
        <v>0.6</v>
      </c>
      <c r="D46" s="182"/>
      <c r="E46" s="183">
        <f>E45*$C$46</f>
        <v>100934.01451489686</v>
      </c>
      <c r="F46" s="183">
        <f t="shared" ref="F46:I46" si="9">F45*$C$46</f>
        <v>92140.222482435594</v>
      </c>
      <c r="G46" s="183">
        <f t="shared" si="9"/>
        <v>94970.263873060394</v>
      </c>
      <c r="H46" s="183">
        <f t="shared" si="9"/>
        <v>90117.214210572449</v>
      </c>
      <c r="I46" s="183">
        <f t="shared" si="9"/>
        <v>105965.48892284185</v>
      </c>
      <c r="J46" s="206"/>
      <c r="K46" s="212">
        <f t="shared" ref="K46:K51" si="10">SUM(G46:I46)</f>
        <v>291052.96700647468</v>
      </c>
      <c r="L46" s="24"/>
      <c r="M46" s="24"/>
      <c r="N46" s="24"/>
      <c r="O46" s="24"/>
      <c r="P46" s="24"/>
      <c r="Q46" s="24"/>
      <c r="R46" s="24"/>
      <c r="S46" s="24"/>
      <c r="T46" s="24"/>
      <c r="U46" s="24"/>
      <c r="V46" s="24"/>
    </row>
    <row r="47" spans="2:22" x14ac:dyDescent="0.2">
      <c r="B47" s="182" t="s">
        <v>358</v>
      </c>
      <c r="C47" s="182"/>
      <c r="D47" s="182"/>
      <c r="E47" s="209">
        <v>12000</v>
      </c>
      <c r="F47" s="209">
        <v>12000</v>
      </c>
      <c r="G47" s="209">
        <v>12000</v>
      </c>
      <c r="H47" s="209">
        <v>12000</v>
      </c>
      <c r="I47" s="209">
        <v>12000</v>
      </c>
      <c r="J47" s="206"/>
      <c r="K47" s="210">
        <f t="shared" si="10"/>
        <v>36000</v>
      </c>
      <c r="L47" s="24"/>
      <c r="M47" s="24"/>
      <c r="N47" s="24"/>
      <c r="O47" s="24"/>
      <c r="P47" s="24"/>
      <c r="Q47" s="24"/>
      <c r="R47" s="24"/>
      <c r="S47" s="24"/>
      <c r="T47" s="24"/>
      <c r="U47" s="24"/>
      <c r="V47" s="24"/>
    </row>
    <row r="48" spans="2:22" x14ac:dyDescent="0.2">
      <c r="B48" s="182" t="s">
        <v>12</v>
      </c>
      <c r="C48" s="182"/>
      <c r="D48" s="182"/>
      <c r="E48" s="183">
        <f>SUM(E46:E47)</f>
        <v>112934.01451489686</v>
      </c>
      <c r="F48" s="183">
        <f>SUM(F46:F47)</f>
        <v>104140.22248243559</v>
      </c>
      <c r="G48" s="183">
        <f>SUM(G46:G47)</f>
        <v>106970.26387306039</v>
      </c>
      <c r="H48" s="183">
        <f>SUM(H46:H47)</f>
        <v>102117.21421057245</v>
      </c>
      <c r="I48" s="183">
        <f>SUM(I46:I47)</f>
        <v>117965.48892284185</v>
      </c>
      <c r="J48" s="206"/>
      <c r="K48" s="212">
        <f t="shared" si="10"/>
        <v>327052.96700647468</v>
      </c>
      <c r="L48" s="24"/>
      <c r="M48" s="24"/>
      <c r="N48" s="24"/>
      <c r="O48" s="24"/>
      <c r="P48" s="24"/>
      <c r="Q48" s="24"/>
      <c r="R48" s="24"/>
      <c r="S48" s="24"/>
      <c r="T48" s="24"/>
      <c r="U48" s="24"/>
      <c r="V48" s="24"/>
    </row>
    <row r="49" spans="2:22" x14ac:dyDescent="0.2">
      <c r="B49" s="182" t="s">
        <v>359</v>
      </c>
      <c r="C49" s="182"/>
      <c r="D49" s="182"/>
      <c r="E49" s="183">
        <f>E45-E48</f>
        <v>55289.343009931254</v>
      </c>
      <c r="F49" s="183">
        <f>F45-F48</f>
        <v>49426.814988290411</v>
      </c>
      <c r="G49" s="183">
        <f>G45-G48</f>
        <v>51313.509248706934</v>
      </c>
      <c r="H49" s="183">
        <f>H45-H48</f>
        <v>48078.142807048309</v>
      </c>
      <c r="I49" s="183">
        <f>I45-I48</f>
        <v>58643.659281894565</v>
      </c>
      <c r="J49" s="206"/>
      <c r="K49" s="212">
        <f t="shared" si="10"/>
        <v>158035.31133764982</v>
      </c>
      <c r="L49" s="24"/>
      <c r="M49" s="24"/>
      <c r="N49" s="24"/>
      <c r="O49" s="24"/>
      <c r="P49" s="24"/>
      <c r="Q49" s="24"/>
      <c r="R49" s="24"/>
      <c r="S49" s="24"/>
      <c r="T49" s="24"/>
      <c r="U49" s="24"/>
      <c r="V49" s="24"/>
    </row>
    <row r="50" spans="2:22" x14ac:dyDescent="0.2">
      <c r="B50" s="182" t="s">
        <v>360</v>
      </c>
      <c r="C50" s="211">
        <v>0.4</v>
      </c>
      <c r="D50" s="182"/>
      <c r="E50" s="209">
        <f>E49*$C$50</f>
        <v>22115.737203972501</v>
      </c>
      <c r="F50" s="209">
        <f t="shared" ref="F50:I50" si="11">F49*$C$50</f>
        <v>19770.725995316167</v>
      </c>
      <c r="G50" s="209">
        <f t="shared" si="11"/>
        <v>20525.403699482777</v>
      </c>
      <c r="H50" s="209">
        <f t="shared" si="11"/>
        <v>19231.257122819323</v>
      </c>
      <c r="I50" s="209">
        <f t="shared" si="11"/>
        <v>23457.463712757828</v>
      </c>
      <c r="J50" s="206"/>
      <c r="K50" s="210">
        <f t="shared" si="10"/>
        <v>63214.124535059935</v>
      </c>
      <c r="L50" s="24"/>
      <c r="M50" s="24"/>
      <c r="N50" s="24"/>
      <c r="O50" s="24"/>
      <c r="P50" s="24"/>
      <c r="Q50" s="24"/>
      <c r="R50" s="24"/>
      <c r="S50" s="24"/>
      <c r="T50" s="24"/>
      <c r="U50" s="24"/>
      <c r="V50" s="24"/>
    </row>
    <row r="51" spans="2:22" ht="17" thickBot="1" x14ac:dyDescent="0.25">
      <c r="B51" s="182" t="s">
        <v>361</v>
      </c>
      <c r="C51" s="182"/>
      <c r="D51" s="182"/>
      <c r="E51" s="213">
        <f>E49-E50</f>
        <v>33173.605805958752</v>
      </c>
      <c r="F51" s="213">
        <f>F49-F50</f>
        <v>29656.088992974244</v>
      </c>
      <c r="G51" s="213">
        <f>G49-G50</f>
        <v>30788.105549224158</v>
      </c>
      <c r="H51" s="213">
        <f>H49-H50</f>
        <v>28846.885684228986</v>
      </c>
      <c r="I51" s="213">
        <f>I49-I50</f>
        <v>35186.195569136733</v>
      </c>
      <c r="J51" s="206"/>
      <c r="K51" s="214">
        <f t="shared" si="10"/>
        <v>94821.186802589873</v>
      </c>
      <c r="L51" s="24"/>
      <c r="M51" s="24"/>
      <c r="N51" s="24"/>
      <c r="O51" s="24"/>
      <c r="P51" s="24"/>
      <c r="Q51" s="24"/>
      <c r="R51" s="24"/>
      <c r="S51" s="24"/>
      <c r="T51" s="24"/>
      <c r="U51" s="24"/>
      <c r="V51" s="24"/>
    </row>
    <row r="52" spans="2:22" ht="17" thickTop="1" x14ac:dyDescent="0.2">
      <c r="B52" s="182"/>
      <c r="C52" s="182"/>
      <c r="D52" s="182"/>
      <c r="E52" s="183"/>
      <c r="F52" s="183"/>
      <c r="G52" s="183"/>
      <c r="H52" s="183"/>
      <c r="I52" s="183"/>
      <c r="J52" s="206"/>
      <c r="K52" s="182"/>
      <c r="L52" s="24"/>
      <c r="M52" s="24"/>
      <c r="N52" s="24"/>
      <c r="O52" s="24"/>
      <c r="P52" s="24"/>
      <c r="Q52" s="24"/>
      <c r="R52" s="24"/>
      <c r="S52" s="24"/>
      <c r="T52" s="24"/>
      <c r="U52" s="24"/>
      <c r="V52" s="24"/>
    </row>
    <row r="53" spans="2:22" x14ac:dyDescent="0.2">
      <c r="B53" s="182"/>
      <c r="C53" s="182"/>
      <c r="D53" s="182"/>
      <c r="E53" s="183"/>
      <c r="F53" s="183"/>
      <c r="G53" s="183"/>
      <c r="H53" s="183"/>
      <c r="I53" s="183"/>
      <c r="J53" s="183"/>
      <c r="K53" s="182"/>
      <c r="L53" s="24"/>
      <c r="M53" s="24"/>
      <c r="N53" s="24"/>
      <c r="O53" s="24"/>
      <c r="P53" s="24"/>
      <c r="Q53" s="24"/>
      <c r="R53" s="24"/>
      <c r="S53" s="24"/>
      <c r="T53" s="24"/>
      <c r="U53" s="24"/>
      <c r="V53" s="24"/>
    </row>
    <row r="54" spans="2:22" x14ac:dyDescent="0.2">
      <c r="B54" s="181" t="s">
        <v>362</v>
      </c>
      <c r="C54" s="182"/>
      <c r="D54" s="182"/>
      <c r="E54" s="183"/>
      <c r="F54" s="183"/>
      <c r="G54" s="183"/>
      <c r="H54" s="183"/>
      <c r="I54" s="183"/>
      <c r="J54" s="183"/>
      <c r="K54" s="182"/>
      <c r="L54" s="24"/>
      <c r="M54" s="24"/>
      <c r="N54" s="24"/>
      <c r="O54" s="24"/>
      <c r="P54" s="24"/>
      <c r="Q54" s="24"/>
      <c r="R54" s="24"/>
      <c r="S54" s="24"/>
      <c r="T54" s="24"/>
      <c r="U54" s="24"/>
      <c r="V54" s="24"/>
    </row>
    <row r="55" spans="2:22" x14ac:dyDescent="0.2">
      <c r="B55" s="182" t="s">
        <v>363</v>
      </c>
      <c r="C55" s="182"/>
      <c r="D55" s="182"/>
      <c r="E55" s="183"/>
      <c r="F55" s="183"/>
      <c r="G55" s="183">
        <f>F67</f>
        <v>123000</v>
      </c>
      <c r="H55" s="183">
        <f>G67</f>
        <v>166840.40319853724</v>
      </c>
      <c r="I55" s="183">
        <f>H67</f>
        <v>215483.83088704932</v>
      </c>
      <c r="J55" s="183"/>
      <c r="K55" s="182"/>
      <c r="L55" s="24"/>
      <c r="M55" s="24"/>
      <c r="N55" s="24"/>
      <c r="O55" s="24"/>
      <c r="P55" s="24"/>
      <c r="Q55" s="24"/>
      <c r="R55" s="24"/>
      <c r="S55" s="24"/>
      <c r="T55" s="24"/>
      <c r="U55" s="24"/>
      <c r="V55" s="24"/>
    </row>
    <row r="56" spans="2:22" x14ac:dyDescent="0.2">
      <c r="B56" s="182" t="s">
        <v>364</v>
      </c>
      <c r="C56" s="182"/>
      <c r="D56" s="182"/>
      <c r="E56" s="183"/>
      <c r="F56" s="183"/>
      <c r="G56" s="183"/>
      <c r="H56" s="183"/>
      <c r="I56" s="183"/>
      <c r="J56" s="183"/>
      <c r="K56" s="182"/>
      <c r="L56" s="24"/>
      <c r="M56" s="24"/>
      <c r="N56" s="24"/>
      <c r="O56" s="24"/>
      <c r="P56" s="24"/>
      <c r="Q56" s="24"/>
      <c r="R56" s="24"/>
      <c r="S56" s="24"/>
      <c r="T56" s="24"/>
      <c r="U56" s="24"/>
      <c r="V56" s="24"/>
    </row>
    <row r="57" spans="2:22" x14ac:dyDescent="0.2">
      <c r="B57" s="182" t="s">
        <v>365</v>
      </c>
      <c r="C57" s="211">
        <v>0.2</v>
      </c>
      <c r="D57" s="182"/>
      <c r="E57" s="183"/>
      <c r="F57" s="183"/>
      <c r="G57" s="183">
        <f>G45*$C$57</f>
        <v>31656.754624353467</v>
      </c>
      <c r="H57" s="183">
        <f t="shared" ref="H57:I57" si="12">H45*$C$57</f>
        <v>30039.071403524154</v>
      </c>
      <c r="I57" s="183">
        <f t="shared" si="12"/>
        <v>35321.829640947282</v>
      </c>
      <c r="J57" s="183"/>
      <c r="K57" s="182"/>
      <c r="L57" s="24"/>
      <c r="M57" s="24"/>
      <c r="N57" s="24"/>
      <c r="O57" s="24"/>
      <c r="P57" s="24"/>
      <c r="Q57" s="24"/>
      <c r="R57" s="24"/>
      <c r="S57" s="24"/>
      <c r="T57" s="24"/>
      <c r="U57" s="24"/>
      <c r="V57" s="24"/>
    </row>
    <row r="58" spans="2:22" x14ac:dyDescent="0.2">
      <c r="B58" s="215" t="s">
        <v>366</v>
      </c>
      <c r="C58" s="211">
        <v>0.6</v>
      </c>
      <c r="D58" s="182"/>
      <c r="E58" s="183"/>
      <c r="F58" s="183"/>
      <c r="G58" s="183">
        <f>G45*$C$58*0.8</f>
        <v>75976.211098448315</v>
      </c>
      <c r="H58" s="183">
        <f t="shared" ref="H58:I58" si="13">H45*$C$58*0.8</f>
        <v>72093.771368457965</v>
      </c>
      <c r="I58" s="183">
        <f t="shared" si="13"/>
        <v>84772.39113827348</v>
      </c>
      <c r="J58" s="183"/>
      <c r="K58" s="182"/>
      <c r="L58" s="24"/>
      <c r="M58" s="24"/>
      <c r="N58" s="24"/>
      <c r="O58" s="24"/>
      <c r="P58" s="24"/>
      <c r="Q58" s="24"/>
      <c r="R58" s="24"/>
      <c r="S58" s="24"/>
      <c r="T58" s="24"/>
      <c r="U58" s="24"/>
      <c r="V58" s="24"/>
    </row>
    <row r="59" spans="2:22" x14ac:dyDescent="0.2">
      <c r="B59" s="215" t="s">
        <v>367</v>
      </c>
      <c r="C59" s="211">
        <v>0.4</v>
      </c>
      <c r="D59" s="182"/>
      <c r="E59" s="183"/>
      <c r="F59" s="183"/>
      <c r="G59" s="209">
        <f>F45*$C$59*0.8</f>
        <v>49141.451990632326</v>
      </c>
      <c r="H59" s="209">
        <f t="shared" ref="H59:I59" si="14">G45*$C$59*0.8</f>
        <v>50650.807398965553</v>
      </c>
      <c r="I59" s="209">
        <f t="shared" si="14"/>
        <v>48062.514245638653</v>
      </c>
      <c r="J59" s="206"/>
      <c r="K59" s="182"/>
      <c r="L59" s="24"/>
      <c r="M59" s="24"/>
      <c r="N59" s="24"/>
      <c r="O59" s="24"/>
      <c r="P59" s="24"/>
      <c r="Q59" s="24"/>
      <c r="R59" s="24"/>
      <c r="S59" s="24"/>
      <c r="T59" s="24"/>
      <c r="U59" s="24"/>
      <c r="V59" s="24"/>
    </row>
    <row r="60" spans="2:22" x14ac:dyDescent="0.2">
      <c r="B60" s="215"/>
      <c r="C60" s="211"/>
      <c r="D60" s="182"/>
      <c r="E60" s="183"/>
      <c r="F60" s="183"/>
      <c r="G60" s="183">
        <f>SUM(G57:G59)</f>
        <v>156774.41771343409</v>
      </c>
      <c r="H60" s="183">
        <f>SUM(H57:H59)</f>
        <v>152783.65017094766</v>
      </c>
      <c r="I60" s="183">
        <f>SUM(I57:I59)</f>
        <v>168156.73502485943</v>
      </c>
      <c r="J60" s="183"/>
      <c r="K60" s="182"/>
      <c r="L60" s="24"/>
      <c r="M60" s="24"/>
      <c r="N60" s="24"/>
      <c r="O60" s="24"/>
      <c r="P60" s="24"/>
      <c r="Q60" s="24"/>
      <c r="R60" s="24"/>
      <c r="S60" s="24"/>
      <c r="T60" s="24"/>
      <c r="U60" s="24"/>
      <c r="V60" s="24"/>
    </row>
    <row r="61" spans="2:22" x14ac:dyDescent="0.2">
      <c r="B61" s="182" t="s">
        <v>368</v>
      </c>
      <c r="C61" s="182"/>
      <c r="D61" s="182"/>
      <c r="E61" s="183"/>
      <c r="F61" s="183"/>
      <c r="G61" s="183"/>
      <c r="H61" s="183"/>
      <c r="I61" s="183"/>
      <c r="J61" s="183"/>
      <c r="K61" s="182"/>
      <c r="L61" s="24"/>
      <c r="M61" s="24"/>
      <c r="N61" s="24"/>
      <c r="O61" s="24"/>
      <c r="P61" s="24"/>
      <c r="Q61" s="24"/>
      <c r="R61" s="24"/>
      <c r="S61" s="24"/>
      <c r="T61" s="24"/>
      <c r="U61" s="24"/>
      <c r="V61" s="24"/>
    </row>
    <row r="62" spans="2:22" x14ac:dyDescent="0.2">
      <c r="B62" s="215" t="s">
        <v>357</v>
      </c>
      <c r="C62" s="211">
        <v>0.6</v>
      </c>
      <c r="D62" s="182"/>
      <c r="E62" s="183"/>
      <c r="F62" s="183"/>
      <c r="G62" s="183">
        <f>E46</f>
        <v>100934.01451489686</v>
      </c>
      <c r="H62" s="183">
        <f>F46</f>
        <v>92140.222482435594</v>
      </c>
      <c r="I62" s="183">
        <f>G46</f>
        <v>94970.263873060394</v>
      </c>
      <c r="J62" s="183"/>
      <c r="K62" s="182"/>
      <c r="L62" s="24"/>
      <c r="M62" s="24"/>
      <c r="N62" s="24"/>
      <c r="O62" s="24"/>
      <c r="P62" s="24"/>
      <c r="Q62" s="24"/>
      <c r="R62" s="24"/>
      <c r="S62" s="24"/>
      <c r="T62" s="24"/>
      <c r="U62" s="24"/>
      <c r="V62" s="24"/>
    </row>
    <row r="63" spans="2:22" x14ac:dyDescent="0.2">
      <c r="B63" s="215" t="s">
        <v>358</v>
      </c>
      <c r="C63" s="182"/>
      <c r="D63" s="182"/>
      <c r="E63" s="183"/>
      <c r="F63" s="183"/>
      <c r="G63" s="183">
        <f>F47</f>
        <v>12000</v>
      </c>
      <c r="H63" s="183">
        <f>G47</f>
        <v>12000</v>
      </c>
      <c r="I63" s="183">
        <f>H47</f>
        <v>12000</v>
      </c>
      <c r="J63" s="183"/>
      <c r="K63" s="182"/>
      <c r="L63" s="24"/>
      <c r="M63" s="24"/>
      <c r="N63" s="24"/>
      <c r="O63" s="24"/>
      <c r="P63" s="24"/>
      <c r="Q63" s="24"/>
      <c r="R63" s="24"/>
      <c r="S63" s="24"/>
      <c r="T63" s="24"/>
      <c r="U63" s="24"/>
      <c r="V63" s="24"/>
    </row>
    <row r="64" spans="2:22" x14ac:dyDescent="0.2">
      <c r="B64" s="215" t="s">
        <v>369</v>
      </c>
      <c r="C64" s="182"/>
      <c r="D64" s="182"/>
      <c r="E64" s="183"/>
      <c r="F64" s="183"/>
      <c r="G64" s="209"/>
      <c r="H64" s="209"/>
      <c r="I64" s="209">
        <v>35000</v>
      </c>
      <c r="J64" s="206"/>
      <c r="K64" s="182"/>
      <c r="L64" s="24"/>
      <c r="M64" s="24"/>
      <c r="N64" s="24"/>
      <c r="O64" s="24"/>
      <c r="P64" s="24"/>
      <c r="Q64" s="24"/>
      <c r="R64" s="24"/>
      <c r="S64" s="24"/>
      <c r="T64" s="24"/>
      <c r="U64" s="24"/>
      <c r="V64" s="24"/>
    </row>
    <row r="65" spans="2:22" ht="17" thickBot="1" x14ac:dyDescent="0.25">
      <c r="B65" s="215"/>
      <c r="C65" s="182"/>
      <c r="D65" s="182"/>
      <c r="E65" s="183"/>
      <c r="F65" s="183"/>
      <c r="G65" s="213">
        <f>SUM(G62:G64)</f>
        <v>112934.01451489686</v>
      </c>
      <c r="H65" s="213">
        <f>SUM(H62:H64)</f>
        <v>104140.22248243559</v>
      </c>
      <c r="I65" s="213">
        <f>SUM(I62:I64)</f>
        <v>141970.26387306041</v>
      </c>
      <c r="J65" s="206"/>
      <c r="K65" s="182"/>
      <c r="L65" s="24"/>
      <c r="M65" s="24"/>
      <c r="N65" s="24"/>
      <c r="O65" s="24"/>
      <c r="P65" s="24"/>
      <c r="Q65" s="24"/>
      <c r="R65" s="24"/>
      <c r="S65" s="24"/>
      <c r="T65" s="24"/>
      <c r="U65" s="24"/>
      <c r="V65" s="24"/>
    </row>
    <row r="66" spans="2:22" ht="17" thickTop="1" x14ac:dyDescent="0.2">
      <c r="B66" s="215"/>
      <c r="C66" s="182"/>
      <c r="D66" s="182"/>
      <c r="E66" s="183"/>
      <c r="F66" s="183"/>
      <c r="G66" s="183"/>
      <c r="H66" s="183"/>
      <c r="I66" s="183"/>
      <c r="J66" s="183"/>
      <c r="K66" s="182"/>
      <c r="L66" s="24"/>
      <c r="M66" s="24"/>
      <c r="N66" s="24"/>
      <c r="O66" s="24"/>
      <c r="P66" s="24"/>
      <c r="Q66" s="24"/>
      <c r="R66" s="24"/>
      <c r="S66" s="24"/>
      <c r="T66" s="24"/>
      <c r="U66" s="24"/>
      <c r="V66" s="24"/>
    </row>
    <row r="67" spans="2:22" x14ac:dyDescent="0.2">
      <c r="B67" s="182" t="s">
        <v>370</v>
      </c>
      <c r="C67" s="182"/>
      <c r="D67" s="182"/>
      <c r="E67" s="183"/>
      <c r="F67" s="183">
        <v>123000</v>
      </c>
      <c r="G67" s="183">
        <f>G55+G60-G65</f>
        <v>166840.40319853724</v>
      </c>
      <c r="H67" s="183">
        <f>H55+H60-H65</f>
        <v>215483.83088704932</v>
      </c>
      <c r="I67" s="183">
        <f>I55+I60-I65</f>
        <v>241670.30203884834</v>
      </c>
      <c r="J67" s="183"/>
      <c r="K67" s="182"/>
      <c r="L67" s="24"/>
      <c r="M67" s="24"/>
      <c r="N67" s="24"/>
      <c r="O67" s="24"/>
      <c r="P67" s="24"/>
      <c r="Q67" s="24"/>
      <c r="R67" s="24"/>
      <c r="S67" s="24"/>
      <c r="T67" s="24"/>
      <c r="U67" s="24"/>
      <c r="V67" s="24"/>
    </row>
  </sheetData>
  <mergeCells count="1">
    <mergeCell ref="F39:I39"/>
  </mergeCells>
  <pageMargins left="0.7" right="0.7" top="0.75" bottom="0.75" header="0.3" footer="0.3"/>
  <ignoredErrors>
    <ignoredError sqref="K47"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2B063-8BA2-F149-9760-58E991D07621}">
  <dimension ref="B2:S56"/>
  <sheetViews>
    <sheetView zoomScaleNormal="100" workbookViewId="0">
      <selection activeCell="L18" sqref="L18"/>
    </sheetView>
  </sheetViews>
  <sheetFormatPr baseColWidth="10" defaultRowHeight="16" x14ac:dyDescent="0.2"/>
  <cols>
    <col min="1" max="1" width="4.5" customWidth="1"/>
    <col min="2" max="3" width="11" bestFit="1" customWidth="1"/>
    <col min="4" max="4" width="4.33203125" customWidth="1"/>
    <col min="5" max="5" width="16.5" customWidth="1"/>
    <col min="6" max="6" width="11.5" bestFit="1" customWidth="1"/>
    <col min="7" max="7" width="4.33203125" customWidth="1"/>
    <col min="8" max="8" width="17.6640625" customWidth="1"/>
    <col min="9" max="9" width="11.5" bestFit="1" customWidth="1"/>
    <col min="10" max="10" width="4" customWidth="1"/>
    <col min="11" max="11" width="15.5" customWidth="1"/>
    <col min="12" max="12" width="11.5" bestFit="1" customWidth="1"/>
  </cols>
  <sheetData>
    <row r="2" spans="2:17" ht="17" thickBot="1" x14ac:dyDescent="0.25">
      <c r="B2" s="24"/>
      <c r="C2" s="24"/>
      <c r="D2" s="24"/>
      <c r="E2" s="24"/>
      <c r="F2" s="24"/>
      <c r="G2" s="24"/>
      <c r="H2" s="25" t="s">
        <v>35</v>
      </c>
      <c r="I2" s="25">
        <v>0.2</v>
      </c>
      <c r="J2" s="24"/>
      <c r="K2" s="24"/>
      <c r="L2" s="24"/>
    </row>
    <row r="3" spans="2:17" ht="34" customHeight="1" x14ac:dyDescent="0.2">
      <c r="B3" s="59" t="s">
        <v>29</v>
      </c>
      <c r="C3" s="59" t="s">
        <v>30</v>
      </c>
      <c r="D3" s="24"/>
      <c r="E3" s="122" t="s">
        <v>31</v>
      </c>
      <c r="F3" s="37" t="s">
        <v>33</v>
      </c>
      <c r="G3" s="24"/>
      <c r="H3" s="122" t="s">
        <v>34</v>
      </c>
      <c r="I3" s="37" t="s">
        <v>33</v>
      </c>
      <c r="J3" s="24"/>
      <c r="K3" s="50" t="s">
        <v>40</v>
      </c>
      <c r="L3" s="37" t="s">
        <v>33</v>
      </c>
      <c r="N3" s="246" t="s">
        <v>41</v>
      </c>
      <c r="O3" s="247"/>
      <c r="P3" s="247"/>
      <c r="Q3" s="248"/>
    </row>
    <row r="4" spans="2:17" x14ac:dyDescent="0.2">
      <c r="B4" s="60">
        <v>1</v>
      </c>
      <c r="C4" s="60">
        <v>524</v>
      </c>
      <c r="D4" s="24"/>
      <c r="E4" s="60" t="s">
        <v>32</v>
      </c>
      <c r="F4" s="60" t="s">
        <v>32</v>
      </c>
      <c r="G4" s="24"/>
      <c r="H4" s="60">
        <v>500</v>
      </c>
      <c r="I4" s="60" t="s">
        <v>32</v>
      </c>
      <c r="J4" s="24"/>
      <c r="K4" s="61">
        <f>L45</f>
        <v>453.69230769230774</v>
      </c>
      <c r="L4" s="129">
        <f>POWER(C4-K4,2)</f>
        <v>4943.1715976331297</v>
      </c>
      <c r="N4" s="249"/>
      <c r="O4" s="250"/>
      <c r="P4" s="250"/>
      <c r="Q4" s="251"/>
    </row>
    <row r="5" spans="2:17" x14ac:dyDescent="0.2">
      <c r="B5" s="60">
        <f>B4+1</f>
        <v>2</v>
      </c>
      <c r="C5" s="60">
        <v>380</v>
      </c>
      <c r="D5" s="24"/>
      <c r="E5" s="60" t="s">
        <v>32</v>
      </c>
      <c r="F5" s="60" t="s">
        <v>32</v>
      </c>
      <c r="G5" s="24"/>
      <c r="H5" s="61">
        <f>($I$2*C4)+((1-$I$2)*H4)</f>
        <v>504.8</v>
      </c>
      <c r="I5" s="129">
        <f>POWER(C5-H5,2)</f>
        <v>15575.040000000003</v>
      </c>
      <c r="J5" s="24"/>
      <c r="K5" s="61">
        <f t="shared" ref="K5:K15" si="0">L46</f>
        <v>446.43006993006998</v>
      </c>
      <c r="L5" s="129">
        <f>POWER(C5-K5,2)</f>
        <v>4412.9541909139871</v>
      </c>
      <c r="N5" s="249"/>
      <c r="O5" s="250"/>
      <c r="P5" s="250"/>
      <c r="Q5" s="251"/>
    </row>
    <row r="6" spans="2:17" x14ac:dyDescent="0.2">
      <c r="B6" s="60">
        <f t="shared" ref="B6:B15" si="1">B5+1</f>
        <v>3</v>
      </c>
      <c r="C6" s="60">
        <v>250</v>
      </c>
      <c r="D6" s="24"/>
      <c r="E6" s="60" t="s">
        <v>32</v>
      </c>
      <c r="F6" s="60" t="s">
        <v>32</v>
      </c>
      <c r="G6" s="24"/>
      <c r="H6" s="61">
        <f t="shared" ref="H6:H7" si="2">($I$2*C5)+((1-$I$2)*H5)</f>
        <v>479.84000000000003</v>
      </c>
      <c r="I6" s="129">
        <f>POWER(C6-H6,2)</f>
        <v>52826.425600000017</v>
      </c>
      <c r="J6" s="24"/>
      <c r="K6" s="61">
        <f t="shared" si="0"/>
        <v>439.16783216783222</v>
      </c>
      <c r="L6" s="129">
        <f>POWER(C6-K6,2)</f>
        <v>35784.468727077139</v>
      </c>
      <c r="N6" s="249"/>
      <c r="O6" s="250"/>
      <c r="P6" s="250"/>
      <c r="Q6" s="251"/>
    </row>
    <row r="7" spans="2:17" x14ac:dyDescent="0.2">
      <c r="B7" s="60">
        <f t="shared" si="1"/>
        <v>4</v>
      </c>
      <c r="C7" s="60">
        <v>432</v>
      </c>
      <c r="D7" s="24"/>
      <c r="E7" s="61">
        <f>(C6+C5+C4)/3</f>
        <v>384.66666666666669</v>
      </c>
      <c r="F7" s="129">
        <f>POWER(C7-E7,2)</f>
        <v>2240.4444444444425</v>
      </c>
      <c r="G7" s="24"/>
      <c r="H7" s="61">
        <f t="shared" si="2"/>
        <v>433.87200000000007</v>
      </c>
      <c r="I7" s="129">
        <f>POWER(C7-H7,2)</f>
        <v>3.5043840000002655</v>
      </c>
      <c r="J7" s="24"/>
      <c r="K7" s="61">
        <f t="shared" si="0"/>
        <v>431.90559440559446</v>
      </c>
      <c r="L7" s="129">
        <f>POWER(C7-K7,2)</f>
        <v>8.9124162550639902E-3</v>
      </c>
      <c r="N7" s="249"/>
      <c r="O7" s="250"/>
      <c r="P7" s="250"/>
      <c r="Q7" s="251"/>
    </row>
    <row r="8" spans="2:17" x14ac:dyDescent="0.2">
      <c r="B8" s="60">
        <f t="shared" si="1"/>
        <v>5</v>
      </c>
      <c r="C8" s="60">
        <v>526</v>
      </c>
      <c r="D8" s="24"/>
      <c r="E8" s="61">
        <f t="shared" ref="E8:E16" si="3">(C7+C6+C5)/3</f>
        <v>354</v>
      </c>
      <c r="F8" s="129">
        <f t="shared" ref="F8:F15" si="4">POWER(C8-E8,2)</f>
        <v>29584</v>
      </c>
      <c r="G8" s="24"/>
      <c r="H8" s="61">
        <f>($I$2*C7)+((1-$I$2)*H7)</f>
        <v>433.49760000000003</v>
      </c>
      <c r="I8" s="129">
        <f t="shared" ref="I8:I15" si="5">POWER(C8-H8,2)</f>
        <v>8556.6940057599932</v>
      </c>
      <c r="J8" s="24"/>
      <c r="K8" s="61">
        <f t="shared" si="0"/>
        <v>424.6433566433567</v>
      </c>
      <c r="L8" s="129">
        <f t="shared" ref="L8:L15" si="6">POWER(C8-K8,2)</f>
        <v>10273.169152525785</v>
      </c>
      <c r="N8" s="249"/>
      <c r="O8" s="250"/>
      <c r="P8" s="250"/>
      <c r="Q8" s="251"/>
    </row>
    <row r="9" spans="2:17" x14ac:dyDescent="0.2">
      <c r="B9" s="60">
        <f t="shared" si="1"/>
        <v>6</v>
      </c>
      <c r="C9" s="60">
        <v>322</v>
      </c>
      <c r="D9" s="24"/>
      <c r="E9" s="61">
        <f t="shared" si="3"/>
        <v>402.66666666666669</v>
      </c>
      <c r="F9" s="129">
        <f t="shared" si="4"/>
        <v>6507.111111111114</v>
      </c>
      <c r="G9" s="24"/>
      <c r="H9" s="61">
        <f t="shared" ref="H9:H16" si="7">($I$2*C8)+((1-$I$2)*H8)</f>
        <v>451.99808000000002</v>
      </c>
      <c r="I9" s="129">
        <f t="shared" si="5"/>
        <v>16899.500803686406</v>
      </c>
      <c r="J9" s="24"/>
      <c r="K9" s="61">
        <f t="shared" si="0"/>
        <v>417.38111888111894</v>
      </c>
      <c r="L9" s="129">
        <f t="shared" si="6"/>
        <v>9097.5578390141436</v>
      </c>
      <c r="N9" s="249"/>
      <c r="O9" s="250"/>
      <c r="P9" s="250"/>
      <c r="Q9" s="251"/>
    </row>
    <row r="10" spans="2:17" x14ac:dyDescent="0.2">
      <c r="B10" s="60">
        <f t="shared" si="1"/>
        <v>7</v>
      </c>
      <c r="C10" s="60">
        <v>836</v>
      </c>
      <c r="D10" s="24"/>
      <c r="E10" s="61">
        <f t="shared" si="3"/>
        <v>426.66666666666669</v>
      </c>
      <c r="F10" s="129">
        <f t="shared" si="4"/>
        <v>167553.77777777775</v>
      </c>
      <c r="G10" s="24"/>
      <c r="H10" s="61">
        <f t="shared" si="7"/>
        <v>425.99846400000001</v>
      </c>
      <c r="I10" s="129">
        <f t="shared" si="5"/>
        <v>168101.25952235929</v>
      </c>
      <c r="J10" s="24"/>
      <c r="K10" s="61">
        <f t="shared" si="0"/>
        <v>410.11888111888112</v>
      </c>
      <c r="L10" s="129">
        <f t="shared" si="6"/>
        <v>181374.72741943371</v>
      </c>
      <c r="N10" s="249"/>
      <c r="O10" s="250"/>
      <c r="P10" s="250"/>
      <c r="Q10" s="251"/>
    </row>
    <row r="11" spans="2:17" x14ac:dyDescent="0.2">
      <c r="B11" s="60">
        <f t="shared" si="1"/>
        <v>8</v>
      </c>
      <c r="C11" s="60">
        <v>277</v>
      </c>
      <c r="D11" s="24"/>
      <c r="E11" s="61">
        <f t="shared" si="3"/>
        <v>561.33333333333337</v>
      </c>
      <c r="F11" s="129">
        <f t="shared" si="4"/>
        <v>80845.444444444467</v>
      </c>
      <c r="G11" s="24"/>
      <c r="H11" s="61">
        <f t="shared" si="7"/>
        <v>507.99877120000008</v>
      </c>
      <c r="I11" s="129">
        <f t="shared" si="5"/>
        <v>53360.432295909988</v>
      </c>
      <c r="J11" s="24"/>
      <c r="K11" s="61">
        <f t="shared" si="0"/>
        <v>402.85664335664336</v>
      </c>
      <c r="L11" s="129">
        <f t="shared" si="6"/>
        <v>15839.894677001321</v>
      </c>
      <c r="N11" s="249"/>
      <c r="O11" s="250"/>
      <c r="P11" s="250"/>
      <c r="Q11" s="251"/>
    </row>
    <row r="12" spans="2:17" x14ac:dyDescent="0.2">
      <c r="B12" s="60">
        <f t="shared" si="1"/>
        <v>9</v>
      </c>
      <c r="C12" s="60">
        <v>154</v>
      </c>
      <c r="D12" s="24"/>
      <c r="E12" s="61">
        <f t="shared" si="3"/>
        <v>478.33333333333331</v>
      </c>
      <c r="F12" s="129">
        <f t="shared" si="4"/>
        <v>105192.11111111109</v>
      </c>
      <c r="G12" s="24"/>
      <c r="H12" s="61">
        <f t="shared" si="7"/>
        <v>461.79901696000013</v>
      </c>
      <c r="I12" s="129">
        <f t="shared" si="5"/>
        <v>94740.234841542449</v>
      </c>
      <c r="J12" s="24"/>
      <c r="K12" s="61">
        <f t="shared" si="0"/>
        <v>395.5944055944056</v>
      </c>
      <c r="L12" s="129">
        <f t="shared" si="6"/>
        <v>58367.856814514162</v>
      </c>
      <c r="N12" s="249"/>
      <c r="O12" s="250"/>
      <c r="P12" s="250"/>
      <c r="Q12" s="251"/>
    </row>
    <row r="13" spans="2:17" x14ac:dyDescent="0.2">
      <c r="B13" s="60">
        <f t="shared" si="1"/>
        <v>10</v>
      </c>
      <c r="C13" s="60">
        <v>644</v>
      </c>
      <c r="D13" s="24"/>
      <c r="E13" s="61">
        <f t="shared" si="3"/>
        <v>422.33333333333331</v>
      </c>
      <c r="F13" s="129">
        <f t="shared" si="4"/>
        <v>49136.111111111117</v>
      </c>
      <c r="G13" s="24"/>
      <c r="H13" s="61">
        <f t="shared" si="7"/>
        <v>400.23921356800014</v>
      </c>
      <c r="I13" s="129">
        <f t="shared" si="5"/>
        <v>59419.32100194705</v>
      </c>
      <c r="J13" s="24"/>
      <c r="K13" s="61">
        <f t="shared" si="0"/>
        <v>388.33216783216784</v>
      </c>
      <c r="L13" s="129">
        <f t="shared" si="6"/>
        <v>65366.040405398795</v>
      </c>
      <c r="N13" s="249"/>
      <c r="O13" s="250"/>
      <c r="P13" s="250"/>
      <c r="Q13" s="251"/>
    </row>
    <row r="14" spans="2:17" x14ac:dyDescent="0.2">
      <c r="B14" s="60">
        <f t="shared" si="1"/>
        <v>11</v>
      </c>
      <c r="C14" s="60">
        <v>424</v>
      </c>
      <c r="D14" s="24"/>
      <c r="E14" s="61">
        <f t="shared" si="3"/>
        <v>358.33333333333331</v>
      </c>
      <c r="F14" s="129">
        <f t="shared" si="4"/>
        <v>4312.111111111114</v>
      </c>
      <c r="G14" s="24"/>
      <c r="H14" s="61">
        <f t="shared" si="7"/>
        <v>448.99137085440015</v>
      </c>
      <c r="I14" s="129">
        <f t="shared" si="5"/>
        <v>624.56861718216101</v>
      </c>
      <c r="J14" s="24"/>
      <c r="K14" s="61">
        <f t="shared" si="0"/>
        <v>381.06993006993008</v>
      </c>
      <c r="L14" s="129">
        <f t="shared" si="6"/>
        <v>1842.9909042006934</v>
      </c>
      <c r="N14" s="249"/>
      <c r="O14" s="250"/>
      <c r="P14" s="250"/>
      <c r="Q14" s="251"/>
    </row>
    <row r="15" spans="2:17" ht="17" thickBot="1" x14ac:dyDescent="0.25">
      <c r="B15" s="60">
        <f t="shared" si="1"/>
        <v>12</v>
      </c>
      <c r="C15" s="60">
        <v>196</v>
      </c>
      <c r="D15" s="24"/>
      <c r="E15" s="61">
        <f t="shared" si="3"/>
        <v>407.33333333333331</v>
      </c>
      <c r="F15" s="129">
        <f t="shared" si="4"/>
        <v>44661.777777777766</v>
      </c>
      <c r="G15" s="24"/>
      <c r="H15" s="61">
        <f t="shared" si="7"/>
        <v>443.99309668352015</v>
      </c>
      <c r="I15" s="129">
        <f t="shared" si="5"/>
        <v>61500.576002681773</v>
      </c>
      <c r="J15" s="24"/>
      <c r="K15" s="61">
        <f t="shared" si="0"/>
        <v>373.80769230769232</v>
      </c>
      <c r="L15" s="129">
        <f t="shared" si="6"/>
        <v>31615.575443786987</v>
      </c>
      <c r="N15" s="252"/>
      <c r="O15" s="253"/>
      <c r="P15" s="253"/>
      <c r="Q15" s="254"/>
    </row>
    <row r="16" spans="2:17" x14ac:dyDescent="0.2">
      <c r="B16" s="59">
        <v>13</v>
      </c>
      <c r="C16" s="25"/>
      <c r="D16" s="24"/>
      <c r="E16" s="63">
        <f t="shared" si="3"/>
        <v>421.33333333333331</v>
      </c>
      <c r="F16" s="24"/>
      <c r="G16" s="24"/>
      <c r="H16" s="63">
        <f t="shared" si="7"/>
        <v>394.39447734681613</v>
      </c>
      <c r="I16" s="24"/>
      <c r="J16" s="24"/>
      <c r="K16" s="59" t="s">
        <v>42</v>
      </c>
      <c r="L16" s="24"/>
    </row>
    <row r="17" spans="2:16" x14ac:dyDescent="0.2">
      <c r="B17" s="24"/>
      <c r="C17" s="24"/>
      <c r="D17" s="24"/>
      <c r="E17" s="24"/>
      <c r="F17" s="24"/>
      <c r="G17" s="24"/>
      <c r="H17" s="24"/>
      <c r="I17" s="24"/>
      <c r="J17" s="24"/>
      <c r="K17" s="24"/>
      <c r="L17" s="24"/>
    </row>
    <row r="18" spans="2:16" x14ac:dyDescent="0.2">
      <c r="B18" s="24"/>
      <c r="C18" s="24"/>
      <c r="D18" s="24"/>
      <c r="E18" s="130" t="s">
        <v>33</v>
      </c>
      <c r="F18" s="131">
        <f>AVERAGE(F7:F15)</f>
        <v>54448.0987654321</v>
      </c>
      <c r="G18" s="24"/>
      <c r="H18" s="26"/>
      <c r="I18" s="131">
        <f>AVERAGE(I7:I15)</f>
        <v>51467.343497229893</v>
      </c>
      <c r="J18" s="24"/>
      <c r="K18" s="24"/>
      <c r="L18" s="131">
        <f>AVERAGE(L7:L15)</f>
        <v>41530.869063143538</v>
      </c>
    </row>
    <row r="21" spans="2:16" x14ac:dyDescent="0.2">
      <c r="K21" t="s">
        <v>2</v>
      </c>
    </row>
    <row r="22" spans="2:16" ht="17" thickBot="1" x14ac:dyDescent="0.25"/>
    <row r="23" spans="2:16" x14ac:dyDescent="0.2">
      <c r="K23" s="5" t="s">
        <v>3</v>
      </c>
      <c r="L23" s="5"/>
    </row>
    <row r="24" spans="2:16" x14ac:dyDescent="0.2">
      <c r="K24" s="6" t="s">
        <v>4</v>
      </c>
      <c r="L24" s="17">
        <v>0.13298394233608082</v>
      </c>
    </row>
    <row r="25" spans="2:16" x14ac:dyDescent="0.2">
      <c r="K25" s="6" t="s">
        <v>5</v>
      </c>
      <c r="L25" s="17">
        <v>1.7684728919246072E-2</v>
      </c>
    </row>
    <row r="26" spans="2:16" x14ac:dyDescent="0.2">
      <c r="K26" t="s">
        <v>6</v>
      </c>
      <c r="L26">
        <v>-8.0546798188829316E-2</v>
      </c>
    </row>
    <row r="27" spans="2:16" x14ac:dyDescent="0.2">
      <c r="K27" t="s">
        <v>7</v>
      </c>
      <c r="L27">
        <v>204.67496575886267</v>
      </c>
    </row>
    <row r="28" spans="2:16" ht="17" thickBot="1" x14ac:dyDescent="0.25">
      <c r="K28" s="3" t="s">
        <v>8</v>
      </c>
      <c r="L28" s="3">
        <v>12</v>
      </c>
    </row>
    <row r="30" spans="2:16" ht="17" thickBot="1" x14ac:dyDescent="0.25">
      <c r="K30" t="s">
        <v>9</v>
      </c>
    </row>
    <row r="31" spans="2:16" x14ac:dyDescent="0.2">
      <c r="K31" s="4"/>
      <c r="L31" s="4" t="s">
        <v>14</v>
      </c>
      <c r="M31" s="4" t="s">
        <v>15</v>
      </c>
      <c r="N31" s="4" t="s">
        <v>16</v>
      </c>
      <c r="O31" s="4" t="s">
        <v>17</v>
      </c>
      <c r="P31" s="4" t="s">
        <v>18</v>
      </c>
    </row>
    <row r="32" spans="2:16" x14ac:dyDescent="0.2">
      <c r="K32" t="s">
        <v>10</v>
      </c>
      <c r="L32">
        <v>1</v>
      </c>
      <c r="M32">
        <v>7541.8339160839096</v>
      </c>
      <c r="N32">
        <v>7541.8339160839096</v>
      </c>
      <c r="O32">
        <v>0.18003109022003844</v>
      </c>
      <c r="P32">
        <v>0.6803298321350022</v>
      </c>
    </row>
    <row r="33" spans="11:19" x14ac:dyDescent="0.2">
      <c r="K33" t="s">
        <v>11</v>
      </c>
      <c r="L33">
        <v>10</v>
      </c>
      <c r="M33">
        <v>418918.41608391609</v>
      </c>
      <c r="N33">
        <v>41891.841608391609</v>
      </c>
    </row>
    <row r="34" spans="11:19" ht="17" thickBot="1" x14ac:dyDescent="0.25">
      <c r="K34" s="3" t="s">
        <v>12</v>
      </c>
      <c r="L34" s="3">
        <v>11</v>
      </c>
      <c r="M34" s="3">
        <v>426460.25</v>
      </c>
      <c r="N34" s="3"/>
      <c r="O34" s="3"/>
      <c r="P34" s="3"/>
    </row>
    <row r="35" spans="11:19" ht="17" thickBot="1" x14ac:dyDescent="0.25"/>
    <row r="36" spans="11:19" x14ac:dyDescent="0.2">
      <c r="K36" s="4"/>
      <c r="L36" s="4" t="s">
        <v>19</v>
      </c>
      <c r="M36" s="4" t="s">
        <v>7</v>
      </c>
      <c r="N36" s="4" t="s">
        <v>20</v>
      </c>
      <c r="O36" s="4" t="s">
        <v>21</v>
      </c>
      <c r="P36" s="4" t="s">
        <v>22</v>
      </c>
      <c r="Q36" s="4" t="s">
        <v>23</v>
      </c>
      <c r="R36" s="4" t="s">
        <v>24</v>
      </c>
      <c r="S36" s="4" t="s">
        <v>25</v>
      </c>
    </row>
    <row r="37" spans="11:19" x14ac:dyDescent="0.2">
      <c r="K37" t="s">
        <v>13</v>
      </c>
      <c r="L37">
        <v>460.9545454545455</v>
      </c>
      <c r="M37">
        <v>125.96873350701142</v>
      </c>
      <c r="N37">
        <v>3.6592774462473163</v>
      </c>
      <c r="O37">
        <v>4.3943329761340442E-3</v>
      </c>
      <c r="P37">
        <v>180.27871619206815</v>
      </c>
      <c r="Q37">
        <v>741.63037471702285</v>
      </c>
      <c r="R37">
        <v>180.27871619206815</v>
      </c>
      <c r="S37">
        <v>741.63037471702285</v>
      </c>
    </row>
    <row r="38" spans="11:19" ht="17" thickBot="1" x14ac:dyDescent="0.25">
      <c r="K38" s="3" t="s">
        <v>29</v>
      </c>
      <c r="L38" s="3">
        <v>-7.2622377622377643</v>
      </c>
      <c r="M38" s="3">
        <v>17.115780476432381</v>
      </c>
      <c r="N38" s="3">
        <v>-0.42430070730560737</v>
      </c>
      <c r="O38" s="3">
        <v>0.68032983213500187</v>
      </c>
      <c r="P38" s="3">
        <v>-45.398573223844899</v>
      </c>
      <c r="Q38" s="3">
        <v>30.874097699369369</v>
      </c>
      <c r="R38" s="3">
        <v>-45.398573223844899</v>
      </c>
      <c r="S38" s="3">
        <v>30.874097699369369</v>
      </c>
    </row>
    <row r="42" spans="11:19" x14ac:dyDescent="0.2">
      <c r="K42" t="s">
        <v>36</v>
      </c>
    </row>
    <row r="43" spans="11:19" ht="17" thickBot="1" x14ac:dyDescent="0.25"/>
    <row r="44" spans="11:19" x14ac:dyDescent="0.2">
      <c r="K44" s="4" t="s">
        <v>37</v>
      </c>
      <c r="L44" s="4" t="s">
        <v>38</v>
      </c>
      <c r="M44" s="4" t="s">
        <v>39</v>
      </c>
    </row>
    <row r="45" spans="11:19" x14ac:dyDescent="0.2">
      <c r="K45">
        <v>1</v>
      </c>
      <c r="L45">
        <v>453.69230769230774</v>
      </c>
      <c r="M45">
        <v>70.307692307692264</v>
      </c>
    </row>
    <row r="46" spans="11:19" x14ac:dyDescent="0.2">
      <c r="K46">
        <v>2</v>
      </c>
      <c r="L46">
        <v>446.43006993006998</v>
      </c>
      <c r="M46">
        <v>-66.430069930069976</v>
      </c>
    </row>
    <row r="47" spans="11:19" x14ac:dyDescent="0.2">
      <c r="K47">
        <v>3</v>
      </c>
      <c r="L47">
        <v>439.16783216783222</v>
      </c>
      <c r="M47">
        <v>-189.16783216783222</v>
      </c>
    </row>
    <row r="48" spans="11:19" x14ac:dyDescent="0.2">
      <c r="K48">
        <v>4</v>
      </c>
      <c r="L48">
        <v>431.90559440559446</v>
      </c>
      <c r="M48">
        <v>9.4405594405543525E-2</v>
      </c>
    </row>
    <row r="49" spans="11:13" x14ac:dyDescent="0.2">
      <c r="K49">
        <v>5</v>
      </c>
      <c r="L49">
        <v>424.6433566433567</v>
      </c>
      <c r="M49">
        <v>101.3566433566433</v>
      </c>
    </row>
    <row r="50" spans="11:13" x14ac:dyDescent="0.2">
      <c r="K50">
        <v>6</v>
      </c>
      <c r="L50">
        <v>417.38111888111894</v>
      </c>
      <c r="M50">
        <v>-95.381118881118937</v>
      </c>
    </row>
    <row r="51" spans="11:13" x14ac:dyDescent="0.2">
      <c r="K51">
        <v>7</v>
      </c>
      <c r="L51">
        <v>410.11888111888112</v>
      </c>
      <c r="M51">
        <v>425.88111888111888</v>
      </c>
    </row>
    <row r="52" spans="11:13" x14ac:dyDescent="0.2">
      <c r="K52">
        <v>8</v>
      </c>
      <c r="L52">
        <v>402.85664335664336</v>
      </c>
      <c r="M52">
        <v>-125.85664335664336</v>
      </c>
    </row>
    <row r="53" spans="11:13" x14ac:dyDescent="0.2">
      <c r="K53">
        <v>9</v>
      </c>
      <c r="L53">
        <v>395.5944055944056</v>
      </c>
      <c r="M53">
        <v>-241.5944055944056</v>
      </c>
    </row>
    <row r="54" spans="11:13" x14ac:dyDescent="0.2">
      <c r="K54">
        <v>10</v>
      </c>
      <c r="L54">
        <v>388.33216783216784</v>
      </c>
      <c r="M54">
        <v>255.66783216783216</v>
      </c>
    </row>
    <row r="55" spans="11:13" x14ac:dyDescent="0.2">
      <c r="K55">
        <v>11</v>
      </c>
      <c r="L55">
        <v>381.06993006993008</v>
      </c>
      <c r="M55">
        <v>42.930069930069919</v>
      </c>
    </row>
    <row r="56" spans="11:13" ht="17" thickBot="1" x14ac:dyDescent="0.25">
      <c r="K56" s="3">
        <v>12</v>
      </c>
      <c r="L56" s="3">
        <v>373.80769230769232</v>
      </c>
      <c r="M56" s="3">
        <v>-177.80769230769232</v>
      </c>
    </row>
  </sheetData>
  <mergeCells count="1">
    <mergeCell ref="N3:Q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25BCB-D5C4-234E-A91F-B01435B6269A}">
  <dimension ref="B2:Y104"/>
  <sheetViews>
    <sheetView workbookViewId="0">
      <selection activeCell="I3" sqref="I3"/>
    </sheetView>
  </sheetViews>
  <sheetFormatPr baseColWidth="10" defaultRowHeight="16" x14ac:dyDescent="0.2"/>
  <cols>
    <col min="3" max="3" width="15.83203125" customWidth="1"/>
    <col min="4" max="4" width="7.6640625" customWidth="1"/>
    <col min="5" max="5" width="13.33203125" bestFit="1" customWidth="1"/>
    <col min="9" max="9" width="11.6640625" bestFit="1" customWidth="1"/>
    <col min="11" max="11" width="4.83203125" customWidth="1"/>
    <col min="12" max="13" width="10.83203125" style="24"/>
    <col min="14" max="14" width="11.6640625" style="24" bestFit="1" customWidth="1"/>
    <col min="15" max="15" width="10.83203125" style="24"/>
    <col min="16" max="16" width="5.33203125" style="24" customWidth="1"/>
    <col min="17" max="25" width="10.83203125" style="24"/>
    <col min="2000" max="2000" width="2.5" customWidth="1"/>
  </cols>
  <sheetData>
    <row r="2" spans="2:23" x14ac:dyDescent="0.2">
      <c r="B2" s="255" t="s">
        <v>67</v>
      </c>
      <c r="C2" s="255"/>
      <c r="D2" s="255"/>
      <c r="E2" s="255"/>
      <c r="F2" s="255"/>
      <c r="G2" s="255"/>
      <c r="H2" s="255"/>
      <c r="Q2" s="26" t="s">
        <v>82</v>
      </c>
      <c r="S2" s="39" t="s">
        <v>84</v>
      </c>
      <c r="T2" s="39">
        <v>6</v>
      </c>
    </row>
    <row r="3" spans="2:23" x14ac:dyDescent="0.2">
      <c r="B3" s="255"/>
      <c r="C3" s="255"/>
      <c r="D3" s="255"/>
      <c r="E3" s="255"/>
      <c r="F3" s="255"/>
      <c r="G3" s="255"/>
      <c r="H3" s="255"/>
      <c r="P3" s="39" t="s">
        <v>85</v>
      </c>
      <c r="Q3" s="38" t="s">
        <v>79</v>
      </c>
      <c r="R3" s="38" t="s">
        <v>80</v>
      </c>
      <c r="S3" s="38" t="s">
        <v>83</v>
      </c>
      <c r="T3" s="38" t="s">
        <v>27</v>
      </c>
      <c r="U3" s="38" t="s">
        <v>81</v>
      </c>
    </row>
    <row r="4" spans="2:23" ht="17" x14ac:dyDescent="0.2">
      <c r="B4" s="255"/>
      <c r="C4" s="255"/>
      <c r="D4" s="255"/>
      <c r="E4" s="255"/>
      <c r="F4" s="255"/>
      <c r="G4" s="255"/>
      <c r="H4" s="255"/>
      <c r="P4" s="39">
        <v>-5</v>
      </c>
      <c r="S4" s="41">
        <v>1</v>
      </c>
      <c r="V4" s="18" t="s">
        <v>87</v>
      </c>
    </row>
    <row r="5" spans="2:23" ht="17" x14ac:dyDescent="0.2">
      <c r="B5" s="16" t="s">
        <v>68</v>
      </c>
      <c r="C5" s="16">
        <v>0.3</v>
      </c>
      <c r="D5" s="16"/>
      <c r="E5" s="16"/>
      <c r="F5" s="16"/>
      <c r="G5" s="16"/>
      <c r="H5" s="16"/>
      <c r="P5" s="39">
        <v>-4</v>
      </c>
      <c r="S5" s="41">
        <v>1</v>
      </c>
      <c r="V5" s="18" t="s">
        <v>88</v>
      </c>
    </row>
    <row r="6" spans="2:23" ht="17" x14ac:dyDescent="0.2">
      <c r="B6" s="16" t="s">
        <v>69</v>
      </c>
      <c r="C6" s="16">
        <v>0.4</v>
      </c>
      <c r="D6" s="16"/>
      <c r="E6" s="16"/>
      <c r="F6" s="16"/>
      <c r="G6" s="16"/>
      <c r="H6" s="16"/>
      <c r="P6" s="39">
        <v>-3</v>
      </c>
      <c r="S6" s="41">
        <v>1</v>
      </c>
      <c r="V6" s="18" t="s">
        <v>89</v>
      </c>
    </row>
    <row r="7" spans="2:23" ht="17" x14ac:dyDescent="0.2">
      <c r="B7" s="16" t="s">
        <v>70</v>
      </c>
      <c r="C7" s="16">
        <v>0.5</v>
      </c>
      <c r="D7" s="16"/>
      <c r="E7" s="16"/>
      <c r="F7" s="16"/>
      <c r="G7" s="16"/>
      <c r="H7" s="16"/>
      <c r="P7" s="39">
        <v>-2</v>
      </c>
      <c r="S7" s="41">
        <v>1</v>
      </c>
      <c r="V7" s="18" t="s">
        <v>90</v>
      </c>
    </row>
    <row r="8" spans="2:23" ht="17" x14ac:dyDescent="0.2">
      <c r="E8" s="6" t="s">
        <v>71</v>
      </c>
      <c r="G8" s="8" t="s">
        <v>77</v>
      </c>
      <c r="H8" s="8">
        <v>3</v>
      </c>
      <c r="L8" s="26" t="s">
        <v>78</v>
      </c>
      <c r="P8" s="39">
        <v>-1</v>
      </c>
      <c r="S8" s="41">
        <v>1</v>
      </c>
      <c r="V8" s="18" t="s">
        <v>91</v>
      </c>
    </row>
    <row r="9" spans="2:23" ht="17" x14ac:dyDescent="0.2">
      <c r="B9" s="19" t="s">
        <v>43</v>
      </c>
      <c r="C9" s="19" t="s">
        <v>44</v>
      </c>
      <c r="D9" s="19" t="s">
        <v>85</v>
      </c>
      <c r="E9" s="35" t="s">
        <v>72</v>
      </c>
      <c r="F9" s="36" t="s">
        <v>73</v>
      </c>
      <c r="G9" s="37" t="s">
        <v>75</v>
      </c>
      <c r="H9" s="37" t="s">
        <v>76</v>
      </c>
      <c r="I9" s="37" t="s">
        <v>27</v>
      </c>
      <c r="J9" s="37" t="s">
        <v>81</v>
      </c>
      <c r="K9" s="19" t="s">
        <v>85</v>
      </c>
      <c r="L9" s="37" t="s">
        <v>79</v>
      </c>
      <c r="M9" s="37" t="s">
        <v>80</v>
      </c>
      <c r="N9" s="37" t="s">
        <v>27</v>
      </c>
      <c r="O9" s="37" t="s">
        <v>81</v>
      </c>
      <c r="P9" s="19">
        <v>0</v>
      </c>
      <c r="S9" s="41">
        <v>1</v>
      </c>
      <c r="V9" s="18" t="s">
        <v>86</v>
      </c>
      <c r="W9" s="25"/>
    </row>
    <row r="10" spans="2:23" ht="17" x14ac:dyDescent="0.2">
      <c r="B10" s="18" t="s">
        <v>47</v>
      </c>
      <c r="C10" s="20">
        <v>550</v>
      </c>
      <c r="D10" s="40">
        <v>1</v>
      </c>
      <c r="E10" s="27" t="s">
        <v>32</v>
      </c>
      <c r="F10" s="28" t="s">
        <v>32</v>
      </c>
      <c r="G10" s="28" t="s">
        <v>32</v>
      </c>
      <c r="H10" s="28" t="s">
        <v>32</v>
      </c>
      <c r="I10" s="28" t="s">
        <v>32</v>
      </c>
      <c r="J10" s="28" t="s">
        <v>32</v>
      </c>
      <c r="K10" s="40">
        <v>1</v>
      </c>
      <c r="L10" s="28">
        <f>C10</f>
        <v>550</v>
      </c>
      <c r="M10" s="28">
        <v>0</v>
      </c>
      <c r="N10" s="30">
        <v>0</v>
      </c>
      <c r="O10" s="28" t="s">
        <v>32</v>
      </c>
      <c r="P10" s="40">
        <v>1</v>
      </c>
      <c r="Q10" s="28">
        <f>C10</f>
        <v>550</v>
      </c>
      <c r="R10" s="28">
        <v>0</v>
      </c>
      <c r="S10" s="41">
        <v>1</v>
      </c>
      <c r="T10" s="41">
        <v>0</v>
      </c>
      <c r="U10" s="28" t="s">
        <v>32</v>
      </c>
    </row>
    <row r="11" spans="2:23" ht="17" x14ac:dyDescent="0.2">
      <c r="B11" s="18" t="s">
        <v>48</v>
      </c>
      <c r="C11" s="20">
        <v>500</v>
      </c>
      <c r="D11" s="40">
        <v>2</v>
      </c>
      <c r="E11" s="27" t="s">
        <v>32</v>
      </c>
      <c r="F11" s="28" t="s">
        <v>32</v>
      </c>
      <c r="G11" s="28" t="s">
        <v>32</v>
      </c>
      <c r="H11" s="28" t="s">
        <v>32</v>
      </c>
      <c r="I11" s="28" t="s">
        <v>32</v>
      </c>
      <c r="J11" s="28" t="s">
        <v>32</v>
      </c>
      <c r="K11" s="40">
        <v>2</v>
      </c>
      <c r="L11" s="31">
        <f t="shared" ref="L11:L26" si="0">($C$5*C11)+((1-$C$5)*(L10+M10))</f>
        <v>535</v>
      </c>
      <c r="M11" s="31">
        <f t="shared" ref="M11:M26" si="1">($C$6*(L11-L10))+((1-$C$6)*M10)</f>
        <v>-6</v>
      </c>
      <c r="N11" s="30">
        <f>L10+(1*M10)</f>
        <v>550</v>
      </c>
      <c r="O11" s="31">
        <f t="shared" ref="O11:O14" si="2">ABS(C11-N11)</f>
        <v>50</v>
      </c>
      <c r="P11" s="40">
        <v>2</v>
      </c>
      <c r="Q11" s="31">
        <f>($C$5*(C11/S5))+((1-$C$5)*(Q10+R10))</f>
        <v>535</v>
      </c>
      <c r="R11" s="28">
        <f>($C$6*(Q11-Q10))+((1-$C$6)*R10)</f>
        <v>-6</v>
      </c>
      <c r="S11" s="42">
        <f t="shared" ref="S11:S26" si="3">($C$7*(C11/Q11))+((1-$C$7)*S5)</f>
        <v>0.96728971962616828</v>
      </c>
      <c r="T11" s="43">
        <f>(Q10+(1*R10))*S5</f>
        <v>550</v>
      </c>
      <c r="U11" s="31">
        <f t="shared" ref="U11:U14" si="4">ABS(C11-T11)</f>
        <v>50</v>
      </c>
    </row>
    <row r="12" spans="2:23" ht="17" x14ac:dyDescent="0.2">
      <c r="B12" s="18" t="s">
        <v>49</v>
      </c>
      <c r="C12" s="20">
        <v>650</v>
      </c>
      <c r="D12" s="40">
        <v>3</v>
      </c>
      <c r="E12" s="29">
        <f t="shared" ref="E12:E26" si="5">(C10+C11+C12)/3</f>
        <v>566.66666666666663</v>
      </c>
      <c r="F12" s="28" t="s">
        <v>32</v>
      </c>
      <c r="G12" s="28" t="s">
        <v>32</v>
      </c>
      <c r="H12" s="28" t="s">
        <v>32</v>
      </c>
      <c r="I12" s="28" t="s">
        <v>32</v>
      </c>
      <c r="J12" s="28" t="s">
        <v>32</v>
      </c>
      <c r="K12" s="40">
        <v>3</v>
      </c>
      <c r="L12" s="31">
        <f t="shared" si="0"/>
        <v>565.29999999999995</v>
      </c>
      <c r="M12" s="31">
        <f t="shared" si="1"/>
        <v>8.5199999999999836</v>
      </c>
      <c r="N12" s="30">
        <f t="shared" ref="N12:N26" si="6">L11+(1*M11)</f>
        <v>529</v>
      </c>
      <c r="O12" s="31">
        <f t="shared" si="2"/>
        <v>121</v>
      </c>
      <c r="P12" s="40">
        <v>3</v>
      </c>
      <c r="Q12" s="31">
        <f t="shared" ref="Q12:Q26" si="7">($C$5*(C12/S6))+((1-$C$5)*(Q11+R11))</f>
        <v>565.29999999999995</v>
      </c>
      <c r="R12" s="28">
        <f t="shared" ref="R12:R26" si="8">($C$6*(Q12-Q11))+((1-$C$6)*R11)</f>
        <v>8.5199999999999836</v>
      </c>
      <c r="S12" s="42">
        <f t="shared" si="3"/>
        <v>1.0749159738192111</v>
      </c>
      <c r="T12" s="43">
        <f t="shared" ref="T12:T26" si="9">(Q11+(1*R11))*S6</f>
        <v>529</v>
      </c>
      <c r="U12" s="31">
        <f t="shared" si="4"/>
        <v>121</v>
      </c>
    </row>
    <row r="13" spans="2:23" ht="17" x14ac:dyDescent="0.2">
      <c r="B13" s="18" t="s">
        <v>50</v>
      </c>
      <c r="C13" s="20">
        <v>600</v>
      </c>
      <c r="D13" s="40">
        <f>D12+1</f>
        <v>4</v>
      </c>
      <c r="E13" s="29">
        <f t="shared" si="5"/>
        <v>583.33333333333337</v>
      </c>
      <c r="F13" s="28" t="s">
        <v>74</v>
      </c>
      <c r="G13" s="28" t="s">
        <v>32</v>
      </c>
      <c r="H13" s="28" t="s">
        <v>32</v>
      </c>
      <c r="I13" s="28" t="s">
        <v>32</v>
      </c>
      <c r="J13" s="28" t="s">
        <v>32</v>
      </c>
      <c r="K13" s="40">
        <f>K12+1</f>
        <v>4</v>
      </c>
      <c r="L13" s="31">
        <f t="shared" si="0"/>
        <v>581.67399999999998</v>
      </c>
      <c r="M13" s="31">
        <f t="shared" si="1"/>
        <v>11.6616</v>
      </c>
      <c r="N13" s="30">
        <f t="shared" si="6"/>
        <v>573.81999999999994</v>
      </c>
      <c r="O13" s="31">
        <f t="shared" si="2"/>
        <v>26.180000000000064</v>
      </c>
      <c r="P13" s="40">
        <f>P12+1</f>
        <v>4</v>
      </c>
      <c r="Q13" s="31">
        <f t="shared" si="7"/>
        <v>581.67399999999998</v>
      </c>
      <c r="R13" s="28">
        <f t="shared" si="8"/>
        <v>11.6616</v>
      </c>
      <c r="S13" s="42">
        <f t="shared" si="3"/>
        <v>1.0157528099932265</v>
      </c>
      <c r="T13" s="43">
        <f t="shared" si="9"/>
        <v>573.81999999999994</v>
      </c>
      <c r="U13" s="31">
        <f t="shared" si="4"/>
        <v>26.180000000000064</v>
      </c>
    </row>
    <row r="14" spans="2:23" ht="17" x14ac:dyDescent="0.2">
      <c r="B14" s="18" t="s">
        <v>51</v>
      </c>
      <c r="C14" s="20">
        <v>900</v>
      </c>
      <c r="D14" s="40">
        <f t="shared" ref="D14:D29" si="10">D13+1</f>
        <v>5</v>
      </c>
      <c r="E14" s="29">
        <f t="shared" si="5"/>
        <v>716.66666666666663</v>
      </c>
      <c r="F14" s="30">
        <f>(E12+E13+E14)/3</f>
        <v>622.22222222222217</v>
      </c>
      <c r="G14" s="30">
        <f>(2*E14)-F14</f>
        <v>811.11111111111109</v>
      </c>
      <c r="H14" s="31">
        <f>(2/($H$8-1))*(E14-F14)</f>
        <v>94.444444444444457</v>
      </c>
      <c r="I14" s="28" t="s">
        <v>32</v>
      </c>
      <c r="J14" s="28" t="s">
        <v>32</v>
      </c>
      <c r="K14" s="40">
        <f t="shared" ref="K14:K29" si="11">K13+1</f>
        <v>5</v>
      </c>
      <c r="L14" s="31">
        <f t="shared" si="0"/>
        <v>685.33492000000001</v>
      </c>
      <c r="M14" s="31">
        <f t="shared" si="1"/>
        <v>48.461328000000016</v>
      </c>
      <c r="N14" s="30">
        <f t="shared" si="6"/>
        <v>593.3356</v>
      </c>
      <c r="O14" s="31">
        <f t="shared" si="2"/>
        <v>306.6644</v>
      </c>
      <c r="P14" s="40">
        <f t="shared" ref="P14:P29" si="12">P13+1</f>
        <v>5</v>
      </c>
      <c r="Q14" s="31">
        <f t="shared" si="7"/>
        <v>685.33492000000001</v>
      </c>
      <c r="R14" s="28">
        <f t="shared" si="8"/>
        <v>48.461328000000016</v>
      </c>
      <c r="S14" s="42">
        <f t="shared" si="3"/>
        <v>1.1566132658175363</v>
      </c>
      <c r="T14" s="43">
        <f t="shared" si="9"/>
        <v>593.3356</v>
      </c>
      <c r="U14" s="31">
        <f t="shared" si="4"/>
        <v>306.6644</v>
      </c>
    </row>
    <row r="15" spans="2:23" ht="17" x14ac:dyDescent="0.2">
      <c r="B15" s="18" t="s">
        <v>52</v>
      </c>
      <c r="C15" s="20">
        <v>700</v>
      </c>
      <c r="D15" s="40">
        <f t="shared" si="10"/>
        <v>6</v>
      </c>
      <c r="E15" s="29">
        <f t="shared" si="5"/>
        <v>733.33333333333337</v>
      </c>
      <c r="F15" s="30">
        <f t="shared" ref="F15:F26" si="13">(E13+E14+E15)/3</f>
        <v>677.77777777777783</v>
      </c>
      <c r="G15" s="30">
        <f t="shared" ref="G15:G26" si="14">(2*E15)-F15</f>
        <v>788.88888888888891</v>
      </c>
      <c r="H15" s="31">
        <f t="shared" ref="H15:H26" si="15">(2/($H$8-1))*(E15-F15)</f>
        <v>55.555555555555543</v>
      </c>
      <c r="I15" s="30">
        <f>G14+(H14*1)</f>
        <v>905.55555555555554</v>
      </c>
      <c r="J15" s="30">
        <f t="shared" ref="J15:J26" si="16">ABS(C15-I15)</f>
        <v>205.55555555555554</v>
      </c>
      <c r="K15" s="40">
        <f t="shared" si="11"/>
        <v>6</v>
      </c>
      <c r="L15" s="31">
        <f t="shared" si="0"/>
        <v>723.65737359999991</v>
      </c>
      <c r="M15" s="31">
        <f t="shared" si="1"/>
        <v>44.405778239999968</v>
      </c>
      <c r="N15" s="30">
        <f t="shared" si="6"/>
        <v>733.79624799999999</v>
      </c>
      <c r="O15" s="31">
        <f t="shared" ref="O15:O26" si="17">ABS(C15-N15)</f>
        <v>33.796247999999991</v>
      </c>
      <c r="P15" s="40">
        <f t="shared" si="12"/>
        <v>6</v>
      </c>
      <c r="Q15" s="31">
        <f t="shared" si="7"/>
        <v>723.65737359999991</v>
      </c>
      <c r="R15" s="28">
        <f t="shared" si="8"/>
        <v>44.405778239999968</v>
      </c>
      <c r="S15" s="42">
        <f t="shared" si="3"/>
        <v>0.98365429935280635</v>
      </c>
      <c r="T15" s="43">
        <f t="shared" si="9"/>
        <v>733.79624799999999</v>
      </c>
      <c r="U15" s="31">
        <f t="shared" ref="U15:U26" si="18">ABS(C15-T15)</f>
        <v>33.796247999999991</v>
      </c>
    </row>
    <row r="16" spans="2:23" ht="17" x14ac:dyDescent="0.2">
      <c r="B16" s="18" t="s">
        <v>53</v>
      </c>
      <c r="C16" s="20">
        <v>850</v>
      </c>
      <c r="D16" s="40">
        <f t="shared" si="10"/>
        <v>7</v>
      </c>
      <c r="E16" s="29">
        <f t="shared" si="5"/>
        <v>816.66666666666663</v>
      </c>
      <c r="F16" s="30">
        <f t="shared" si="13"/>
        <v>755.55555555555554</v>
      </c>
      <c r="G16" s="30">
        <f t="shared" si="14"/>
        <v>877.77777777777771</v>
      </c>
      <c r="H16" s="31">
        <f t="shared" si="15"/>
        <v>61.111111111111086</v>
      </c>
      <c r="I16" s="30">
        <f t="shared" ref="I16:I26" si="19">G15+(H15*1)</f>
        <v>844.44444444444446</v>
      </c>
      <c r="J16" s="30">
        <f t="shared" si="16"/>
        <v>5.5555555555555429</v>
      </c>
      <c r="K16" s="40">
        <f t="shared" si="11"/>
        <v>7</v>
      </c>
      <c r="L16" s="31">
        <f t="shared" si="0"/>
        <v>792.64420628799996</v>
      </c>
      <c r="M16" s="31">
        <f t="shared" si="1"/>
        <v>54.238200019200001</v>
      </c>
      <c r="N16" s="30">
        <f t="shared" si="6"/>
        <v>768.06315183999993</v>
      </c>
      <c r="O16" s="31">
        <f t="shared" si="17"/>
        <v>81.936848160000068</v>
      </c>
      <c r="P16" s="40">
        <f t="shared" si="12"/>
        <v>7</v>
      </c>
      <c r="Q16" s="31">
        <f t="shared" si="7"/>
        <v>792.64420628799996</v>
      </c>
      <c r="R16" s="28">
        <f t="shared" si="8"/>
        <v>54.238200019200001</v>
      </c>
      <c r="S16" s="42">
        <f t="shared" si="3"/>
        <v>1.036180037182509</v>
      </c>
      <c r="T16" s="43">
        <f t="shared" si="9"/>
        <v>768.06315183999993</v>
      </c>
      <c r="U16" s="31">
        <f t="shared" si="18"/>
        <v>81.936848160000068</v>
      </c>
    </row>
    <row r="17" spans="2:21" ht="17" x14ac:dyDescent="0.2">
      <c r="B17" s="18" t="s">
        <v>54</v>
      </c>
      <c r="C17" s="20">
        <v>800</v>
      </c>
      <c r="D17" s="40">
        <f t="shared" si="10"/>
        <v>8</v>
      </c>
      <c r="E17" s="29">
        <f t="shared" si="5"/>
        <v>783.33333333333337</v>
      </c>
      <c r="F17" s="30">
        <f t="shared" si="13"/>
        <v>777.77777777777783</v>
      </c>
      <c r="G17" s="30">
        <f t="shared" si="14"/>
        <v>788.88888888888891</v>
      </c>
      <c r="H17" s="31">
        <f t="shared" si="15"/>
        <v>5.5555555555555429</v>
      </c>
      <c r="I17" s="30">
        <f t="shared" si="19"/>
        <v>938.8888888888888</v>
      </c>
      <c r="J17" s="30">
        <f t="shared" si="16"/>
        <v>138.8888888888888</v>
      </c>
      <c r="K17" s="40">
        <f t="shared" si="11"/>
        <v>8</v>
      </c>
      <c r="L17" s="31">
        <f t="shared" si="0"/>
        <v>832.81768441503993</v>
      </c>
      <c r="M17" s="31">
        <f t="shared" si="1"/>
        <v>48.612311262335986</v>
      </c>
      <c r="N17" s="30">
        <f t="shared" si="6"/>
        <v>846.88240630719997</v>
      </c>
      <c r="O17" s="31">
        <f t="shared" si="17"/>
        <v>46.882406307199972</v>
      </c>
      <c r="P17" s="40">
        <f t="shared" si="12"/>
        <v>8</v>
      </c>
      <c r="Q17" s="31">
        <f t="shared" si="7"/>
        <v>840.93362644402544</v>
      </c>
      <c r="R17" s="28">
        <f t="shared" si="8"/>
        <v>51.858688073930182</v>
      </c>
      <c r="S17" s="42">
        <f t="shared" si="3"/>
        <v>0.95930665691762051</v>
      </c>
      <c r="T17" s="43">
        <f t="shared" si="9"/>
        <v>819.18064535322617</v>
      </c>
      <c r="U17" s="31">
        <f t="shared" si="18"/>
        <v>19.180645353226168</v>
      </c>
    </row>
    <row r="18" spans="2:21" ht="17" x14ac:dyDescent="0.2">
      <c r="B18" s="18" t="s">
        <v>55</v>
      </c>
      <c r="C18" s="20">
        <v>950</v>
      </c>
      <c r="D18" s="40">
        <f t="shared" si="10"/>
        <v>9</v>
      </c>
      <c r="E18" s="29">
        <f t="shared" si="5"/>
        <v>866.66666666666663</v>
      </c>
      <c r="F18" s="30">
        <f t="shared" si="13"/>
        <v>822.22222222222217</v>
      </c>
      <c r="G18" s="30">
        <f t="shared" si="14"/>
        <v>911.11111111111109</v>
      </c>
      <c r="H18" s="31">
        <f t="shared" si="15"/>
        <v>44.444444444444457</v>
      </c>
      <c r="I18" s="30">
        <f t="shared" si="19"/>
        <v>794.44444444444446</v>
      </c>
      <c r="J18" s="30">
        <f t="shared" si="16"/>
        <v>155.55555555555554</v>
      </c>
      <c r="K18" s="40">
        <f t="shared" si="11"/>
        <v>9</v>
      </c>
      <c r="L18" s="31">
        <f t="shared" si="0"/>
        <v>902.00099697416306</v>
      </c>
      <c r="M18" s="31">
        <f t="shared" si="1"/>
        <v>56.840711781050842</v>
      </c>
      <c r="N18" s="30">
        <f t="shared" si="6"/>
        <v>881.42999567737593</v>
      </c>
      <c r="O18" s="31">
        <f t="shared" si="17"/>
        <v>68.570004322624072</v>
      </c>
      <c r="P18" s="40">
        <f t="shared" si="12"/>
        <v>9</v>
      </c>
      <c r="Q18" s="31">
        <f t="shared" si="7"/>
        <v>890.0916233716531</v>
      </c>
      <c r="R18" s="28">
        <f t="shared" si="8"/>
        <v>50.778411615409176</v>
      </c>
      <c r="S18" s="42">
        <f t="shared" si="3"/>
        <v>1.0711109137855011</v>
      </c>
      <c r="T18" s="43">
        <f t="shared" si="9"/>
        <v>959.67672017837572</v>
      </c>
      <c r="U18" s="31">
        <f t="shared" si="18"/>
        <v>9.6767201783757173</v>
      </c>
    </row>
    <row r="19" spans="2:21" ht="17" x14ac:dyDescent="0.2">
      <c r="B19" s="18" t="s">
        <v>56</v>
      </c>
      <c r="C19" s="20">
        <v>900</v>
      </c>
      <c r="D19" s="40">
        <f t="shared" si="10"/>
        <v>10</v>
      </c>
      <c r="E19" s="29">
        <f t="shared" si="5"/>
        <v>883.33333333333337</v>
      </c>
      <c r="F19" s="30">
        <f t="shared" si="13"/>
        <v>844.44444444444446</v>
      </c>
      <c r="G19" s="30">
        <f t="shared" si="14"/>
        <v>922.22222222222229</v>
      </c>
      <c r="H19" s="31">
        <f t="shared" si="15"/>
        <v>38.888888888888914</v>
      </c>
      <c r="I19" s="30">
        <f t="shared" si="19"/>
        <v>955.55555555555554</v>
      </c>
      <c r="J19" s="30">
        <f t="shared" si="16"/>
        <v>55.555555555555543</v>
      </c>
      <c r="K19" s="40">
        <f t="shared" si="11"/>
        <v>10</v>
      </c>
      <c r="L19" s="31">
        <f t="shared" si="0"/>
        <v>941.18919612864966</v>
      </c>
      <c r="M19" s="31">
        <f t="shared" si="1"/>
        <v>49.779706730425147</v>
      </c>
      <c r="N19" s="30">
        <f t="shared" si="6"/>
        <v>958.84170875521386</v>
      </c>
      <c r="O19" s="31">
        <f t="shared" si="17"/>
        <v>58.841708755213858</v>
      </c>
      <c r="P19" s="40">
        <f t="shared" si="12"/>
        <v>10</v>
      </c>
      <c r="Q19" s="31">
        <f t="shared" si="7"/>
        <v>924.42172748686289</v>
      </c>
      <c r="R19" s="28">
        <f t="shared" si="8"/>
        <v>44.199088615329423</v>
      </c>
      <c r="S19" s="42">
        <f t="shared" si="3"/>
        <v>0.99466721336864494</v>
      </c>
      <c r="T19" s="43">
        <f t="shared" si="9"/>
        <v>955.6913818765338</v>
      </c>
      <c r="U19" s="31">
        <f t="shared" si="18"/>
        <v>55.691381876533796</v>
      </c>
    </row>
    <row r="20" spans="2:21" ht="17" x14ac:dyDescent="0.2">
      <c r="B20" s="18" t="s">
        <v>57</v>
      </c>
      <c r="C20" s="20">
        <v>1200</v>
      </c>
      <c r="D20" s="40">
        <f t="shared" si="10"/>
        <v>11</v>
      </c>
      <c r="E20" s="29">
        <f t="shared" si="5"/>
        <v>1016.6666666666666</v>
      </c>
      <c r="F20" s="30">
        <f t="shared" si="13"/>
        <v>922.22222222222217</v>
      </c>
      <c r="G20" s="30">
        <f t="shared" si="14"/>
        <v>1111.1111111111111</v>
      </c>
      <c r="H20" s="31">
        <f t="shared" si="15"/>
        <v>94.444444444444457</v>
      </c>
      <c r="I20" s="30">
        <f t="shared" si="19"/>
        <v>961.1111111111112</v>
      </c>
      <c r="J20" s="30">
        <f t="shared" si="16"/>
        <v>238.8888888888888</v>
      </c>
      <c r="K20" s="40">
        <f t="shared" si="11"/>
        <v>11</v>
      </c>
      <c r="L20" s="31">
        <f t="shared" si="0"/>
        <v>1053.6782320013522</v>
      </c>
      <c r="M20" s="31">
        <f t="shared" si="1"/>
        <v>74.863438387336089</v>
      </c>
      <c r="N20" s="30">
        <f t="shared" si="6"/>
        <v>990.96890285907477</v>
      </c>
      <c r="O20" s="31">
        <f t="shared" si="17"/>
        <v>209.03109714092523</v>
      </c>
      <c r="P20" s="40">
        <f t="shared" si="12"/>
        <v>11</v>
      </c>
      <c r="Q20" s="31">
        <f t="shared" si="7"/>
        <v>989.28813427259433</v>
      </c>
      <c r="R20" s="28">
        <f t="shared" si="8"/>
        <v>52.466015883490229</v>
      </c>
      <c r="S20" s="42">
        <f t="shared" si="3"/>
        <v>1.1848033442447119</v>
      </c>
      <c r="T20" s="43">
        <f t="shared" si="9"/>
        <v>1120.3196854508039</v>
      </c>
      <c r="U20" s="31">
        <f t="shared" si="18"/>
        <v>79.680314549196055</v>
      </c>
    </row>
    <row r="21" spans="2:21" ht="17" x14ac:dyDescent="0.2">
      <c r="B21" s="18" t="s">
        <v>58</v>
      </c>
      <c r="C21" s="20">
        <v>1000</v>
      </c>
      <c r="D21" s="40">
        <f t="shared" si="10"/>
        <v>12</v>
      </c>
      <c r="E21" s="29">
        <f t="shared" si="5"/>
        <v>1033.3333333333333</v>
      </c>
      <c r="F21" s="30">
        <f t="shared" si="13"/>
        <v>977.77777777777771</v>
      </c>
      <c r="G21" s="30">
        <f t="shared" si="14"/>
        <v>1088.8888888888887</v>
      </c>
      <c r="H21" s="31">
        <f t="shared" si="15"/>
        <v>55.555555555555543</v>
      </c>
      <c r="I21" s="30">
        <f t="shared" si="19"/>
        <v>1205.5555555555557</v>
      </c>
      <c r="J21" s="30">
        <f t="shared" si="16"/>
        <v>205.55555555555566</v>
      </c>
      <c r="K21" s="40">
        <f t="shared" si="11"/>
        <v>12</v>
      </c>
      <c r="L21" s="31">
        <f t="shared" si="0"/>
        <v>1089.9791692720819</v>
      </c>
      <c r="M21" s="31">
        <f t="shared" si="1"/>
        <v>59.438437940693547</v>
      </c>
      <c r="N21" s="30">
        <f t="shared" si="6"/>
        <v>1128.5416703886883</v>
      </c>
      <c r="O21" s="31">
        <f t="shared" si="17"/>
        <v>128.54167038868832</v>
      </c>
      <c r="P21" s="40">
        <f t="shared" si="12"/>
        <v>12</v>
      </c>
      <c r="Q21" s="31">
        <f t="shared" si="7"/>
        <v>1034.2131018367929</v>
      </c>
      <c r="R21" s="28">
        <f t="shared" si="8"/>
        <v>49.449596555773581</v>
      </c>
      <c r="S21" s="42">
        <f t="shared" si="3"/>
        <v>0.97528650550160523</v>
      </c>
      <c r="T21" s="43">
        <f t="shared" si="9"/>
        <v>1024.7259486696614</v>
      </c>
      <c r="U21" s="31">
        <f t="shared" si="18"/>
        <v>24.72594866966142</v>
      </c>
    </row>
    <row r="22" spans="2:21" ht="17" x14ac:dyDescent="0.2">
      <c r="B22" s="18" t="s">
        <v>59</v>
      </c>
      <c r="C22" s="20">
        <v>1150</v>
      </c>
      <c r="D22" s="40">
        <f t="shared" si="10"/>
        <v>13</v>
      </c>
      <c r="E22" s="29">
        <f t="shared" si="5"/>
        <v>1116.6666666666667</v>
      </c>
      <c r="F22" s="30">
        <f t="shared" si="13"/>
        <v>1055.5555555555557</v>
      </c>
      <c r="G22" s="30">
        <f t="shared" si="14"/>
        <v>1177.7777777777778</v>
      </c>
      <c r="H22" s="31">
        <f t="shared" si="15"/>
        <v>61.111111111111086</v>
      </c>
      <c r="I22" s="30">
        <f t="shared" si="19"/>
        <v>1144.4444444444443</v>
      </c>
      <c r="J22" s="30">
        <f t="shared" si="16"/>
        <v>5.5555555555556566</v>
      </c>
      <c r="K22" s="40">
        <f t="shared" si="11"/>
        <v>13</v>
      </c>
      <c r="L22" s="31">
        <f t="shared" si="0"/>
        <v>1149.5923250489427</v>
      </c>
      <c r="M22" s="31">
        <f t="shared" si="1"/>
        <v>59.508325075160457</v>
      </c>
      <c r="N22" s="30">
        <f t="shared" si="6"/>
        <v>1149.4176072127755</v>
      </c>
      <c r="O22" s="31">
        <f t="shared" si="17"/>
        <v>0.58239278722453491</v>
      </c>
      <c r="P22" s="40">
        <f t="shared" si="12"/>
        <v>13</v>
      </c>
      <c r="Q22" s="31">
        <f t="shared" si="7"/>
        <v>1091.5176108342487</v>
      </c>
      <c r="R22" s="28">
        <f t="shared" si="8"/>
        <v>52.591561532446448</v>
      </c>
      <c r="S22" s="42">
        <f t="shared" si="3"/>
        <v>1.0448795035181413</v>
      </c>
      <c r="T22" s="43">
        <f t="shared" si="9"/>
        <v>1122.8696551137075</v>
      </c>
      <c r="U22" s="31">
        <f t="shared" si="18"/>
        <v>27.130344886292505</v>
      </c>
    </row>
    <row r="23" spans="2:21" ht="17" x14ac:dyDescent="0.2">
      <c r="B23" s="18" t="s">
        <v>60</v>
      </c>
      <c r="C23" s="20">
        <v>1100</v>
      </c>
      <c r="D23" s="40">
        <f t="shared" si="10"/>
        <v>14</v>
      </c>
      <c r="E23" s="29">
        <f t="shared" si="5"/>
        <v>1083.3333333333333</v>
      </c>
      <c r="F23" s="30">
        <f t="shared" si="13"/>
        <v>1077.7777777777776</v>
      </c>
      <c r="G23" s="30">
        <f t="shared" si="14"/>
        <v>1088.8888888888889</v>
      </c>
      <c r="H23" s="31">
        <f t="shared" si="15"/>
        <v>5.5555555555556566</v>
      </c>
      <c r="I23" s="30">
        <f t="shared" si="19"/>
        <v>1238.8888888888889</v>
      </c>
      <c r="J23" s="30">
        <f t="shared" si="16"/>
        <v>138.88888888888891</v>
      </c>
      <c r="K23" s="40">
        <f t="shared" si="11"/>
        <v>14</v>
      </c>
      <c r="L23" s="31">
        <f t="shared" si="0"/>
        <v>1176.3704550868722</v>
      </c>
      <c r="M23" s="31">
        <f t="shared" si="1"/>
        <v>46.41624706026807</v>
      </c>
      <c r="N23" s="30">
        <f t="shared" si="6"/>
        <v>1209.1006501241031</v>
      </c>
      <c r="O23" s="31">
        <f t="shared" si="17"/>
        <v>109.10065012410314</v>
      </c>
      <c r="P23" s="40">
        <f t="shared" si="12"/>
        <v>14</v>
      </c>
      <c r="Q23" s="31">
        <f t="shared" si="7"/>
        <v>1144.8748674727794</v>
      </c>
      <c r="R23" s="28">
        <f t="shared" si="8"/>
        <v>52.89783957488018</v>
      </c>
      <c r="S23" s="42">
        <f t="shared" si="3"/>
        <v>0.96005517465714751</v>
      </c>
      <c r="T23" s="43">
        <f t="shared" si="9"/>
        <v>1097.5515452918798</v>
      </c>
      <c r="U23" s="31">
        <f t="shared" si="18"/>
        <v>2.4484547081201526</v>
      </c>
    </row>
    <row r="24" spans="2:21" ht="17" x14ac:dyDescent="0.2">
      <c r="B24" s="18" t="s">
        <v>61</v>
      </c>
      <c r="C24" s="20">
        <v>1250</v>
      </c>
      <c r="D24" s="40">
        <f t="shared" si="10"/>
        <v>15</v>
      </c>
      <c r="E24" s="29">
        <f t="shared" si="5"/>
        <v>1166.6666666666667</v>
      </c>
      <c r="F24" s="30">
        <f t="shared" si="13"/>
        <v>1122.2222222222224</v>
      </c>
      <c r="G24" s="30">
        <f t="shared" si="14"/>
        <v>1211.1111111111111</v>
      </c>
      <c r="H24" s="31">
        <f t="shared" si="15"/>
        <v>44.444444444444343</v>
      </c>
      <c r="I24" s="30">
        <f t="shared" si="19"/>
        <v>1094.4444444444446</v>
      </c>
      <c r="J24" s="30">
        <f t="shared" si="16"/>
        <v>155.55555555555543</v>
      </c>
      <c r="K24" s="40">
        <f t="shared" si="11"/>
        <v>15</v>
      </c>
      <c r="L24" s="31">
        <f t="shared" si="0"/>
        <v>1230.9506915029981</v>
      </c>
      <c r="M24" s="31">
        <f t="shared" si="1"/>
        <v>49.6818428026112</v>
      </c>
      <c r="N24" s="30">
        <f t="shared" si="6"/>
        <v>1222.7867021471402</v>
      </c>
      <c r="O24" s="31">
        <f t="shared" si="17"/>
        <v>27.213297852859796</v>
      </c>
      <c r="P24" s="40">
        <f t="shared" si="12"/>
        <v>15</v>
      </c>
      <c r="Q24" s="31">
        <f t="shared" si="7"/>
        <v>1188.5446938711223</v>
      </c>
      <c r="R24" s="28">
        <f t="shared" si="8"/>
        <v>49.206634304265236</v>
      </c>
      <c r="S24" s="42">
        <f t="shared" si="3"/>
        <v>1.0614086311342326</v>
      </c>
      <c r="T24" s="43">
        <f t="shared" si="9"/>
        <v>1282.9474187531521</v>
      </c>
      <c r="U24" s="31">
        <f t="shared" si="18"/>
        <v>32.947418753152078</v>
      </c>
    </row>
    <row r="25" spans="2:21" ht="17" x14ac:dyDescent="0.2">
      <c r="B25" s="18" t="s">
        <v>62</v>
      </c>
      <c r="C25" s="20">
        <v>1200</v>
      </c>
      <c r="D25" s="40">
        <f t="shared" si="10"/>
        <v>16</v>
      </c>
      <c r="E25" s="29">
        <f t="shared" si="5"/>
        <v>1183.3333333333333</v>
      </c>
      <c r="F25" s="30">
        <f t="shared" si="13"/>
        <v>1144.4444444444443</v>
      </c>
      <c r="G25" s="30">
        <f t="shared" si="14"/>
        <v>1222.2222222222222</v>
      </c>
      <c r="H25" s="31">
        <f t="shared" si="15"/>
        <v>38.888888888888914</v>
      </c>
      <c r="I25" s="30">
        <f t="shared" si="19"/>
        <v>1255.5555555555554</v>
      </c>
      <c r="J25" s="30">
        <f t="shared" si="16"/>
        <v>55.555555555555429</v>
      </c>
      <c r="K25" s="40">
        <f t="shared" si="11"/>
        <v>16</v>
      </c>
      <c r="L25" s="31">
        <f t="shared" si="0"/>
        <v>1256.4427740139265</v>
      </c>
      <c r="M25" s="31">
        <f t="shared" si="1"/>
        <v>40.005938685938084</v>
      </c>
      <c r="N25" s="30">
        <f t="shared" si="6"/>
        <v>1280.6325343056094</v>
      </c>
      <c r="O25" s="31">
        <f t="shared" si="17"/>
        <v>80.632534305609397</v>
      </c>
      <c r="P25" s="40">
        <f t="shared" si="12"/>
        <v>16</v>
      </c>
      <c r="Q25" s="31">
        <f t="shared" si="7"/>
        <v>1228.356025700084</v>
      </c>
      <c r="R25" s="28">
        <f t="shared" si="8"/>
        <v>45.448513314143852</v>
      </c>
      <c r="S25" s="42">
        <f t="shared" si="3"/>
        <v>0.98579133998525093</v>
      </c>
      <c r="T25" s="43">
        <f t="shared" si="9"/>
        <v>1231.1506644395517</v>
      </c>
      <c r="U25" s="31">
        <f t="shared" si="18"/>
        <v>31.150664439551747</v>
      </c>
    </row>
    <row r="26" spans="2:21" ht="17" x14ac:dyDescent="0.2">
      <c r="B26" s="18" t="s">
        <v>63</v>
      </c>
      <c r="C26" s="20">
        <v>1500</v>
      </c>
      <c r="D26" s="40">
        <f t="shared" si="10"/>
        <v>17</v>
      </c>
      <c r="E26" s="29">
        <f t="shared" si="5"/>
        <v>1316.6666666666667</v>
      </c>
      <c r="F26" s="30">
        <f t="shared" si="13"/>
        <v>1222.2222222222224</v>
      </c>
      <c r="G26" s="30">
        <f t="shared" si="14"/>
        <v>1411.1111111111111</v>
      </c>
      <c r="H26" s="31">
        <f t="shared" si="15"/>
        <v>94.444444444444343</v>
      </c>
      <c r="I26" s="30">
        <f t="shared" si="19"/>
        <v>1261.1111111111111</v>
      </c>
      <c r="J26" s="30">
        <f t="shared" si="16"/>
        <v>238.88888888888891</v>
      </c>
      <c r="K26" s="40">
        <f t="shared" si="11"/>
        <v>17</v>
      </c>
      <c r="L26" s="31">
        <f t="shared" si="0"/>
        <v>1357.5140988899052</v>
      </c>
      <c r="M26" s="31">
        <f t="shared" si="1"/>
        <v>64.432093161954327</v>
      </c>
      <c r="N26" s="30">
        <f t="shared" si="6"/>
        <v>1296.4487126998647</v>
      </c>
      <c r="O26" s="31">
        <f t="shared" si="17"/>
        <v>203.5512873001353</v>
      </c>
      <c r="P26" s="40">
        <f t="shared" si="12"/>
        <v>17</v>
      </c>
      <c r="Q26" s="31">
        <f t="shared" si="7"/>
        <v>1271.4730438046104</v>
      </c>
      <c r="R26" s="28">
        <f t="shared" si="8"/>
        <v>44.515915230296841</v>
      </c>
      <c r="S26" s="42">
        <f t="shared" si="3"/>
        <v>1.1822686800423869</v>
      </c>
      <c r="T26" s="43">
        <f t="shared" si="9"/>
        <v>1509.2078777381507</v>
      </c>
      <c r="U26" s="31">
        <f t="shared" si="18"/>
        <v>9.207877738150728</v>
      </c>
    </row>
    <row r="27" spans="2:21" ht="17" x14ac:dyDescent="0.2">
      <c r="B27" s="23" t="s">
        <v>64</v>
      </c>
      <c r="C27" s="20"/>
      <c r="D27" s="40">
        <f t="shared" si="10"/>
        <v>18</v>
      </c>
      <c r="E27" s="21"/>
      <c r="I27" s="32">
        <f>$G$26+($H$26*1)</f>
        <v>1505.5555555555554</v>
      </c>
      <c r="J27" s="33"/>
      <c r="K27" s="40">
        <f t="shared" si="11"/>
        <v>18</v>
      </c>
      <c r="N27" s="32">
        <f>$L$26+(1*$M$26)</f>
        <v>1421.9461920518595</v>
      </c>
      <c r="P27" s="40">
        <f t="shared" si="12"/>
        <v>18</v>
      </c>
      <c r="T27" s="44">
        <f>(Q21+(6*R21))*S21</f>
        <v>1298.0192273744492</v>
      </c>
    </row>
    <row r="28" spans="2:21" ht="17" x14ac:dyDescent="0.2">
      <c r="B28" s="23" t="s">
        <v>65</v>
      </c>
      <c r="C28" s="20"/>
      <c r="D28" s="40">
        <f t="shared" si="10"/>
        <v>19</v>
      </c>
      <c r="E28" s="21"/>
      <c r="I28" s="32">
        <f>$G$26+($H$26*2)</f>
        <v>1599.9999999999998</v>
      </c>
      <c r="J28" s="33"/>
      <c r="K28" s="40">
        <f t="shared" si="11"/>
        <v>19</v>
      </c>
      <c r="N28" s="32">
        <f>$L$26+(2*$M$26)</f>
        <v>1486.3782852138138</v>
      </c>
      <c r="P28" s="40">
        <f t="shared" si="12"/>
        <v>19</v>
      </c>
      <c r="T28" s="44">
        <f t="shared" ref="T28" si="20">(Q22+(6*R22))*S22</f>
        <v>1470.2154475093962</v>
      </c>
    </row>
    <row r="29" spans="2:21" ht="17" x14ac:dyDescent="0.2">
      <c r="B29" s="23" t="s">
        <v>66</v>
      </c>
      <c r="D29" s="40">
        <f t="shared" si="10"/>
        <v>20</v>
      </c>
      <c r="I29" s="32">
        <f>$G$26+($H$26*3)</f>
        <v>1694.4444444444441</v>
      </c>
      <c r="J29" s="33"/>
      <c r="K29" s="40">
        <f t="shared" si="11"/>
        <v>20</v>
      </c>
      <c r="N29" s="32">
        <f>$L$26+(3*$M$26)</f>
        <v>1550.8103783757681</v>
      </c>
      <c r="P29" s="40">
        <f t="shared" si="12"/>
        <v>20</v>
      </c>
      <c r="T29" s="44">
        <f>(Q23+(6*R23))*S23</f>
        <v>1403.852108524442</v>
      </c>
    </row>
    <row r="31" spans="2:21" x14ac:dyDescent="0.2">
      <c r="J31" s="34">
        <f>AVERAGE(J15:J26)</f>
        <v>133.33333333333331</v>
      </c>
      <c r="O31" s="34">
        <f>AVERAGE(O15:O26)</f>
        <v>87.390012120381968</v>
      </c>
      <c r="U31" s="46">
        <f>AVERAGE(U15:U26)</f>
        <v>33.964405609355033</v>
      </c>
    </row>
    <row r="32" spans="2:21" x14ac:dyDescent="0.2">
      <c r="J32" s="45"/>
      <c r="O32" s="45"/>
      <c r="U32" s="45"/>
    </row>
    <row r="33" spans="2:22" x14ac:dyDescent="0.2">
      <c r="J33" s="45"/>
      <c r="O33" s="45"/>
      <c r="U33" s="45"/>
    </row>
    <row r="34" spans="2:22" x14ac:dyDescent="0.2">
      <c r="L34"/>
      <c r="M34"/>
      <c r="N34"/>
      <c r="O34"/>
      <c r="Q34" s="26" t="s">
        <v>82</v>
      </c>
      <c r="S34" s="39" t="s">
        <v>84</v>
      </c>
      <c r="T34" s="39">
        <v>6</v>
      </c>
    </row>
    <row r="35" spans="2:22" x14ac:dyDescent="0.2">
      <c r="L35"/>
      <c r="M35"/>
      <c r="N35"/>
      <c r="O35"/>
      <c r="P35" s="39" t="s">
        <v>85</v>
      </c>
      <c r="Q35" s="38" t="s">
        <v>79</v>
      </c>
      <c r="R35" s="38" t="s">
        <v>80</v>
      </c>
      <c r="S35" s="38" t="s">
        <v>83</v>
      </c>
      <c r="T35" s="38" t="s">
        <v>27</v>
      </c>
      <c r="U35" s="38" t="s">
        <v>81</v>
      </c>
    </row>
    <row r="36" spans="2:22" ht="17" x14ac:dyDescent="0.2">
      <c r="L36"/>
      <c r="M36"/>
      <c r="N36"/>
      <c r="O36"/>
      <c r="P36" s="39">
        <v>-5</v>
      </c>
      <c r="S36" s="41">
        <v>1</v>
      </c>
      <c r="V36" s="18" t="s">
        <v>87</v>
      </c>
    </row>
    <row r="37" spans="2:22" ht="17" x14ac:dyDescent="0.2">
      <c r="L37"/>
      <c r="M37"/>
      <c r="N37"/>
      <c r="O37"/>
      <c r="P37" s="39">
        <v>-4</v>
      </c>
      <c r="S37" s="41">
        <v>1</v>
      </c>
      <c r="V37" s="18" t="s">
        <v>88</v>
      </c>
    </row>
    <row r="38" spans="2:22" ht="17" x14ac:dyDescent="0.2">
      <c r="L38"/>
      <c r="M38"/>
      <c r="N38"/>
      <c r="O38"/>
      <c r="P38" s="39">
        <v>-3</v>
      </c>
      <c r="S38" s="41">
        <v>1</v>
      </c>
      <c r="V38" s="18" t="s">
        <v>89</v>
      </c>
    </row>
    <row r="39" spans="2:22" ht="17" x14ac:dyDescent="0.2">
      <c r="L39"/>
      <c r="M39"/>
      <c r="N39"/>
      <c r="O39"/>
      <c r="P39" s="39">
        <v>-2</v>
      </c>
      <c r="S39" s="41">
        <v>1</v>
      </c>
      <c r="V39" s="18" t="s">
        <v>90</v>
      </c>
    </row>
    <row r="40" spans="2:22" ht="17" x14ac:dyDescent="0.2">
      <c r="E40" s="6" t="s">
        <v>71</v>
      </c>
      <c r="G40" s="8" t="s">
        <v>77</v>
      </c>
      <c r="H40" s="8">
        <v>3</v>
      </c>
      <c r="L40" s="26" t="s">
        <v>78</v>
      </c>
      <c r="P40" s="39">
        <v>-1</v>
      </c>
      <c r="S40" s="41">
        <v>1</v>
      </c>
      <c r="V40" s="18" t="s">
        <v>91</v>
      </c>
    </row>
    <row r="41" spans="2:22" ht="17" x14ac:dyDescent="0.2">
      <c r="B41" s="19" t="s">
        <v>43</v>
      </c>
      <c r="C41" s="19" t="s">
        <v>45</v>
      </c>
      <c r="D41" s="19" t="s">
        <v>85</v>
      </c>
      <c r="E41" s="35" t="s">
        <v>72</v>
      </c>
      <c r="F41" s="36" t="s">
        <v>73</v>
      </c>
      <c r="G41" s="37" t="s">
        <v>75</v>
      </c>
      <c r="H41" s="37" t="s">
        <v>76</v>
      </c>
      <c r="I41" s="37" t="s">
        <v>27</v>
      </c>
      <c r="J41" s="37" t="s">
        <v>81</v>
      </c>
      <c r="K41" s="19" t="s">
        <v>85</v>
      </c>
      <c r="L41" s="37" t="s">
        <v>79</v>
      </c>
      <c r="M41" s="37" t="s">
        <v>80</v>
      </c>
      <c r="N41" s="37" t="s">
        <v>27</v>
      </c>
      <c r="O41" s="37" t="s">
        <v>81</v>
      </c>
      <c r="P41" s="19">
        <v>0</v>
      </c>
      <c r="S41" s="41">
        <v>1</v>
      </c>
      <c r="V41" s="18" t="s">
        <v>86</v>
      </c>
    </row>
    <row r="42" spans="2:22" ht="17" x14ac:dyDescent="0.2">
      <c r="B42" s="18" t="s">
        <v>47</v>
      </c>
      <c r="C42" s="22">
        <v>425</v>
      </c>
      <c r="D42" s="40">
        <v>1</v>
      </c>
      <c r="E42" s="27" t="s">
        <v>32</v>
      </c>
      <c r="F42" s="28" t="s">
        <v>32</v>
      </c>
      <c r="G42" s="28" t="s">
        <v>32</v>
      </c>
      <c r="H42" s="28" t="s">
        <v>32</v>
      </c>
      <c r="I42" s="28" t="s">
        <v>32</v>
      </c>
      <c r="J42" s="28" t="s">
        <v>32</v>
      </c>
      <c r="K42" s="40">
        <v>1</v>
      </c>
      <c r="L42" s="28">
        <f>C42</f>
        <v>425</v>
      </c>
      <c r="M42" s="28">
        <v>0</v>
      </c>
      <c r="N42" s="30">
        <v>0</v>
      </c>
      <c r="O42" s="28" t="s">
        <v>32</v>
      </c>
      <c r="P42" s="40">
        <v>1</v>
      </c>
      <c r="Q42" s="28">
        <f>C42</f>
        <v>425</v>
      </c>
      <c r="R42" s="28">
        <v>0</v>
      </c>
      <c r="S42" s="41">
        <v>1</v>
      </c>
      <c r="T42" s="41">
        <v>0</v>
      </c>
      <c r="U42" s="28" t="s">
        <v>32</v>
      </c>
    </row>
    <row r="43" spans="2:22" ht="17" x14ac:dyDescent="0.2">
      <c r="B43" s="18" t="s">
        <v>48</v>
      </c>
      <c r="C43" s="22">
        <v>500</v>
      </c>
      <c r="D43" s="40">
        <v>2</v>
      </c>
      <c r="E43" s="27" t="s">
        <v>32</v>
      </c>
      <c r="F43" s="28" t="s">
        <v>32</v>
      </c>
      <c r="G43" s="28" t="s">
        <v>32</v>
      </c>
      <c r="H43" s="28" t="s">
        <v>32</v>
      </c>
      <c r="I43" s="28" t="s">
        <v>32</v>
      </c>
      <c r="J43" s="28" t="s">
        <v>32</v>
      </c>
      <c r="K43" s="40">
        <v>2</v>
      </c>
      <c r="L43" s="31">
        <f t="shared" ref="L43:L58" si="21">($C$5*C43)+((1-$C$5)*(L42+M42))</f>
        <v>447.5</v>
      </c>
      <c r="M43" s="31">
        <f t="shared" ref="M43:M58" si="22">($C$6*(L43-L42))+((1-$C$6)*M42)</f>
        <v>9</v>
      </c>
      <c r="N43" s="30">
        <f>L42+(1*M42)</f>
        <v>425</v>
      </c>
      <c r="O43" s="31">
        <f t="shared" ref="O43:O46" si="23">ABS(C43-N43)</f>
        <v>75</v>
      </c>
      <c r="P43" s="40">
        <v>2</v>
      </c>
      <c r="Q43" s="31">
        <f>($C$5*(C43/S37))+((1-$C$5)*(Q42+R42))</f>
        <v>447.5</v>
      </c>
      <c r="R43" s="28">
        <f>($C$6*(Q43-Q42))+((1-$C$6)*R42)</f>
        <v>9</v>
      </c>
      <c r="S43" s="42">
        <f t="shared" ref="S43:S58" si="24">($C$7*(C43/Q43))+((1-$C$7)*S37)</f>
        <v>1.058659217877095</v>
      </c>
      <c r="T43" s="43">
        <f>(Q42+(1*R42))*S37</f>
        <v>425</v>
      </c>
      <c r="U43" s="31">
        <f t="shared" ref="U43:U46" si="25">ABS(C43-T43)</f>
        <v>75</v>
      </c>
    </row>
    <row r="44" spans="2:22" ht="17" x14ac:dyDescent="0.2">
      <c r="B44" s="18" t="s">
        <v>49</v>
      </c>
      <c r="C44" s="22">
        <v>600</v>
      </c>
      <c r="D44" s="40">
        <v>3</v>
      </c>
      <c r="E44" s="29">
        <f t="shared" ref="E44:E58" si="26">(C42+C43+C44)/3</f>
        <v>508.33333333333331</v>
      </c>
      <c r="F44" s="28" t="s">
        <v>32</v>
      </c>
      <c r="G44" s="28" t="s">
        <v>32</v>
      </c>
      <c r="H44" s="28" t="s">
        <v>32</v>
      </c>
      <c r="I44" s="28" t="s">
        <v>32</v>
      </c>
      <c r="J44" s="28" t="s">
        <v>32</v>
      </c>
      <c r="K44" s="40">
        <v>3</v>
      </c>
      <c r="L44" s="31">
        <f t="shared" si="21"/>
        <v>499.54999999999995</v>
      </c>
      <c r="M44" s="31">
        <f t="shared" si="22"/>
        <v>26.219999999999981</v>
      </c>
      <c r="N44" s="30">
        <f t="shared" ref="N44:N58" si="27">L43+(1*M43)</f>
        <v>456.5</v>
      </c>
      <c r="O44" s="31">
        <f t="shared" si="23"/>
        <v>143.5</v>
      </c>
      <c r="P44" s="40">
        <v>3</v>
      </c>
      <c r="Q44" s="31">
        <f t="shared" ref="Q44:Q58" si="28">($C$5*(C44/S38))+((1-$C$5)*(Q43+R43))</f>
        <v>499.54999999999995</v>
      </c>
      <c r="R44" s="28">
        <f t="shared" ref="R44:R58" si="29">($C$6*(Q44-Q43))+((1-$C$6)*R43)</f>
        <v>26.219999999999981</v>
      </c>
      <c r="S44" s="42">
        <f t="shared" si="24"/>
        <v>1.1005404864377941</v>
      </c>
      <c r="T44" s="43">
        <f t="shared" ref="T44:T58" si="30">(Q43+(1*R43))*S38</f>
        <v>456.5</v>
      </c>
      <c r="U44" s="31">
        <f t="shared" si="25"/>
        <v>143.5</v>
      </c>
    </row>
    <row r="45" spans="2:22" ht="17" x14ac:dyDescent="0.2">
      <c r="B45" s="18" t="s">
        <v>50</v>
      </c>
      <c r="C45" s="22">
        <v>700</v>
      </c>
      <c r="D45" s="40">
        <f>D44+1</f>
        <v>4</v>
      </c>
      <c r="E45" s="29">
        <f t="shared" si="26"/>
        <v>600</v>
      </c>
      <c r="F45" s="28" t="s">
        <v>74</v>
      </c>
      <c r="G45" s="28" t="s">
        <v>32</v>
      </c>
      <c r="H45" s="28" t="s">
        <v>32</v>
      </c>
      <c r="I45" s="28" t="s">
        <v>32</v>
      </c>
      <c r="J45" s="28" t="s">
        <v>32</v>
      </c>
      <c r="K45" s="40">
        <f>K44+1</f>
        <v>4</v>
      </c>
      <c r="L45" s="31">
        <f t="shared" si="21"/>
        <v>578.03899999999999</v>
      </c>
      <c r="M45" s="31">
        <f t="shared" si="22"/>
        <v>47.127600000000001</v>
      </c>
      <c r="N45" s="30">
        <f t="shared" si="27"/>
        <v>525.77</v>
      </c>
      <c r="O45" s="31">
        <f t="shared" si="23"/>
        <v>174.23000000000002</v>
      </c>
      <c r="P45" s="40">
        <f>P44+1</f>
        <v>4</v>
      </c>
      <c r="Q45" s="31">
        <f t="shared" si="28"/>
        <v>578.03899999999999</v>
      </c>
      <c r="R45" s="28">
        <f t="shared" si="29"/>
        <v>47.127600000000001</v>
      </c>
      <c r="S45" s="42">
        <f t="shared" si="24"/>
        <v>1.1054954769487872</v>
      </c>
      <c r="T45" s="43">
        <f t="shared" si="30"/>
        <v>525.77</v>
      </c>
      <c r="U45" s="31">
        <f t="shared" si="25"/>
        <v>174.23000000000002</v>
      </c>
    </row>
    <row r="46" spans="2:22" ht="17" x14ac:dyDescent="0.2">
      <c r="B46" s="18" t="s">
        <v>51</v>
      </c>
      <c r="C46" s="22">
        <v>800</v>
      </c>
      <c r="D46" s="40">
        <f t="shared" ref="D46:D61" si="31">D45+1</f>
        <v>5</v>
      </c>
      <c r="E46" s="29">
        <f t="shared" si="26"/>
        <v>700</v>
      </c>
      <c r="F46" s="30">
        <f>(E44+E45+E46)/3</f>
        <v>602.77777777777771</v>
      </c>
      <c r="G46" s="30">
        <f>(2*E46)-F46</f>
        <v>797.22222222222229</v>
      </c>
      <c r="H46" s="31">
        <f>(2/($H$8-1))*(E46-F46)</f>
        <v>97.222222222222285</v>
      </c>
      <c r="I46" s="28" t="s">
        <v>32</v>
      </c>
      <c r="J46" s="28" t="s">
        <v>32</v>
      </c>
      <c r="K46" s="40">
        <f t="shared" ref="K46:K61" si="32">K45+1</f>
        <v>5</v>
      </c>
      <c r="L46" s="31">
        <f t="shared" si="21"/>
        <v>677.61662000000001</v>
      </c>
      <c r="M46" s="31">
        <f t="shared" si="22"/>
        <v>68.107608000000013</v>
      </c>
      <c r="N46" s="30">
        <f t="shared" si="27"/>
        <v>625.16660000000002</v>
      </c>
      <c r="O46" s="31">
        <f t="shared" si="23"/>
        <v>174.83339999999998</v>
      </c>
      <c r="P46" s="40">
        <f t="shared" ref="P46:P61" si="33">P45+1</f>
        <v>5</v>
      </c>
      <c r="Q46" s="31">
        <f t="shared" si="28"/>
        <v>677.61662000000001</v>
      </c>
      <c r="R46" s="28">
        <f t="shared" si="29"/>
        <v>68.107608000000013</v>
      </c>
      <c r="S46" s="42">
        <f t="shared" si="24"/>
        <v>1.0903042933037859</v>
      </c>
      <c r="T46" s="43">
        <f t="shared" si="30"/>
        <v>625.16660000000002</v>
      </c>
      <c r="U46" s="31">
        <f t="shared" si="25"/>
        <v>174.83339999999998</v>
      </c>
    </row>
    <row r="47" spans="2:22" ht="17" x14ac:dyDescent="0.2">
      <c r="B47" s="18" t="s">
        <v>52</v>
      </c>
      <c r="C47" s="22">
        <v>900</v>
      </c>
      <c r="D47" s="40">
        <f t="shared" si="31"/>
        <v>6</v>
      </c>
      <c r="E47" s="29">
        <f t="shared" si="26"/>
        <v>800</v>
      </c>
      <c r="F47" s="30">
        <f t="shared" ref="F47:F58" si="34">(E45+E46+E47)/3</f>
        <v>700</v>
      </c>
      <c r="G47" s="30">
        <f t="shared" ref="G47:G58" si="35">(2*E47)-F47</f>
        <v>900</v>
      </c>
      <c r="H47" s="31">
        <f t="shared" ref="H47:H58" si="36">(2/($H$8-1))*(E47-F47)</f>
        <v>100</v>
      </c>
      <c r="I47" s="30">
        <f>G46+(H46*1)</f>
        <v>894.44444444444457</v>
      </c>
      <c r="J47" s="30">
        <f t="shared" ref="J47:J58" si="37">ABS(C47-I47)</f>
        <v>5.5555555555554292</v>
      </c>
      <c r="K47" s="40">
        <f t="shared" si="32"/>
        <v>6</v>
      </c>
      <c r="L47" s="31">
        <f t="shared" si="21"/>
        <v>792.00695959999996</v>
      </c>
      <c r="M47" s="31">
        <f t="shared" si="22"/>
        <v>86.620700639999995</v>
      </c>
      <c r="N47" s="30">
        <f t="shared" si="27"/>
        <v>745.72422800000004</v>
      </c>
      <c r="O47" s="31">
        <f t="shared" ref="O47:O58" si="38">ABS(C47-N47)</f>
        <v>154.27577199999996</v>
      </c>
      <c r="P47" s="40">
        <f t="shared" si="33"/>
        <v>6</v>
      </c>
      <c r="Q47" s="31">
        <f t="shared" si="28"/>
        <v>792.00695959999996</v>
      </c>
      <c r="R47" s="28">
        <f t="shared" si="29"/>
        <v>86.620700639999995</v>
      </c>
      <c r="S47" s="42">
        <f t="shared" si="24"/>
        <v>1.0681768253997044</v>
      </c>
      <c r="T47" s="43">
        <f t="shared" si="30"/>
        <v>745.72422800000004</v>
      </c>
      <c r="U47" s="31">
        <f t="shared" ref="U47:U58" si="39">ABS(C47-T47)</f>
        <v>154.27577199999996</v>
      </c>
    </row>
    <row r="48" spans="2:22" ht="17" x14ac:dyDescent="0.2">
      <c r="B48" s="18" t="s">
        <v>53</v>
      </c>
      <c r="C48" s="22">
        <v>1050</v>
      </c>
      <c r="D48" s="40">
        <f t="shared" si="31"/>
        <v>7</v>
      </c>
      <c r="E48" s="29">
        <f t="shared" si="26"/>
        <v>916.66666666666663</v>
      </c>
      <c r="F48" s="30">
        <f t="shared" si="34"/>
        <v>805.55555555555554</v>
      </c>
      <c r="G48" s="30">
        <f t="shared" si="35"/>
        <v>1027.7777777777778</v>
      </c>
      <c r="H48" s="31">
        <f t="shared" si="36"/>
        <v>111.11111111111109</v>
      </c>
      <c r="I48" s="30">
        <f t="shared" ref="I48:I58" si="40">G47+(H47*1)</f>
        <v>1000</v>
      </c>
      <c r="J48" s="30">
        <f t="shared" si="37"/>
        <v>50</v>
      </c>
      <c r="K48" s="40">
        <f t="shared" si="32"/>
        <v>7</v>
      </c>
      <c r="L48" s="31">
        <f t="shared" si="21"/>
        <v>930.03936216799991</v>
      </c>
      <c r="M48" s="31">
        <f t="shared" si="22"/>
        <v>107.18538141119998</v>
      </c>
      <c r="N48" s="30">
        <f t="shared" si="27"/>
        <v>878.62766023999995</v>
      </c>
      <c r="O48" s="31">
        <f t="shared" si="38"/>
        <v>171.37233976000005</v>
      </c>
      <c r="P48" s="40">
        <f t="shared" si="33"/>
        <v>7</v>
      </c>
      <c r="Q48" s="31">
        <f t="shared" si="28"/>
        <v>930.03936216799991</v>
      </c>
      <c r="R48" s="28">
        <f t="shared" si="29"/>
        <v>107.18538141119998</v>
      </c>
      <c r="S48" s="42">
        <f t="shared" si="24"/>
        <v>1.0644922369481016</v>
      </c>
      <c r="T48" s="43">
        <f t="shared" si="30"/>
        <v>878.62766023999995</v>
      </c>
      <c r="U48" s="31">
        <f t="shared" si="39"/>
        <v>171.37233976000005</v>
      </c>
    </row>
    <row r="49" spans="2:21" ht="17" x14ac:dyDescent="0.2">
      <c r="B49" s="18" t="s">
        <v>54</v>
      </c>
      <c r="C49" s="22">
        <v>1200</v>
      </c>
      <c r="D49" s="40">
        <f t="shared" si="31"/>
        <v>8</v>
      </c>
      <c r="E49" s="29">
        <f t="shared" si="26"/>
        <v>1050</v>
      </c>
      <c r="F49" s="30">
        <f t="shared" si="34"/>
        <v>922.22222222222217</v>
      </c>
      <c r="G49" s="30">
        <f t="shared" si="35"/>
        <v>1177.7777777777778</v>
      </c>
      <c r="H49" s="31">
        <f t="shared" si="36"/>
        <v>127.77777777777783</v>
      </c>
      <c r="I49" s="30">
        <f t="shared" si="40"/>
        <v>1138.8888888888889</v>
      </c>
      <c r="J49" s="30">
        <f t="shared" si="37"/>
        <v>61.111111111111086</v>
      </c>
      <c r="K49" s="40">
        <f t="shared" si="32"/>
        <v>8</v>
      </c>
      <c r="L49" s="31">
        <f t="shared" si="21"/>
        <v>1086.0573205054397</v>
      </c>
      <c r="M49" s="31">
        <f t="shared" si="22"/>
        <v>126.71841218169592</v>
      </c>
      <c r="N49" s="30">
        <f t="shared" si="27"/>
        <v>1037.2247435791999</v>
      </c>
      <c r="O49" s="31">
        <f t="shared" si="38"/>
        <v>162.77525642080013</v>
      </c>
      <c r="P49" s="40">
        <f t="shared" si="33"/>
        <v>8</v>
      </c>
      <c r="Q49" s="31">
        <f t="shared" si="28"/>
        <v>1066.1100909539887</v>
      </c>
      <c r="R49" s="28">
        <f t="shared" si="29"/>
        <v>118.7395203611155</v>
      </c>
      <c r="S49" s="42">
        <f t="shared" si="24"/>
        <v>1.0921232688907774</v>
      </c>
      <c r="T49" s="43">
        <f t="shared" si="30"/>
        <v>1098.0675358003261</v>
      </c>
      <c r="U49" s="31">
        <f t="shared" si="39"/>
        <v>101.93246419967386</v>
      </c>
    </row>
    <row r="50" spans="2:21" ht="17" x14ac:dyDescent="0.2">
      <c r="B50" s="18" t="s">
        <v>55</v>
      </c>
      <c r="C50" s="22">
        <v>1350</v>
      </c>
      <c r="D50" s="40">
        <f t="shared" si="31"/>
        <v>9</v>
      </c>
      <c r="E50" s="29">
        <f t="shared" si="26"/>
        <v>1200</v>
      </c>
      <c r="F50" s="30">
        <f t="shared" si="34"/>
        <v>1055.5555555555554</v>
      </c>
      <c r="G50" s="30">
        <f t="shared" si="35"/>
        <v>1344.4444444444446</v>
      </c>
      <c r="H50" s="31">
        <f t="shared" si="36"/>
        <v>144.44444444444457</v>
      </c>
      <c r="I50" s="30">
        <f t="shared" si="40"/>
        <v>1305.5555555555557</v>
      </c>
      <c r="J50" s="30">
        <f t="shared" si="37"/>
        <v>44.444444444444343</v>
      </c>
      <c r="K50" s="40">
        <f t="shared" si="32"/>
        <v>9</v>
      </c>
      <c r="L50" s="31">
        <f t="shared" si="21"/>
        <v>1253.943012880995</v>
      </c>
      <c r="M50" s="31">
        <f t="shared" si="22"/>
        <v>143.18532425923962</v>
      </c>
      <c r="N50" s="30">
        <f t="shared" si="27"/>
        <v>1212.7757326871356</v>
      </c>
      <c r="O50" s="31">
        <f t="shared" si="38"/>
        <v>137.22426731286441</v>
      </c>
      <c r="P50" s="40">
        <f t="shared" si="33"/>
        <v>9</v>
      </c>
      <c r="Q50" s="31">
        <f t="shared" si="28"/>
        <v>1197.3957283298312</v>
      </c>
      <c r="R50" s="28">
        <f t="shared" si="29"/>
        <v>123.7579671670063</v>
      </c>
      <c r="S50" s="42">
        <f t="shared" si="24"/>
        <v>1.1139936506353518</v>
      </c>
      <c r="T50" s="43">
        <f t="shared" si="30"/>
        <v>1303.9749675923561</v>
      </c>
      <c r="U50" s="31">
        <f t="shared" si="39"/>
        <v>46.025032407643948</v>
      </c>
    </row>
    <row r="51" spans="2:21" ht="17" x14ac:dyDescent="0.2">
      <c r="B51" s="18" t="s">
        <v>56</v>
      </c>
      <c r="C51" s="22">
        <v>1550</v>
      </c>
      <c r="D51" s="40">
        <f t="shared" si="31"/>
        <v>10</v>
      </c>
      <c r="E51" s="29">
        <f t="shared" si="26"/>
        <v>1366.6666666666667</v>
      </c>
      <c r="F51" s="30">
        <f t="shared" si="34"/>
        <v>1205.5555555555557</v>
      </c>
      <c r="G51" s="30">
        <f t="shared" si="35"/>
        <v>1527.7777777777778</v>
      </c>
      <c r="H51" s="31">
        <f t="shared" si="36"/>
        <v>161.11111111111109</v>
      </c>
      <c r="I51" s="30">
        <f t="shared" si="40"/>
        <v>1488.8888888888891</v>
      </c>
      <c r="J51" s="30">
        <f t="shared" si="37"/>
        <v>61.111111111110858</v>
      </c>
      <c r="K51" s="40">
        <f t="shared" si="32"/>
        <v>10</v>
      </c>
      <c r="L51" s="31">
        <f t="shared" si="21"/>
        <v>1442.9898359981642</v>
      </c>
      <c r="M51" s="31">
        <f t="shared" si="22"/>
        <v>161.52992380241147</v>
      </c>
      <c r="N51" s="30">
        <f t="shared" si="27"/>
        <v>1397.1283371402346</v>
      </c>
      <c r="O51" s="31">
        <f t="shared" si="38"/>
        <v>152.87166285976537</v>
      </c>
      <c r="P51" s="40">
        <f t="shared" si="33"/>
        <v>10</v>
      </c>
      <c r="Q51" s="31">
        <f t="shared" si="28"/>
        <v>1345.433459767157</v>
      </c>
      <c r="R51" s="28">
        <f t="shared" si="29"/>
        <v>133.46987287513412</v>
      </c>
      <c r="S51" s="42">
        <f t="shared" si="24"/>
        <v>1.1287702792948981</v>
      </c>
      <c r="T51" s="43">
        <f t="shared" si="30"/>
        <v>1460.5294347259291</v>
      </c>
      <c r="U51" s="31">
        <f t="shared" si="39"/>
        <v>89.47056527407085</v>
      </c>
    </row>
    <row r="52" spans="2:21" ht="17" x14ac:dyDescent="0.2">
      <c r="B52" s="18" t="s">
        <v>57</v>
      </c>
      <c r="C52" s="22">
        <v>1800</v>
      </c>
      <c r="D52" s="40">
        <f t="shared" si="31"/>
        <v>11</v>
      </c>
      <c r="E52" s="29">
        <f t="shared" si="26"/>
        <v>1566.6666666666667</v>
      </c>
      <c r="F52" s="30">
        <f t="shared" si="34"/>
        <v>1377.7777777777781</v>
      </c>
      <c r="G52" s="30">
        <f t="shared" si="35"/>
        <v>1755.5555555555554</v>
      </c>
      <c r="H52" s="31">
        <f t="shared" si="36"/>
        <v>188.88888888888869</v>
      </c>
      <c r="I52" s="30">
        <f t="shared" si="40"/>
        <v>1688.8888888888889</v>
      </c>
      <c r="J52" s="30">
        <f t="shared" si="37"/>
        <v>111.11111111111109</v>
      </c>
      <c r="K52" s="40">
        <f t="shared" si="32"/>
        <v>11</v>
      </c>
      <c r="L52" s="31">
        <f t="shared" si="21"/>
        <v>1663.163831860403</v>
      </c>
      <c r="M52" s="31">
        <f t="shared" si="22"/>
        <v>184.98755262634242</v>
      </c>
      <c r="N52" s="30">
        <f t="shared" si="27"/>
        <v>1604.5197598005757</v>
      </c>
      <c r="O52" s="31">
        <f t="shared" si="38"/>
        <v>195.48024019942432</v>
      </c>
      <c r="P52" s="40">
        <f t="shared" si="33"/>
        <v>11</v>
      </c>
      <c r="Q52" s="31">
        <f t="shared" si="28"/>
        <v>1530.5069119890832</v>
      </c>
      <c r="R52" s="28">
        <f t="shared" si="29"/>
        <v>154.1113046138509</v>
      </c>
      <c r="S52" s="42">
        <f t="shared" si="24"/>
        <v>1.1331926141270372</v>
      </c>
      <c r="T52" s="43">
        <f t="shared" si="30"/>
        <v>1612.4546529611671</v>
      </c>
      <c r="U52" s="31">
        <f t="shared" si="39"/>
        <v>187.54534703883292</v>
      </c>
    </row>
    <row r="53" spans="2:21" ht="17" x14ac:dyDescent="0.2">
      <c r="B53" s="18" t="s">
        <v>58</v>
      </c>
      <c r="C53" s="22">
        <v>2000</v>
      </c>
      <c r="D53" s="40">
        <f t="shared" si="31"/>
        <v>12</v>
      </c>
      <c r="E53" s="29">
        <f t="shared" si="26"/>
        <v>1783.3333333333333</v>
      </c>
      <c r="F53" s="30">
        <f t="shared" si="34"/>
        <v>1572.2222222222224</v>
      </c>
      <c r="G53" s="30">
        <f t="shared" si="35"/>
        <v>1994.4444444444441</v>
      </c>
      <c r="H53" s="31">
        <f t="shared" si="36"/>
        <v>211.11111111111086</v>
      </c>
      <c r="I53" s="30">
        <f t="shared" si="40"/>
        <v>1944.4444444444441</v>
      </c>
      <c r="J53" s="30">
        <f t="shared" si="37"/>
        <v>55.555555555555884</v>
      </c>
      <c r="K53" s="40">
        <f t="shared" si="32"/>
        <v>12</v>
      </c>
      <c r="L53" s="31">
        <f t="shared" si="21"/>
        <v>1893.7059691407217</v>
      </c>
      <c r="M53" s="31">
        <f t="shared" si="22"/>
        <v>203.20938648793293</v>
      </c>
      <c r="N53" s="30">
        <f t="shared" si="27"/>
        <v>1848.1513844867454</v>
      </c>
      <c r="O53" s="31">
        <f t="shared" si="38"/>
        <v>151.84861551325457</v>
      </c>
      <c r="P53" s="40">
        <f t="shared" si="33"/>
        <v>12</v>
      </c>
      <c r="Q53" s="31">
        <f t="shared" si="28"/>
        <v>1740.937504742385</v>
      </c>
      <c r="R53" s="28">
        <f t="shared" si="29"/>
        <v>176.63901986963128</v>
      </c>
      <c r="S53" s="42">
        <f t="shared" si="24"/>
        <v>1.1084915703525302</v>
      </c>
      <c r="T53" s="43">
        <f t="shared" si="30"/>
        <v>1799.4701386214338</v>
      </c>
      <c r="U53" s="31">
        <f t="shared" si="39"/>
        <v>200.52986137856624</v>
      </c>
    </row>
    <row r="54" spans="2:21" ht="17" x14ac:dyDescent="0.2">
      <c r="B54" s="18" t="s">
        <v>59</v>
      </c>
      <c r="C54" s="22">
        <v>2300</v>
      </c>
      <c r="D54" s="40">
        <f t="shared" si="31"/>
        <v>13</v>
      </c>
      <c r="E54" s="29">
        <f t="shared" si="26"/>
        <v>2033.3333333333333</v>
      </c>
      <c r="F54" s="30">
        <f t="shared" si="34"/>
        <v>1794.4444444444443</v>
      </c>
      <c r="G54" s="30">
        <f t="shared" si="35"/>
        <v>2272.2222222222222</v>
      </c>
      <c r="H54" s="31">
        <f t="shared" si="36"/>
        <v>238.88888888888891</v>
      </c>
      <c r="I54" s="30">
        <f t="shared" si="40"/>
        <v>2205.5555555555547</v>
      </c>
      <c r="J54" s="30">
        <f t="shared" si="37"/>
        <v>94.444444444445253</v>
      </c>
      <c r="K54" s="40">
        <f t="shared" si="32"/>
        <v>13</v>
      </c>
      <c r="L54" s="31">
        <f t="shared" si="21"/>
        <v>2157.8407489400579</v>
      </c>
      <c r="M54" s="31">
        <f t="shared" si="22"/>
        <v>227.57954381249425</v>
      </c>
      <c r="N54" s="30">
        <f t="shared" si="27"/>
        <v>2096.9153556286547</v>
      </c>
      <c r="O54" s="31">
        <f t="shared" si="38"/>
        <v>203.08464437134535</v>
      </c>
      <c r="P54" s="40">
        <f t="shared" si="33"/>
        <v>13</v>
      </c>
      <c r="Q54" s="31">
        <f t="shared" si="28"/>
        <v>1990.4999335807197</v>
      </c>
      <c r="R54" s="28">
        <f t="shared" si="29"/>
        <v>205.80838345711265</v>
      </c>
      <c r="S54" s="42">
        <f t="shared" si="24"/>
        <v>1.1099904231077413</v>
      </c>
      <c r="T54" s="43">
        <f t="shared" si="30"/>
        <v>2041.2453242034117</v>
      </c>
      <c r="U54" s="31">
        <f t="shared" si="39"/>
        <v>258.75467579658834</v>
      </c>
    </row>
    <row r="55" spans="2:21" ht="17" x14ac:dyDescent="0.2">
      <c r="B55" s="18" t="s">
        <v>60</v>
      </c>
      <c r="C55" s="22">
        <v>2650</v>
      </c>
      <c r="D55" s="40">
        <f t="shared" si="31"/>
        <v>14</v>
      </c>
      <c r="E55" s="29">
        <f t="shared" si="26"/>
        <v>2316.6666666666665</v>
      </c>
      <c r="F55" s="30">
        <f t="shared" si="34"/>
        <v>2044.4444444444443</v>
      </c>
      <c r="G55" s="30">
        <f t="shared" si="35"/>
        <v>2588.8888888888887</v>
      </c>
      <c r="H55" s="31">
        <f t="shared" si="36"/>
        <v>272.22222222222217</v>
      </c>
      <c r="I55" s="30">
        <f t="shared" si="40"/>
        <v>2511.1111111111113</v>
      </c>
      <c r="J55" s="30">
        <f t="shared" si="37"/>
        <v>138.88888888888869</v>
      </c>
      <c r="K55" s="40">
        <f t="shared" si="32"/>
        <v>14</v>
      </c>
      <c r="L55" s="31">
        <f t="shared" si="21"/>
        <v>2464.7942049267863</v>
      </c>
      <c r="M55" s="31">
        <f t="shared" si="22"/>
        <v>259.32910868218789</v>
      </c>
      <c r="N55" s="30">
        <f t="shared" si="27"/>
        <v>2385.4202927525521</v>
      </c>
      <c r="O55" s="31">
        <f t="shared" si="38"/>
        <v>264.57970724744791</v>
      </c>
      <c r="P55" s="40">
        <f t="shared" si="33"/>
        <v>14</v>
      </c>
      <c r="Q55" s="31">
        <f t="shared" si="28"/>
        <v>2265.3556274829079</v>
      </c>
      <c r="R55" s="28">
        <f t="shared" si="29"/>
        <v>233.42730763514288</v>
      </c>
      <c r="S55" s="42">
        <f t="shared" si="24"/>
        <v>1.1309587622629049</v>
      </c>
      <c r="T55" s="43">
        <f t="shared" si="30"/>
        <v>2398.6394186953594</v>
      </c>
      <c r="U55" s="31">
        <f t="shared" si="39"/>
        <v>251.36058130464062</v>
      </c>
    </row>
    <row r="56" spans="2:21" ht="17" x14ac:dyDescent="0.2">
      <c r="B56" s="18" t="s">
        <v>61</v>
      </c>
      <c r="C56" s="22">
        <v>3000</v>
      </c>
      <c r="D56" s="40">
        <f t="shared" si="31"/>
        <v>15</v>
      </c>
      <c r="E56" s="29">
        <f t="shared" si="26"/>
        <v>2650</v>
      </c>
      <c r="F56" s="30">
        <f t="shared" si="34"/>
        <v>2333.3333333333335</v>
      </c>
      <c r="G56" s="30">
        <f t="shared" si="35"/>
        <v>2966.6666666666665</v>
      </c>
      <c r="H56" s="31">
        <f t="shared" si="36"/>
        <v>316.66666666666652</v>
      </c>
      <c r="I56" s="30">
        <f t="shared" si="40"/>
        <v>2861.1111111111109</v>
      </c>
      <c r="J56" s="30">
        <f t="shared" si="37"/>
        <v>138.88888888888914</v>
      </c>
      <c r="K56" s="40">
        <f t="shared" si="32"/>
        <v>15</v>
      </c>
      <c r="L56" s="31">
        <f t="shared" si="21"/>
        <v>2806.886319526282</v>
      </c>
      <c r="M56" s="31">
        <f t="shared" si="22"/>
        <v>292.43431104911105</v>
      </c>
      <c r="N56" s="30">
        <f t="shared" si="27"/>
        <v>2724.1233136089741</v>
      </c>
      <c r="O56" s="31">
        <f t="shared" si="38"/>
        <v>275.87668639102594</v>
      </c>
      <c r="P56" s="40">
        <f t="shared" si="33"/>
        <v>15</v>
      </c>
      <c r="Q56" s="31">
        <f t="shared" si="28"/>
        <v>2557.052120720442</v>
      </c>
      <c r="R56" s="28">
        <f t="shared" si="29"/>
        <v>256.73498187609937</v>
      </c>
      <c r="S56" s="42">
        <f t="shared" si="24"/>
        <v>1.1436098191808513</v>
      </c>
      <c r="T56" s="43">
        <f t="shared" si="30"/>
        <v>2783.6283240374769</v>
      </c>
      <c r="U56" s="31">
        <f t="shared" si="39"/>
        <v>216.37167596252311</v>
      </c>
    </row>
    <row r="57" spans="2:21" ht="17" x14ac:dyDescent="0.2">
      <c r="B57" s="18" t="s">
        <v>62</v>
      </c>
      <c r="C57" s="22">
        <v>3500</v>
      </c>
      <c r="D57" s="40">
        <f t="shared" si="31"/>
        <v>16</v>
      </c>
      <c r="E57" s="29">
        <f t="shared" si="26"/>
        <v>3050</v>
      </c>
      <c r="F57" s="30">
        <f t="shared" si="34"/>
        <v>2672.2222222222222</v>
      </c>
      <c r="G57" s="30">
        <f t="shared" si="35"/>
        <v>3427.7777777777778</v>
      </c>
      <c r="H57" s="31">
        <f t="shared" si="36"/>
        <v>377.77777777777783</v>
      </c>
      <c r="I57" s="30">
        <f t="shared" si="40"/>
        <v>3283.333333333333</v>
      </c>
      <c r="J57" s="30">
        <f t="shared" si="37"/>
        <v>216.66666666666697</v>
      </c>
      <c r="K57" s="40">
        <f t="shared" si="32"/>
        <v>16</v>
      </c>
      <c r="L57" s="31">
        <f t="shared" si="21"/>
        <v>3219.5244414027748</v>
      </c>
      <c r="M57" s="31">
        <f t="shared" si="22"/>
        <v>340.51583538006378</v>
      </c>
      <c r="N57" s="30">
        <f t="shared" si="27"/>
        <v>3099.3206305753929</v>
      </c>
      <c r="O57" s="31">
        <f t="shared" si="38"/>
        <v>400.6793694246071</v>
      </c>
      <c r="P57" s="40">
        <f t="shared" si="33"/>
        <v>16</v>
      </c>
      <c r="Q57" s="31">
        <f t="shared" si="28"/>
        <v>2899.8668175571538</v>
      </c>
      <c r="R57" s="28">
        <f t="shared" si="29"/>
        <v>291.16686786034438</v>
      </c>
      <c r="S57" s="42">
        <f t="shared" si="24"/>
        <v>1.1678611301324877</v>
      </c>
      <c r="T57" s="43">
        <f t="shared" si="30"/>
        <v>3176.1192536742801</v>
      </c>
      <c r="U57" s="31">
        <f t="shared" si="39"/>
        <v>323.88074632571988</v>
      </c>
    </row>
    <row r="58" spans="2:21" ht="17" x14ac:dyDescent="0.2">
      <c r="B58" s="18" t="s">
        <v>63</v>
      </c>
      <c r="C58" s="22">
        <v>4000</v>
      </c>
      <c r="D58" s="40">
        <f t="shared" si="31"/>
        <v>17</v>
      </c>
      <c r="E58" s="29">
        <f t="shared" si="26"/>
        <v>3500</v>
      </c>
      <c r="F58" s="30">
        <f t="shared" si="34"/>
        <v>3066.6666666666665</v>
      </c>
      <c r="G58" s="30">
        <f t="shared" si="35"/>
        <v>3933.3333333333335</v>
      </c>
      <c r="H58" s="31">
        <f t="shared" si="36"/>
        <v>433.33333333333348</v>
      </c>
      <c r="I58" s="30">
        <f t="shared" si="40"/>
        <v>3805.5555555555557</v>
      </c>
      <c r="J58" s="30">
        <f t="shared" si="37"/>
        <v>194.44444444444434</v>
      </c>
      <c r="K58" s="40">
        <f t="shared" si="32"/>
        <v>17</v>
      </c>
      <c r="L58" s="31">
        <f t="shared" si="21"/>
        <v>3692.0281937479867</v>
      </c>
      <c r="M58" s="31">
        <f t="shared" si="22"/>
        <v>393.3110021661231</v>
      </c>
      <c r="N58" s="30">
        <f t="shared" si="27"/>
        <v>3560.0402767828386</v>
      </c>
      <c r="O58" s="31">
        <f t="shared" si="38"/>
        <v>439.95972321716135</v>
      </c>
      <c r="P58" s="40">
        <f t="shared" si="33"/>
        <v>17</v>
      </c>
      <c r="Q58" s="31">
        <f t="shared" si="28"/>
        <v>3292.6785933001934</v>
      </c>
      <c r="R58" s="28">
        <f t="shared" si="29"/>
        <v>331.82483101342245</v>
      </c>
      <c r="S58" s="42">
        <f t="shared" si="24"/>
        <v>1.1740045138862305</v>
      </c>
      <c r="T58" s="43">
        <f t="shared" si="30"/>
        <v>3616.0558037456885</v>
      </c>
      <c r="U58" s="31">
        <f t="shared" si="39"/>
        <v>383.94419625431146</v>
      </c>
    </row>
    <row r="59" spans="2:21" ht="17" x14ac:dyDescent="0.2">
      <c r="B59" s="23" t="s">
        <v>64</v>
      </c>
      <c r="D59" s="40">
        <f t="shared" si="31"/>
        <v>18</v>
      </c>
      <c r="E59" s="21"/>
      <c r="I59" s="32">
        <f>$G$26+($H$26*1)</f>
        <v>1505.5555555555554</v>
      </c>
      <c r="J59" s="33"/>
      <c r="K59" s="40">
        <f t="shared" si="32"/>
        <v>18</v>
      </c>
      <c r="N59" s="32">
        <f>$L$26+(1*$M$26)</f>
        <v>1421.9461920518595</v>
      </c>
      <c r="P59" s="40">
        <f t="shared" si="33"/>
        <v>18</v>
      </c>
      <c r="T59" s="44">
        <f>(Q53+(6*R53))*S53</f>
        <v>3104.6317356424183</v>
      </c>
    </row>
    <row r="60" spans="2:21" ht="17" x14ac:dyDescent="0.2">
      <c r="B60" s="23" t="s">
        <v>65</v>
      </c>
      <c r="D60" s="40">
        <f t="shared" si="31"/>
        <v>19</v>
      </c>
      <c r="E60" s="21"/>
      <c r="I60" s="32">
        <f>$G$26+($H$26*2)</f>
        <v>1599.9999999999998</v>
      </c>
      <c r="J60" s="33"/>
      <c r="K60" s="40">
        <f t="shared" si="32"/>
        <v>19</v>
      </c>
      <c r="N60" s="32">
        <f>$L$26+(2*$M$26)</f>
        <v>1486.3782852138138</v>
      </c>
      <c r="P60" s="40">
        <f t="shared" si="33"/>
        <v>19</v>
      </c>
      <c r="T60" s="44">
        <f t="shared" ref="T60" si="41">(Q54+(6*R54))*S54</f>
        <v>3580.1078712672788</v>
      </c>
    </row>
    <row r="61" spans="2:21" ht="17" x14ac:dyDescent="0.2">
      <c r="B61" s="23" t="s">
        <v>66</v>
      </c>
      <c r="D61" s="40">
        <f t="shared" si="31"/>
        <v>20</v>
      </c>
      <c r="I61" s="32">
        <f>$G$26+($H$26*3)</f>
        <v>1694.4444444444441</v>
      </c>
      <c r="J61" s="33"/>
      <c r="K61" s="40">
        <f t="shared" si="32"/>
        <v>20</v>
      </c>
      <c r="N61" s="32">
        <f>$L$26+(3*$M$26)</f>
        <v>1550.8103783757681</v>
      </c>
      <c r="P61" s="40">
        <f t="shared" si="33"/>
        <v>20</v>
      </c>
      <c r="T61" s="44">
        <f>(Q55+(6*R55))*S55</f>
        <v>4146.0037500717972</v>
      </c>
    </row>
    <row r="63" spans="2:21" x14ac:dyDescent="0.2">
      <c r="J63" s="46">
        <f>AVERAGE(J47:J58)</f>
        <v>97.685185185185262</v>
      </c>
      <c r="O63" s="34">
        <f>AVERAGE(O47:O58)</f>
        <v>225.83569039314136</v>
      </c>
      <c r="U63" s="34">
        <f>AVERAGE(U47:U58)</f>
        <v>198.7886048085476</v>
      </c>
    </row>
    <row r="64" spans="2:21" x14ac:dyDescent="0.2">
      <c r="J64" s="45"/>
      <c r="O64" s="45"/>
      <c r="U64" s="45"/>
    </row>
    <row r="65" spans="2:22" x14ac:dyDescent="0.2">
      <c r="J65" s="45"/>
      <c r="O65" s="45"/>
      <c r="U65" s="45"/>
    </row>
    <row r="66" spans="2:22" x14ac:dyDescent="0.2">
      <c r="J66" s="45"/>
      <c r="O66" s="45"/>
      <c r="U66" s="45"/>
    </row>
    <row r="67" spans="2:22" x14ac:dyDescent="0.2">
      <c r="J67" s="45"/>
      <c r="O67" s="45"/>
      <c r="Q67" s="26" t="s">
        <v>82</v>
      </c>
      <c r="S67" s="39" t="s">
        <v>84</v>
      </c>
      <c r="T67" s="39">
        <v>6</v>
      </c>
    </row>
    <row r="68" spans="2:22" x14ac:dyDescent="0.2">
      <c r="J68" s="45"/>
      <c r="O68" s="45"/>
      <c r="P68" s="39" t="s">
        <v>85</v>
      </c>
      <c r="Q68" s="38" t="s">
        <v>79</v>
      </c>
      <c r="R68" s="38" t="s">
        <v>80</v>
      </c>
      <c r="S68" s="38" t="s">
        <v>83</v>
      </c>
      <c r="T68" s="38" t="s">
        <v>27</v>
      </c>
      <c r="U68" s="38" t="s">
        <v>81</v>
      </c>
    </row>
    <row r="69" spans="2:22" ht="17" x14ac:dyDescent="0.2">
      <c r="J69" s="45"/>
      <c r="O69" s="45"/>
      <c r="P69" s="39">
        <v>-5</v>
      </c>
      <c r="S69" s="41">
        <v>1</v>
      </c>
      <c r="V69" s="18" t="s">
        <v>87</v>
      </c>
    </row>
    <row r="70" spans="2:22" ht="17" x14ac:dyDescent="0.2">
      <c r="J70" s="45"/>
      <c r="O70" s="45"/>
      <c r="P70" s="39">
        <v>-4</v>
      </c>
      <c r="S70" s="41">
        <v>1</v>
      </c>
      <c r="V70" s="18" t="s">
        <v>88</v>
      </c>
    </row>
    <row r="71" spans="2:22" ht="17" x14ac:dyDescent="0.2">
      <c r="J71" s="45"/>
      <c r="O71" s="45"/>
      <c r="P71" s="39">
        <v>-3</v>
      </c>
      <c r="S71" s="41">
        <v>1</v>
      </c>
      <c r="V71" s="18" t="s">
        <v>89</v>
      </c>
    </row>
    <row r="72" spans="2:22" ht="17" x14ac:dyDescent="0.2">
      <c r="J72" s="45"/>
      <c r="O72" s="45"/>
      <c r="P72" s="39">
        <v>-2</v>
      </c>
      <c r="S72" s="41">
        <v>1</v>
      </c>
      <c r="V72" s="18" t="s">
        <v>90</v>
      </c>
    </row>
    <row r="73" spans="2:22" ht="17" x14ac:dyDescent="0.2">
      <c r="E73" s="6" t="s">
        <v>71</v>
      </c>
      <c r="G73" s="8" t="s">
        <v>77</v>
      </c>
      <c r="H73" s="8">
        <v>3</v>
      </c>
      <c r="L73" s="26" t="s">
        <v>78</v>
      </c>
      <c r="P73" s="39">
        <v>-1</v>
      </c>
      <c r="S73" s="41">
        <v>1</v>
      </c>
      <c r="V73" s="18" t="s">
        <v>91</v>
      </c>
    </row>
    <row r="74" spans="2:22" ht="17" x14ac:dyDescent="0.2">
      <c r="B74" s="19" t="s">
        <v>43</v>
      </c>
      <c r="C74" s="19" t="s">
        <v>46</v>
      </c>
      <c r="D74" s="19" t="s">
        <v>85</v>
      </c>
      <c r="E74" s="35" t="s">
        <v>72</v>
      </c>
      <c r="F74" s="36" t="s">
        <v>73</v>
      </c>
      <c r="G74" s="37" t="s">
        <v>75</v>
      </c>
      <c r="H74" s="37" t="s">
        <v>76</v>
      </c>
      <c r="I74" s="37" t="s">
        <v>27</v>
      </c>
      <c r="J74" s="37" t="s">
        <v>81</v>
      </c>
      <c r="K74" s="19" t="s">
        <v>85</v>
      </c>
      <c r="L74" s="37" t="s">
        <v>79</v>
      </c>
      <c r="M74" s="37" t="s">
        <v>80</v>
      </c>
      <c r="N74" s="37" t="s">
        <v>27</v>
      </c>
      <c r="O74" s="37" t="s">
        <v>81</v>
      </c>
      <c r="P74" s="19">
        <v>0</v>
      </c>
      <c r="S74" s="41">
        <v>1</v>
      </c>
      <c r="V74" s="18" t="s">
        <v>86</v>
      </c>
    </row>
    <row r="75" spans="2:22" ht="17" x14ac:dyDescent="0.2">
      <c r="B75" s="18" t="s">
        <v>47</v>
      </c>
      <c r="C75" s="22">
        <v>400</v>
      </c>
      <c r="D75" s="40">
        <v>1</v>
      </c>
      <c r="E75" s="27" t="s">
        <v>32</v>
      </c>
      <c r="F75" s="28" t="s">
        <v>32</v>
      </c>
      <c r="G75" s="28" t="s">
        <v>32</v>
      </c>
      <c r="H75" s="28" t="s">
        <v>32</v>
      </c>
      <c r="I75" s="28" t="s">
        <v>32</v>
      </c>
      <c r="J75" s="28" t="s">
        <v>32</v>
      </c>
      <c r="K75" s="40">
        <v>1</v>
      </c>
      <c r="L75" s="28">
        <f>C75</f>
        <v>400</v>
      </c>
      <c r="M75" s="28">
        <v>0</v>
      </c>
      <c r="N75" s="30">
        <v>0</v>
      </c>
      <c r="O75" s="28" t="s">
        <v>32</v>
      </c>
      <c r="P75" s="40">
        <v>1</v>
      </c>
      <c r="Q75" s="28">
        <f>C75</f>
        <v>400</v>
      </c>
      <c r="R75" s="28">
        <v>0</v>
      </c>
      <c r="S75" s="41">
        <v>1</v>
      </c>
      <c r="T75" s="41">
        <v>0</v>
      </c>
      <c r="U75" s="28" t="s">
        <v>32</v>
      </c>
    </row>
    <row r="76" spans="2:22" ht="17" x14ac:dyDescent="0.2">
      <c r="B76" s="18" t="s">
        <v>48</v>
      </c>
      <c r="C76" s="22">
        <v>550</v>
      </c>
      <c r="D76" s="40">
        <v>2</v>
      </c>
      <c r="E76" s="27" t="s">
        <v>32</v>
      </c>
      <c r="F76" s="28" t="s">
        <v>32</v>
      </c>
      <c r="G76" s="28" t="s">
        <v>32</v>
      </c>
      <c r="H76" s="28" t="s">
        <v>32</v>
      </c>
      <c r="I76" s="28" t="s">
        <v>32</v>
      </c>
      <c r="J76" s="28" t="s">
        <v>32</v>
      </c>
      <c r="K76" s="40">
        <v>2</v>
      </c>
      <c r="L76" s="31">
        <f t="shared" ref="L76:L91" si="42">($C$5*C76)+((1-$C$5)*(L75+M75))</f>
        <v>445</v>
      </c>
      <c r="M76" s="31">
        <f t="shared" ref="M76:M91" si="43">($C$6*(L76-L75))+((1-$C$6)*M75)</f>
        <v>18</v>
      </c>
      <c r="N76" s="30">
        <f>L75+(1*M75)</f>
        <v>400</v>
      </c>
      <c r="O76" s="31">
        <f t="shared" ref="O76:O79" si="44">ABS(C76-N76)</f>
        <v>150</v>
      </c>
      <c r="P76" s="40">
        <v>2</v>
      </c>
      <c r="Q76" s="31">
        <f>($C$5*(C76/S70))+((1-$C$5)*(Q75+R75))</f>
        <v>445</v>
      </c>
      <c r="R76" s="28">
        <f>($C$6*(Q76-Q75))+((1-$C$6)*R75)</f>
        <v>18</v>
      </c>
      <c r="S76" s="42">
        <f t="shared" ref="S76:S91" si="45">($C$7*(C76/Q76))+((1-$C$7)*S70)</f>
        <v>1.1179775280898876</v>
      </c>
      <c r="T76" s="43">
        <f>(Q75+(1*R75))*S70</f>
        <v>400</v>
      </c>
      <c r="U76" s="31">
        <f t="shared" ref="U76:U79" si="46">ABS(C76-T76)</f>
        <v>150</v>
      </c>
    </row>
    <row r="77" spans="2:22" ht="17" x14ac:dyDescent="0.2">
      <c r="B77" s="18" t="s">
        <v>49</v>
      </c>
      <c r="C77" s="22">
        <v>350</v>
      </c>
      <c r="D77" s="40">
        <v>3</v>
      </c>
      <c r="E77" s="29">
        <f t="shared" ref="E77:E91" si="47">(C75+C76+C77)/3</f>
        <v>433.33333333333331</v>
      </c>
      <c r="F77" s="28" t="s">
        <v>32</v>
      </c>
      <c r="G77" s="28" t="s">
        <v>32</v>
      </c>
      <c r="H77" s="28" t="s">
        <v>32</v>
      </c>
      <c r="I77" s="28" t="s">
        <v>32</v>
      </c>
      <c r="J77" s="28" t="s">
        <v>32</v>
      </c>
      <c r="K77" s="40">
        <v>3</v>
      </c>
      <c r="L77" s="31">
        <f t="shared" si="42"/>
        <v>429.09999999999997</v>
      </c>
      <c r="M77" s="31">
        <f t="shared" si="43"/>
        <v>4.4399999999999853</v>
      </c>
      <c r="N77" s="30">
        <f t="shared" ref="N77:N91" si="48">L76+(1*M76)</f>
        <v>463</v>
      </c>
      <c r="O77" s="31">
        <f t="shared" si="44"/>
        <v>113</v>
      </c>
      <c r="P77" s="40">
        <v>3</v>
      </c>
      <c r="Q77" s="31">
        <f t="shared" ref="Q77:Q91" si="49">($C$5*(C77/S71))+((1-$C$5)*(Q76+R76))</f>
        <v>429.09999999999997</v>
      </c>
      <c r="R77" s="28">
        <f t="shared" ref="R77:R91" si="50">($C$6*(Q77-Q76))+((1-$C$6)*R76)</f>
        <v>4.4399999999999853</v>
      </c>
      <c r="S77" s="42">
        <f t="shared" si="45"/>
        <v>0.90783034257748785</v>
      </c>
      <c r="T77" s="43">
        <f t="shared" ref="T77:T91" si="51">(Q76+(1*R76))*S71</f>
        <v>463</v>
      </c>
      <c r="U77" s="31">
        <f t="shared" si="46"/>
        <v>113</v>
      </c>
    </row>
    <row r="78" spans="2:22" ht="17" x14ac:dyDescent="0.2">
      <c r="B78" s="18" t="s">
        <v>50</v>
      </c>
      <c r="C78" s="22">
        <v>250</v>
      </c>
      <c r="D78" s="40">
        <f>D77+1</f>
        <v>4</v>
      </c>
      <c r="E78" s="29">
        <f t="shared" si="47"/>
        <v>383.33333333333331</v>
      </c>
      <c r="F78" s="28" t="s">
        <v>74</v>
      </c>
      <c r="G78" s="28" t="s">
        <v>32</v>
      </c>
      <c r="H78" s="28" t="s">
        <v>32</v>
      </c>
      <c r="I78" s="28" t="s">
        <v>32</v>
      </c>
      <c r="J78" s="28" t="s">
        <v>32</v>
      </c>
      <c r="K78" s="40">
        <f>K77+1</f>
        <v>4</v>
      </c>
      <c r="L78" s="31">
        <f t="shared" si="42"/>
        <v>378.47799999999995</v>
      </c>
      <c r="M78" s="31">
        <f t="shared" si="43"/>
        <v>-17.584800000000016</v>
      </c>
      <c r="N78" s="30">
        <f t="shared" si="48"/>
        <v>433.53999999999996</v>
      </c>
      <c r="O78" s="31">
        <f t="shared" si="44"/>
        <v>183.53999999999996</v>
      </c>
      <c r="P78" s="40">
        <f>P77+1</f>
        <v>4</v>
      </c>
      <c r="Q78" s="31">
        <f t="shared" si="49"/>
        <v>378.47799999999995</v>
      </c>
      <c r="R78" s="28">
        <f t="shared" si="50"/>
        <v>-17.584800000000016</v>
      </c>
      <c r="S78" s="42">
        <f t="shared" si="45"/>
        <v>0.83027018743493675</v>
      </c>
      <c r="T78" s="43">
        <f t="shared" si="51"/>
        <v>433.53999999999996</v>
      </c>
      <c r="U78" s="31">
        <f t="shared" si="46"/>
        <v>183.53999999999996</v>
      </c>
    </row>
    <row r="79" spans="2:22" ht="17" x14ac:dyDescent="0.2">
      <c r="B79" s="18" t="s">
        <v>51</v>
      </c>
      <c r="C79" s="22">
        <v>550</v>
      </c>
      <c r="D79" s="40">
        <f t="shared" ref="D79:D94" si="52">D78+1</f>
        <v>5</v>
      </c>
      <c r="E79" s="29">
        <f t="shared" si="47"/>
        <v>383.33333333333331</v>
      </c>
      <c r="F79" s="30">
        <f>(E77+E78+E79)/3</f>
        <v>400</v>
      </c>
      <c r="G79" s="30">
        <f>(2*E79)-F79</f>
        <v>366.66666666666663</v>
      </c>
      <c r="H79" s="31">
        <f>(2/($H$8-1))*(E79-F79)</f>
        <v>-16.666666666666686</v>
      </c>
      <c r="I79" s="28" t="s">
        <v>32</v>
      </c>
      <c r="J79" s="28" t="s">
        <v>32</v>
      </c>
      <c r="K79" s="40">
        <f t="shared" ref="K79:K94" si="53">K78+1</f>
        <v>5</v>
      </c>
      <c r="L79" s="31">
        <f t="shared" si="42"/>
        <v>417.62523999999996</v>
      </c>
      <c r="M79" s="31">
        <f t="shared" si="43"/>
        <v>5.1080159999999974</v>
      </c>
      <c r="N79" s="30">
        <f t="shared" si="48"/>
        <v>360.89319999999992</v>
      </c>
      <c r="O79" s="31">
        <f t="shared" si="44"/>
        <v>189.10680000000008</v>
      </c>
      <c r="P79" s="40">
        <f t="shared" ref="P79:P94" si="54">P78+1</f>
        <v>5</v>
      </c>
      <c r="Q79" s="31">
        <f t="shared" si="49"/>
        <v>417.62523999999996</v>
      </c>
      <c r="R79" s="28">
        <f t="shared" si="50"/>
        <v>5.1080159999999974</v>
      </c>
      <c r="S79" s="42">
        <f t="shared" si="45"/>
        <v>1.158485104971146</v>
      </c>
      <c r="T79" s="43">
        <f t="shared" si="51"/>
        <v>360.89319999999992</v>
      </c>
      <c r="U79" s="31">
        <f t="shared" si="46"/>
        <v>189.10680000000008</v>
      </c>
    </row>
    <row r="80" spans="2:22" ht="17" x14ac:dyDescent="0.2">
      <c r="B80" s="18" t="s">
        <v>52</v>
      </c>
      <c r="C80" s="22">
        <v>550</v>
      </c>
      <c r="D80" s="40">
        <f t="shared" si="52"/>
        <v>6</v>
      </c>
      <c r="E80" s="29">
        <f t="shared" si="47"/>
        <v>450</v>
      </c>
      <c r="F80" s="30">
        <f t="shared" ref="F80:F91" si="55">(E78+E79+E80)/3</f>
        <v>405.55555555555549</v>
      </c>
      <c r="G80" s="30">
        <f t="shared" ref="G80:G91" si="56">(2*E80)-F80</f>
        <v>494.44444444444451</v>
      </c>
      <c r="H80" s="31">
        <f t="shared" ref="H80:H91" si="57">(2/($H$8-1))*(E80-F80)</f>
        <v>44.444444444444514</v>
      </c>
      <c r="I80" s="30">
        <f>G79+(H79*1)</f>
        <v>349.99999999999994</v>
      </c>
      <c r="J80" s="30">
        <f t="shared" ref="J80:J91" si="58">ABS(C80-I80)</f>
        <v>200.00000000000006</v>
      </c>
      <c r="K80" s="40">
        <f t="shared" si="53"/>
        <v>6</v>
      </c>
      <c r="L80" s="31">
        <f t="shared" si="42"/>
        <v>460.91327919999998</v>
      </c>
      <c r="M80" s="31">
        <f t="shared" si="43"/>
        <v>20.380025280000005</v>
      </c>
      <c r="N80" s="30">
        <f t="shared" si="48"/>
        <v>422.73325599999998</v>
      </c>
      <c r="O80" s="31">
        <f t="shared" ref="O80:O91" si="59">ABS(C80-N80)</f>
        <v>127.26674400000002</v>
      </c>
      <c r="P80" s="40">
        <f t="shared" si="54"/>
        <v>6</v>
      </c>
      <c r="Q80" s="31">
        <f t="shared" si="49"/>
        <v>460.91327919999998</v>
      </c>
      <c r="R80" s="28">
        <f t="shared" si="50"/>
        <v>20.380025280000005</v>
      </c>
      <c r="S80" s="42">
        <f t="shared" si="45"/>
        <v>1.0966415211063418</v>
      </c>
      <c r="T80" s="43">
        <f t="shared" si="51"/>
        <v>422.73325599999998</v>
      </c>
      <c r="U80" s="31">
        <f t="shared" ref="U80:U91" si="60">ABS(C80-T80)</f>
        <v>127.26674400000002</v>
      </c>
    </row>
    <row r="81" spans="2:21" ht="17" x14ac:dyDescent="0.2">
      <c r="B81" s="18" t="s">
        <v>53</v>
      </c>
      <c r="C81" s="22">
        <v>400</v>
      </c>
      <c r="D81" s="40">
        <f t="shared" si="52"/>
        <v>7</v>
      </c>
      <c r="E81" s="29">
        <f t="shared" si="47"/>
        <v>500</v>
      </c>
      <c r="F81" s="30">
        <f t="shared" si="55"/>
        <v>444.4444444444444</v>
      </c>
      <c r="G81" s="30">
        <f t="shared" si="56"/>
        <v>555.55555555555566</v>
      </c>
      <c r="H81" s="31">
        <f t="shared" si="57"/>
        <v>55.5555555555556</v>
      </c>
      <c r="I81" s="30">
        <f t="shared" ref="I81:I91" si="61">G80+(H80*1)</f>
        <v>538.88888888888903</v>
      </c>
      <c r="J81" s="30">
        <f t="shared" si="58"/>
        <v>138.88888888888903</v>
      </c>
      <c r="K81" s="40">
        <f t="shared" si="53"/>
        <v>7</v>
      </c>
      <c r="L81" s="31">
        <f t="shared" si="42"/>
        <v>456.90531313599996</v>
      </c>
      <c r="M81" s="31">
        <f t="shared" si="43"/>
        <v>10.624828742399997</v>
      </c>
      <c r="N81" s="30">
        <f t="shared" si="48"/>
        <v>481.29330447999996</v>
      </c>
      <c r="O81" s="31">
        <f t="shared" si="59"/>
        <v>81.293304479999961</v>
      </c>
      <c r="P81" s="40">
        <f t="shared" si="54"/>
        <v>7</v>
      </c>
      <c r="Q81" s="31">
        <f t="shared" si="49"/>
        <v>456.90531313599996</v>
      </c>
      <c r="R81" s="28">
        <f t="shared" si="50"/>
        <v>10.624828742399997</v>
      </c>
      <c r="S81" s="42">
        <f t="shared" si="45"/>
        <v>0.93772745522980838</v>
      </c>
      <c r="T81" s="43">
        <f t="shared" si="51"/>
        <v>481.29330447999996</v>
      </c>
      <c r="U81" s="31">
        <f t="shared" si="60"/>
        <v>81.293304479999961</v>
      </c>
    </row>
    <row r="82" spans="2:21" ht="17" x14ac:dyDescent="0.2">
      <c r="B82" s="18" t="s">
        <v>54</v>
      </c>
      <c r="C82" s="22">
        <v>350</v>
      </c>
      <c r="D82" s="40">
        <f t="shared" si="52"/>
        <v>8</v>
      </c>
      <c r="E82" s="29">
        <f t="shared" si="47"/>
        <v>433.33333333333331</v>
      </c>
      <c r="F82" s="30">
        <f t="shared" si="55"/>
        <v>461.11111111111109</v>
      </c>
      <c r="G82" s="30">
        <f t="shared" si="56"/>
        <v>405.55555555555554</v>
      </c>
      <c r="H82" s="31">
        <f t="shared" si="57"/>
        <v>-27.777777777777771</v>
      </c>
      <c r="I82" s="30">
        <f t="shared" si="61"/>
        <v>611.11111111111131</v>
      </c>
      <c r="J82" s="30">
        <f t="shared" si="58"/>
        <v>261.11111111111131</v>
      </c>
      <c r="K82" s="40">
        <f t="shared" si="53"/>
        <v>8</v>
      </c>
      <c r="L82" s="31">
        <f t="shared" si="42"/>
        <v>432.27109931487996</v>
      </c>
      <c r="M82" s="31">
        <f t="shared" si="43"/>
        <v>-3.4787882830080026</v>
      </c>
      <c r="N82" s="30">
        <f t="shared" si="48"/>
        <v>467.53014187839995</v>
      </c>
      <c r="O82" s="31">
        <f t="shared" si="59"/>
        <v>117.53014187839995</v>
      </c>
      <c r="P82" s="40">
        <f t="shared" si="54"/>
        <v>8</v>
      </c>
      <c r="Q82" s="31">
        <f t="shared" si="49"/>
        <v>421.19069730482971</v>
      </c>
      <c r="R82" s="28">
        <f t="shared" si="50"/>
        <v>-7.9109490870281025</v>
      </c>
      <c r="S82" s="42">
        <f t="shared" si="45"/>
        <v>0.9744775227469118</v>
      </c>
      <c r="T82" s="43">
        <f t="shared" si="51"/>
        <v>522.68819232472799</v>
      </c>
      <c r="U82" s="31">
        <f t="shared" si="60"/>
        <v>172.68819232472799</v>
      </c>
    </row>
    <row r="83" spans="2:21" ht="17" x14ac:dyDescent="0.2">
      <c r="B83" s="18" t="s">
        <v>55</v>
      </c>
      <c r="C83" s="22">
        <v>600</v>
      </c>
      <c r="D83" s="40">
        <f t="shared" si="52"/>
        <v>9</v>
      </c>
      <c r="E83" s="29">
        <f t="shared" si="47"/>
        <v>450</v>
      </c>
      <c r="F83" s="30">
        <f t="shared" si="55"/>
        <v>461.11111111111109</v>
      </c>
      <c r="G83" s="30">
        <f t="shared" si="56"/>
        <v>438.88888888888891</v>
      </c>
      <c r="H83" s="31">
        <f t="shared" si="57"/>
        <v>-11.111111111111086</v>
      </c>
      <c r="I83" s="30">
        <f t="shared" si="61"/>
        <v>377.77777777777777</v>
      </c>
      <c r="J83" s="30">
        <f t="shared" si="58"/>
        <v>222.22222222222223</v>
      </c>
      <c r="K83" s="40">
        <f t="shared" si="53"/>
        <v>9</v>
      </c>
      <c r="L83" s="31">
        <f t="shared" si="42"/>
        <v>480.15461772231038</v>
      </c>
      <c r="M83" s="31">
        <f t="shared" si="43"/>
        <v>17.066134393167367</v>
      </c>
      <c r="N83" s="30">
        <f t="shared" si="48"/>
        <v>428.79231103187198</v>
      </c>
      <c r="O83" s="31">
        <f t="shared" si="59"/>
        <v>171.20768896812802</v>
      </c>
      <c r="P83" s="40">
        <f t="shared" si="54"/>
        <v>9</v>
      </c>
      <c r="Q83" s="31">
        <f t="shared" si="49"/>
        <v>487.57075636701632</v>
      </c>
      <c r="R83" s="28">
        <f t="shared" si="50"/>
        <v>21.805454172657782</v>
      </c>
      <c r="S83" s="42">
        <f t="shared" si="45"/>
        <v>1.0692104819332089</v>
      </c>
      <c r="T83" s="43">
        <f t="shared" si="51"/>
        <v>375.18789540490479</v>
      </c>
      <c r="U83" s="31">
        <f t="shared" si="60"/>
        <v>224.81210459509521</v>
      </c>
    </row>
    <row r="84" spans="2:21" ht="17" x14ac:dyDescent="0.2">
      <c r="B84" s="18" t="s">
        <v>56</v>
      </c>
      <c r="C84" s="22">
        <v>750</v>
      </c>
      <c r="D84" s="40">
        <f t="shared" si="52"/>
        <v>10</v>
      </c>
      <c r="E84" s="29">
        <f t="shared" si="47"/>
        <v>566.66666666666663</v>
      </c>
      <c r="F84" s="30">
        <f t="shared" si="55"/>
        <v>483.33333333333331</v>
      </c>
      <c r="G84" s="30">
        <f t="shared" si="56"/>
        <v>650</v>
      </c>
      <c r="H84" s="31">
        <f t="shared" si="57"/>
        <v>83.333333333333314</v>
      </c>
      <c r="I84" s="30">
        <f t="shared" si="61"/>
        <v>427.77777777777783</v>
      </c>
      <c r="J84" s="30">
        <f t="shared" si="58"/>
        <v>322.22222222222217</v>
      </c>
      <c r="K84" s="40">
        <f t="shared" si="53"/>
        <v>10</v>
      </c>
      <c r="L84" s="31">
        <f t="shared" si="42"/>
        <v>573.0545264808344</v>
      </c>
      <c r="M84" s="31">
        <f t="shared" si="43"/>
        <v>47.399644139310027</v>
      </c>
      <c r="N84" s="30">
        <f t="shared" si="48"/>
        <v>497.22075211547775</v>
      </c>
      <c r="O84" s="31">
        <f t="shared" si="59"/>
        <v>252.77924788452225</v>
      </c>
      <c r="P84" s="40">
        <f t="shared" si="54"/>
        <v>10</v>
      </c>
      <c r="Q84" s="31">
        <f t="shared" si="49"/>
        <v>627.55946816481605</v>
      </c>
      <c r="R84" s="28">
        <f t="shared" si="50"/>
        <v>69.078757222714572</v>
      </c>
      <c r="S84" s="42">
        <f t="shared" si="45"/>
        <v>1.0126880253888197</v>
      </c>
      <c r="T84" s="43">
        <f t="shared" si="51"/>
        <v>422.91988179967302</v>
      </c>
      <c r="U84" s="31">
        <f t="shared" si="60"/>
        <v>327.08011820032698</v>
      </c>
    </row>
    <row r="85" spans="2:21" ht="17" x14ac:dyDescent="0.2">
      <c r="B85" s="18" t="s">
        <v>57</v>
      </c>
      <c r="C85" s="22">
        <v>500</v>
      </c>
      <c r="D85" s="40">
        <f t="shared" si="52"/>
        <v>11</v>
      </c>
      <c r="E85" s="29">
        <f t="shared" si="47"/>
        <v>616.66666666666663</v>
      </c>
      <c r="F85" s="30">
        <f t="shared" si="55"/>
        <v>544.44444444444446</v>
      </c>
      <c r="G85" s="30">
        <f t="shared" si="56"/>
        <v>688.8888888888888</v>
      </c>
      <c r="H85" s="31">
        <f t="shared" si="57"/>
        <v>72.222222222222172</v>
      </c>
      <c r="I85" s="30">
        <f t="shared" si="61"/>
        <v>733.33333333333326</v>
      </c>
      <c r="J85" s="30">
        <f t="shared" si="58"/>
        <v>233.33333333333326</v>
      </c>
      <c r="K85" s="40">
        <f t="shared" si="53"/>
        <v>11</v>
      </c>
      <c r="L85" s="31">
        <f t="shared" si="42"/>
        <v>584.31791943410099</v>
      </c>
      <c r="M85" s="31">
        <f t="shared" si="43"/>
        <v>32.945143664892655</v>
      </c>
      <c r="N85" s="30">
        <f t="shared" si="48"/>
        <v>620.4541706201444</v>
      </c>
      <c r="O85" s="31">
        <f t="shared" si="59"/>
        <v>120.4541706201444</v>
      </c>
      <c r="P85" s="40">
        <f t="shared" si="54"/>
        <v>11</v>
      </c>
      <c r="Q85" s="31">
        <f t="shared" si="49"/>
        <v>617.12619549242879</v>
      </c>
      <c r="R85" s="28">
        <f t="shared" si="50"/>
        <v>37.273945264673834</v>
      </c>
      <c r="S85" s="42">
        <f t="shared" si="45"/>
        <v>0.98434608208135588</v>
      </c>
      <c r="T85" s="43">
        <f t="shared" si="51"/>
        <v>807.0450076649862</v>
      </c>
      <c r="U85" s="31">
        <f t="shared" si="60"/>
        <v>307.0450076649862</v>
      </c>
    </row>
    <row r="86" spans="2:21" ht="17" x14ac:dyDescent="0.2">
      <c r="B86" s="18" t="s">
        <v>58</v>
      </c>
      <c r="C86" s="22">
        <v>400</v>
      </c>
      <c r="D86" s="40">
        <f t="shared" si="52"/>
        <v>12</v>
      </c>
      <c r="E86" s="29">
        <f t="shared" si="47"/>
        <v>550</v>
      </c>
      <c r="F86" s="30">
        <f t="shared" si="55"/>
        <v>577.77777777777771</v>
      </c>
      <c r="G86" s="30">
        <f t="shared" si="56"/>
        <v>522.22222222222229</v>
      </c>
      <c r="H86" s="31">
        <f t="shared" si="57"/>
        <v>-27.777777777777715</v>
      </c>
      <c r="I86" s="30">
        <f t="shared" si="61"/>
        <v>761.11111111111097</v>
      </c>
      <c r="J86" s="30">
        <f t="shared" si="58"/>
        <v>361.11111111111097</v>
      </c>
      <c r="K86" s="40">
        <f t="shared" si="53"/>
        <v>12</v>
      </c>
      <c r="L86" s="31">
        <f t="shared" si="42"/>
        <v>552.08414416929554</v>
      </c>
      <c r="M86" s="31">
        <f t="shared" si="43"/>
        <v>6.873576093013412</v>
      </c>
      <c r="N86" s="30">
        <f t="shared" si="48"/>
        <v>617.2630630989936</v>
      </c>
      <c r="O86" s="31">
        <f t="shared" si="59"/>
        <v>217.2630630989936</v>
      </c>
      <c r="P86" s="40">
        <f t="shared" si="54"/>
        <v>12</v>
      </c>
      <c r="Q86" s="31">
        <f t="shared" si="49"/>
        <v>567.50509994605761</v>
      </c>
      <c r="R86" s="28">
        <f t="shared" si="50"/>
        <v>2.5159289402558258</v>
      </c>
      <c r="S86" s="42">
        <f t="shared" si="45"/>
        <v>0.90074050095552205</v>
      </c>
      <c r="T86" s="43">
        <f t="shared" si="51"/>
        <v>717.64236577207316</v>
      </c>
      <c r="U86" s="31">
        <f t="shared" si="60"/>
        <v>317.64236577207316</v>
      </c>
    </row>
    <row r="87" spans="2:21" ht="17" x14ac:dyDescent="0.2">
      <c r="B87" s="18" t="s">
        <v>59</v>
      </c>
      <c r="C87" s="22">
        <v>650</v>
      </c>
      <c r="D87" s="40">
        <f t="shared" si="52"/>
        <v>13</v>
      </c>
      <c r="E87" s="29">
        <f t="shared" si="47"/>
        <v>516.66666666666663</v>
      </c>
      <c r="F87" s="30">
        <f t="shared" si="55"/>
        <v>561.11111111111097</v>
      </c>
      <c r="G87" s="30">
        <f t="shared" si="56"/>
        <v>472.22222222222229</v>
      </c>
      <c r="H87" s="31">
        <f t="shared" si="57"/>
        <v>-44.444444444444343</v>
      </c>
      <c r="I87" s="30">
        <f t="shared" si="61"/>
        <v>494.44444444444457</v>
      </c>
      <c r="J87" s="30">
        <f t="shared" si="58"/>
        <v>155.55555555555543</v>
      </c>
      <c r="K87" s="40">
        <f t="shared" si="53"/>
        <v>13</v>
      </c>
      <c r="L87" s="31">
        <f t="shared" si="42"/>
        <v>586.27040418361617</v>
      </c>
      <c r="M87" s="31">
        <f t="shared" si="43"/>
        <v>17.798649661536299</v>
      </c>
      <c r="N87" s="30">
        <f t="shared" si="48"/>
        <v>558.95772026230895</v>
      </c>
      <c r="O87" s="31">
        <f t="shared" si="59"/>
        <v>91.042279737691047</v>
      </c>
      <c r="P87" s="40">
        <f t="shared" si="54"/>
        <v>13</v>
      </c>
      <c r="Q87" s="31">
        <f t="shared" si="49"/>
        <v>606.96426772749476</v>
      </c>
      <c r="R87" s="28">
        <f t="shared" si="50"/>
        <v>17.293224476728355</v>
      </c>
      <c r="S87" s="42">
        <f t="shared" si="45"/>
        <v>1.0043153468952559</v>
      </c>
      <c r="T87" s="43">
        <f t="shared" si="51"/>
        <v>534.5243688450397</v>
      </c>
      <c r="U87" s="31">
        <f t="shared" si="60"/>
        <v>115.4756311549603</v>
      </c>
    </row>
    <row r="88" spans="2:21" ht="17" x14ac:dyDescent="0.2">
      <c r="B88" s="18" t="s">
        <v>60</v>
      </c>
      <c r="C88" s="22">
        <v>850</v>
      </c>
      <c r="D88" s="40">
        <f t="shared" si="52"/>
        <v>14</v>
      </c>
      <c r="E88" s="29">
        <f t="shared" si="47"/>
        <v>633.33333333333337</v>
      </c>
      <c r="F88" s="30">
        <f t="shared" si="55"/>
        <v>566.66666666666663</v>
      </c>
      <c r="G88" s="30">
        <f t="shared" si="56"/>
        <v>700.00000000000011</v>
      </c>
      <c r="H88" s="31">
        <f t="shared" si="57"/>
        <v>66.666666666666742</v>
      </c>
      <c r="I88" s="30">
        <f t="shared" si="61"/>
        <v>427.77777777777794</v>
      </c>
      <c r="J88" s="30">
        <f t="shared" si="58"/>
        <v>422.22222222222206</v>
      </c>
      <c r="K88" s="40">
        <f t="shared" si="53"/>
        <v>14</v>
      </c>
      <c r="L88" s="31">
        <f t="shared" si="42"/>
        <v>677.84833769160673</v>
      </c>
      <c r="M88" s="31">
        <f t="shared" si="43"/>
        <v>47.310363200118005</v>
      </c>
      <c r="N88" s="30">
        <f t="shared" si="48"/>
        <v>604.06905384515244</v>
      </c>
      <c r="O88" s="31">
        <f t="shared" si="59"/>
        <v>245.93094615484756</v>
      </c>
      <c r="P88" s="40">
        <f t="shared" si="54"/>
        <v>14</v>
      </c>
      <c r="Q88" s="31">
        <f t="shared" si="49"/>
        <v>698.65893291453779</v>
      </c>
      <c r="R88" s="28">
        <f t="shared" si="50"/>
        <v>47.053800760854223</v>
      </c>
      <c r="S88" s="42">
        <f t="shared" si="45"/>
        <v>1.0955470216386796</v>
      </c>
      <c r="T88" s="43">
        <f t="shared" si="51"/>
        <v>608.32489455937093</v>
      </c>
      <c r="U88" s="31">
        <f t="shared" si="60"/>
        <v>241.67510544062907</v>
      </c>
    </row>
    <row r="89" spans="2:21" ht="17" x14ac:dyDescent="0.2">
      <c r="B89" s="18" t="s">
        <v>61</v>
      </c>
      <c r="C89" s="22">
        <v>600</v>
      </c>
      <c r="D89" s="40">
        <f t="shared" si="52"/>
        <v>15</v>
      </c>
      <c r="E89" s="29">
        <f t="shared" si="47"/>
        <v>700</v>
      </c>
      <c r="F89" s="30">
        <f t="shared" si="55"/>
        <v>616.66666666666663</v>
      </c>
      <c r="G89" s="30">
        <f t="shared" si="56"/>
        <v>783.33333333333337</v>
      </c>
      <c r="H89" s="31">
        <f t="shared" si="57"/>
        <v>83.333333333333371</v>
      </c>
      <c r="I89" s="30">
        <f t="shared" si="61"/>
        <v>766.66666666666686</v>
      </c>
      <c r="J89" s="30">
        <f t="shared" si="58"/>
        <v>166.66666666666686</v>
      </c>
      <c r="K89" s="40">
        <f t="shared" si="53"/>
        <v>15</v>
      </c>
      <c r="L89" s="31">
        <f t="shared" si="42"/>
        <v>687.61109062420724</v>
      </c>
      <c r="M89" s="31">
        <f t="shared" si="43"/>
        <v>32.291319093111007</v>
      </c>
      <c r="N89" s="30">
        <f t="shared" si="48"/>
        <v>725.15870089172472</v>
      </c>
      <c r="O89" s="31">
        <f t="shared" si="59"/>
        <v>125.15870089172472</v>
      </c>
      <c r="P89" s="40">
        <f t="shared" si="54"/>
        <v>15</v>
      </c>
      <c r="Q89" s="31">
        <f t="shared" si="49"/>
        <v>690.34743151336454</v>
      </c>
      <c r="R89" s="28">
        <f t="shared" si="50"/>
        <v>24.907679896043234</v>
      </c>
      <c r="S89" s="42">
        <f t="shared" si="45"/>
        <v>0.96916903639110041</v>
      </c>
      <c r="T89" s="43">
        <f t="shared" si="51"/>
        <v>797.32387135679653</v>
      </c>
      <c r="U89" s="31">
        <f t="shared" si="60"/>
        <v>197.32387135679653</v>
      </c>
    </row>
    <row r="90" spans="2:21" ht="17" x14ac:dyDescent="0.2">
      <c r="B90" s="18" t="s">
        <v>62</v>
      </c>
      <c r="C90" s="22">
        <v>450</v>
      </c>
      <c r="D90" s="40">
        <f t="shared" si="52"/>
        <v>16</v>
      </c>
      <c r="E90" s="29">
        <f t="shared" si="47"/>
        <v>633.33333333333337</v>
      </c>
      <c r="F90" s="30">
        <f t="shared" si="55"/>
        <v>655.55555555555566</v>
      </c>
      <c r="G90" s="30">
        <f t="shared" si="56"/>
        <v>611.11111111111109</v>
      </c>
      <c r="H90" s="31">
        <f t="shared" si="57"/>
        <v>-22.222222222222285</v>
      </c>
      <c r="I90" s="30">
        <f t="shared" si="61"/>
        <v>866.66666666666674</v>
      </c>
      <c r="J90" s="30">
        <f t="shared" si="58"/>
        <v>416.66666666666674</v>
      </c>
      <c r="K90" s="40">
        <f t="shared" si="53"/>
        <v>16</v>
      </c>
      <c r="L90" s="31">
        <f t="shared" si="42"/>
        <v>638.93168680212284</v>
      </c>
      <c r="M90" s="31">
        <f t="shared" si="43"/>
        <v>-9.697007296715654E-2</v>
      </c>
      <c r="N90" s="30">
        <f t="shared" si="48"/>
        <v>719.90240971731828</v>
      </c>
      <c r="O90" s="31">
        <f t="shared" si="59"/>
        <v>269.90240971731828</v>
      </c>
      <c r="P90" s="40">
        <f t="shared" si="54"/>
        <v>16</v>
      </c>
      <c r="Q90" s="31">
        <f t="shared" si="49"/>
        <v>633.98715537216958</v>
      </c>
      <c r="R90" s="28">
        <f t="shared" si="50"/>
        <v>-7.5995025188520451</v>
      </c>
      <c r="S90" s="42">
        <f t="shared" si="45"/>
        <v>0.86124079268976828</v>
      </c>
      <c r="T90" s="43">
        <f t="shared" si="51"/>
        <v>724.33028642245336</v>
      </c>
      <c r="U90" s="31">
        <f t="shared" si="60"/>
        <v>274.33028642245336</v>
      </c>
    </row>
    <row r="91" spans="2:21" ht="17" x14ac:dyDescent="0.2">
      <c r="B91" s="18" t="s">
        <v>63</v>
      </c>
      <c r="C91" s="22">
        <v>700</v>
      </c>
      <c r="D91" s="40">
        <f t="shared" si="52"/>
        <v>17</v>
      </c>
      <c r="E91" s="29">
        <f t="shared" si="47"/>
        <v>583.33333333333337</v>
      </c>
      <c r="F91" s="30">
        <f t="shared" si="55"/>
        <v>638.88888888888903</v>
      </c>
      <c r="G91" s="30">
        <f t="shared" si="56"/>
        <v>527.77777777777771</v>
      </c>
      <c r="H91" s="31">
        <f t="shared" si="57"/>
        <v>-55.555555555555657</v>
      </c>
      <c r="I91" s="30">
        <f t="shared" si="61"/>
        <v>588.8888888888888</v>
      </c>
      <c r="J91" s="30">
        <f t="shared" si="58"/>
        <v>111.1111111111112</v>
      </c>
      <c r="K91" s="40">
        <f t="shared" si="53"/>
        <v>17</v>
      </c>
      <c r="L91" s="31">
        <f t="shared" si="42"/>
        <v>657.18430171040904</v>
      </c>
      <c r="M91" s="31">
        <f t="shared" si="43"/>
        <v>7.2428639195341891</v>
      </c>
      <c r="N91" s="30">
        <f t="shared" si="48"/>
        <v>638.83471672915573</v>
      </c>
      <c r="O91" s="31">
        <f t="shared" si="59"/>
        <v>61.16528327084427</v>
      </c>
      <c r="P91" s="40">
        <f t="shared" si="54"/>
        <v>17</v>
      </c>
      <c r="Q91" s="31">
        <f t="shared" si="49"/>
        <v>651.81095759385676</v>
      </c>
      <c r="R91" s="28">
        <f t="shared" si="50"/>
        <v>2.5698193773636433</v>
      </c>
      <c r="S91" s="42">
        <f t="shared" si="45"/>
        <v>1.0291385460269948</v>
      </c>
      <c r="T91" s="43">
        <f t="shared" si="51"/>
        <v>616.5822319502995</v>
      </c>
      <c r="U91" s="31">
        <f t="shared" si="60"/>
        <v>83.417768049700499</v>
      </c>
    </row>
    <row r="92" spans="2:21" ht="17" x14ac:dyDescent="0.2">
      <c r="B92" s="23" t="s">
        <v>64</v>
      </c>
      <c r="D92" s="40">
        <f t="shared" si="52"/>
        <v>18</v>
      </c>
      <c r="E92" s="21"/>
      <c r="I92" s="32">
        <f>$G$26+($H$26*1)</f>
        <v>1505.5555555555554</v>
      </c>
      <c r="J92" s="33"/>
      <c r="K92" s="40">
        <f t="shared" si="53"/>
        <v>18</v>
      </c>
      <c r="N92" s="32">
        <f>$L$26+(1*$M$26)</f>
        <v>1421.9461920518595</v>
      </c>
      <c r="P92" s="40">
        <f t="shared" si="54"/>
        <v>18</v>
      </c>
      <c r="T92" s="44">
        <f>(Q86+(6*R86))*S86</f>
        <v>524.77202258431271</v>
      </c>
    </row>
    <row r="93" spans="2:21" ht="17" x14ac:dyDescent="0.2">
      <c r="B93" s="23" t="s">
        <v>65</v>
      </c>
      <c r="D93" s="40">
        <f t="shared" si="52"/>
        <v>19</v>
      </c>
      <c r="E93" s="21"/>
      <c r="I93" s="32">
        <f>$G$26+($H$26*2)</f>
        <v>1599.9999999999998</v>
      </c>
      <c r="J93" s="33"/>
      <c r="K93" s="40">
        <f t="shared" si="53"/>
        <v>19</v>
      </c>
      <c r="N93" s="32">
        <f>$L$26+(2*$M$26)</f>
        <v>1486.3782852138138</v>
      </c>
      <c r="P93" s="40">
        <f t="shared" si="54"/>
        <v>19</v>
      </c>
      <c r="T93" s="44">
        <f t="shared" ref="T93" si="62">(Q87+(6*R87))*S87</f>
        <v>713.79063353146171</v>
      </c>
    </row>
    <row r="94" spans="2:21" ht="17" x14ac:dyDescent="0.2">
      <c r="B94" s="23" t="s">
        <v>66</v>
      </c>
      <c r="D94" s="40">
        <f t="shared" si="52"/>
        <v>20</v>
      </c>
      <c r="I94" s="32">
        <f>$G$26+($H$26*3)</f>
        <v>1694.4444444444441</v>
      </c>
      <c r="J94" s="33"/>
      <c r="K94" s="40">
        <f t="shared" si="53"/>
        <v>20</v>
      </c>
      <c r="N94" s="32">
        <f>$L$26+(3*$M$26)</f>
        <v>1550.8103783757681</v>
      </c>
      <c r="P94" s="40">
        <f t="shared" si="54"/>
        <v>20</v>
      </c>
      <c r="T94" s="44">
        <f>(Q88+(6*R88))*S88</f>
        <v>1074.7116207777819</v>
      </c>
    </row>
    <row r="96" spans="2:21" x14ac:dyDescent="0.2">
      <c r="J96" s="34">
        <f>AVERAGE(J80:J91)</f>
        <v>250.92592592592595</v>
      </c>
      <c r="O96" s="46">
        <f>AVERAGE(O80:O91)</f>
        <v>156.74949839188449</v>
      </c>
      <c r="U96" s="34">
        <f>AVERAGE(U80:U91)</f>
        <v>205.83754162181245</v>
      </c>
    </row>
    <row r="98" spans="3:11" ht="17" thickBot="1" x14ac:dyDescent="0.25"/>
    <row r="99" spans="3:11" x14ac:dyDescent="0.2">
      <c r="C99" s="256" t="s">
        <v>92</v>
      </c>
      <c r="D99" s="257"/>
      <c r="E99" s="257"/>
      <c r="F99" s="257"/>
      <c r="G99" s="257"/>
      <c r="H99" s="257"/>
      <c r="I99" s="257"/>
      <c r="J99" s="257"/>
      <c r="K99" s="258"/>
    </row>
    <row r="100" spans="3:11" x14ac:dyDescent="0.2">
      <c r="C100" s="259"/>
      <c r="D100" s="260"/>
      <c r="E100" s="260"/>
      <c r="F100" s="260"/>
      <c r="G100" s="260"/>
      <c r="H100" s="260"/>
      <c r="I100" s="260"/>
      <c r="J100" s="260"/>
      <c r="K100" s="261"/>
    </row>
    <row r="101" spans="3:11" x14ac:dyDescent="0.2">
      <c r="C101" s="259"/>
      <c r="D101" s="260"/>
      <c r="E101" s="260"/>
      <c r="F101" s="260"/>
      <c r="G101" s="260"/>
      <c r="H101" s="260"/>
      <c r="I101" s="260"/>
      <c r="J101" s="260"/>
      <c r="K101" s="261"/>
    </row>
    <row r="102" spans="3:11" x14ac:dyDescent="0.2">
      <c r="C102" s="259"/>
      <c r="D102" s="260"/>
      <c r="E102" s="260"/>
      <c r="F102" s="260"/>
      <c r="G102" s="260"/>
      <c r="H102" s="260"/>
      <c r="I102" s="260"/>
      <c r="J102" s="260"/>
      <c r="K102" s="261"/>
    </row>
    <row r="103" spans="3:11" x14ac:dyDescent="0.2">
      <c r="C103" s="259"/>
      <c r="D103" s="260"/>
      <c r="E103" s="260"/>
      <c r="F103" s="260"/>
      <c r="G103" s="260"/>
      <c r="H103" s="260"/>
      <c r="I103" s="260"/>
      <c r="J103" s="260"/>
      <c r="K103" s="261"/>
    </row>
    <row r="104" spans="3:11" ht="17" thickBot="1" x14ac:dyDescent="0.25">
      <c r="C104" s="262"/>
      <c r="D104" s="263"/>
      <c r="E104" s="263"/>
      <c r="F104" s="263"/>
      <c r="G104" s="263"/>
      <c r="H104" s="263"/>
      <c r="I104" s="263"/>
      <c r="J104" s="263"/>
      <c r="K104" s="264"/>
    </row>
  </sheetData>
  <mergeCells count="2">
    <mergeCell ref="B2:H4"/>
    <mergeCell ref="C99:K10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21253-6BBB-AA4C-ACD0-2A0562A17971}">
  <dimension ref="B2:Q99"/>
  <sheetViews>
    <sheetView workbookViewId="0">
      <selection activeCell="A4" sqref="A4"/>
    </sheetView>
  </sheetViews>
  <sheetFormatPr baseColWidth="10" defaultRowHeight="16" x14ac:dyDescent="0.2"/>
  <cols>
    <col min="5" max="5" width="14.5" customWidth="1"/>
    <col min="6" max="6" width="12" customWidth="1"/>
    <col min="12" max="12" width="5.1640625" customWidth="1"/>
    <col min="13" max="13" width="16.5" customWidth="1"/>
    <col min="15" max="15" width="18" customWidth="1"/>
  </cols>
  <sheetData>
    <row r="2" spans="2:16" ht="16" customHeight="1" x14ac:dyDescent="0.2">
      <c r="B2" s="265" t="s">
        <v>93</v>
      </c>
      <c r="C2" s="265"/>
      <c r="D2" s="265"/>
      <c r="E2" s="265"/>
      <c r="F2" s="265"/>
    </row>
    <row r="3" spans="2:16" ht="17" x14ac:dyDescent="0.2">
      <c r="B3" s="1" t="s">
        <v>94</v>
      </c>
      <c r="C3" s="1">
        <v>1</v>
      </c>
      <c r="D3" s="1">
        <v>2</v>
      </c>
      <c r="E3" s="1">
        <v>3</v>
      </c>
      <c r="F3" s="1">
        <v>4</v>
      </c>
    </row>
    <row r="4" spans="2:16" ht="17" x14ac:dyDescent="0.2">
      <c r="B4" s="2">
        <v>2016</v>
      </c>
      <c r="C4" s="2" t="s">
        <v>95</v>
      </c>
      <c r="D4" s="2" t="s">
        <v>96</v>
      </c>
      <c r="E4" s="2" t="s">
        <v>97</v>
      </c>
      <c r="F4" s="2" t="s">
        <v>98</v>
      </c>
      <c r="G4" s="1" t="s">
        <v>35</v>
      </c>
      <c r="H4" s="47">
        <v>0.7</v>
      </c>
    </row>
    <row r="5" spans="2:16" ht="17" x14ac:dyDescent="0.2">
      <c r="B5" s="2">
        <v>2017</v>
      </c>
      <c r="C5" s="2" t="s">
        <v>95</v>
      </c>
      <c r="D5" s="2" t="s">
        <v>99</v>
      </c>
      <c r="E5" s="2" t="s">
        <v>100</v>
      </c>
      <c r="F5" s="2" t="s">
        <v>101</v>
      </c>
      <c r="G5" s="1" t="s">
        <v>35</v>
      </c>
      <c r="H5" s="47">
        <v>0.1</v>
      </c>
    </row>
    <row r="6" spans="2:16" ht="17" x14ac:dyDescent="0.2">
      <c r="B6" s="2">
        <v>2018</v>
      </c>
      <c r="C6" s="2" t="s">
        <v>102</v>
      </c>
      <c r="D6" s="2" t="s">
        <v>103</v>
      </c>
      <c r="E6" s="2" t="s">
        <v>104</v>
      </c>
      <c r="F6" s="2" t="s">
        <v>105</v>
      </c>
    </row>
    <row r="7" spans="2:16" ht="17" x14ac:dyDescent="0.2">
      <c r="B7" s="2">
        <v>2019</v>
      </c>
      <c r="C7" s="2" t="s">
        <v>106</v>
      </c>
      <c r="D7" s="2" t="s">
        <v>107</v>
      </c>
      <c r="E7" s="2" t="s">
        <v>108</v>
      </c>
      <c r="F7" s="2" t="s">
        <v>109</v>
      </c>
    </row>
    <row r="8" spans="2:16" ht="17" x14ac:dyDescent="0.2">
      <c r="B8" s="2">
        <v>2020</v>
      </c>
      <c r="C8" s="2" t="s">
        <v>110</v>
      </c>
      <c r="D8" s="2" t="s">
        <v>111</v>
      </c>
      <c r="E8" s="2" t="s">
        <v>112</v>
      </c>
      <c r="F8" s="2" t="s">
        <v>113</v>
      </c>
    </row>
    <row r="9" spans="2:16" ht="17" x14ac:dyDescent="0.2">
      <c r="B9" s="2">
        <v>2021</v>
      </c>
      <c r="C9" s="2" t="s">
        <v>114</v>
      </c>
      <c r="D9" s="2" t="s">
        <v>115</v>
      </c>
      <c r="E9" s="2" t="s">
        <v>116</v>
      </c>
      <c r="F9" s="2" t="s">
        <v>117</v>
      </c>
    </row>
    <row r="10" spans="2:16" ht="17" x14ac:dyDescent="0.2">
      <c r="B10" s="2">
        <v>2022</v>
      </c>
      <c r="C10" s="2" t="s">
        <v>118</v>
      </c>
      <c r="D10" s="2" t="s">
        <v>119</v>
      </c>
      <c r="E10" s="2" t="s">
        <v>120</v>
      </c>
      <c r="F10" s="2" t="s">
        <v>121</v>
      </c>
    </row>
    <row r="11" spans="2:16" ht="17" x14ac:dyDescent="0.2">
      <c r="B11" s="2">
        <v>2023</v>
      </c>
      <c r="C11" s="2" t="s">
        <v>122</v>
      </c>
      <c r="D11" s="1" t="s">
        <v>123</v>
      </c>
      <c r="E11" s="2"/>
      <c r="F11" s="2"/>
    </row>
    <row r="12" spans="2:16" x14ac:dyDescent="0.2">
      <c r="B12" s="2"/>
      <c r="C12" s="2"/>
      <c r="D12" s="1"/>
      <c r="E12" s="2"/>
      <c r="F12" s="2"/>
    </row>
    <row r="13" spans="2:16" x14ac:dyDescent="0.2">
      <c r="B13" s="2"/>
      <c r="C13" s="2"/>
      <c r="D13" s="1"/>
      <c r="E13" s="2"/>
      <c r="F13" s="2"/>
    </row>
    <row r="14" spans="2:16" x14ac:dyDescent="0.2">
      <c r="F14" s="6" t="s">
        <v>71</v>
      </c>
      <c r="H14" s="8" t="s">
        <v>77</v>
      </c>
      <c r="I14" s="8">
        <v>2</v>
      </c>
      <c r="M14" s="6" t="s">
        <v>131</v>
      </c>
    </row>
    <row r="15" spans="2:16" ht="17" x14ac:dyDescent="0.2">
      <c r="B15" s="49" t="s">
        <v>0</v>
      </c>
      <c r="C15" s="50" t="s">
        <v>124</v>
      </c>
      <c r="D15" s="50" t="s">
        <v>125</v>
      </c>
      <c r="E15" s="51" t="s">
        <v>85</v>
      </c>
      <c r="F15" s="48" t="s">
        <v>72</v>
      </c>
      <c r="G15" s="36" t="s">
        <v>73</v>
      </c>
      <c r="H15" s="37" t="s">
        <v>75</v>
      </c>
      <c r="I15" s="37" t="s">
        <v>76</v>
      </c>
      <c r="J15" s="37" t="s">
        <v>27</v>
      </c>
      <c r="K15" s="37" t="s">
        <v>33</v>
      </c>
      <c r="M15" s="37" t="s">
        <v>132</v>
      </c>
      <c r="N15" s="37" t="s">
        <v>33</v>
      </c>
      <c r="O15" s="37" t="s">
        <v>132</v>
      </c>
      <c r="P15" s="37" t="s">
        <v>33</v>
      </c>
    </row>
    <row r="16" spans="2:16" ht="17" x14ac:dyDescent="0.2">
      <c r="B16" s="52">
        <v>2016</v>
      </c>
      <c r="C16" s="52" t="s">
        <v>126</v>
      </c>
      <c r="D16" s="52">
        <v>51.6</v>
      </c>
      <c r="E16" s="12">
        <v>1</v>
      </c>
      <c r="F16" s="12" t="s">
        <v>32</v>
      </c>
      <c r="G16" s="12" t="s">
        <v>32</v>
      </c>
      <c r="H16" s="12" t="s">
        <v>32</v>
      </c>
      <c r="I16" s="12" t="s">
        <v>32</v>
      </c>
      <c r="J16" s="12" t="s">
        <v>32</v>
      </c>
      <c r="K16" s="12" t="s">
        <v>32</v>
      </c>
      <c r="M16" s="54">
        <f>(D16+D17+D18)/3</f>
        <v>67.266666666666666</v>
      </c>
      <c r="N16" s="12" t="s">
        <v>32</v>
      </c>
      <c r="O16" s="54">
        <f>(D16+D17+D18)/3</f>
        <v>67.266666666666666</v>
      </c>
      <c r="P16" s="12" t="s">
        <v>32</v>
      </c>
    </row>
    <row r="17" spans="2:16" ht="17" x14ac:dyDescent="0.2">
      <c r="B17" s="53"/>
      <c r="C17" s="52" t="s">
        <v>127</v>
      </c>
      <c r="D17" s="52">
        <v>88.8</v>
      </c>
      <c r="E17" s="12">
        <f>E16+1</f>
        <v>2</v>
      </c>
      <c r="F17" s="54">
        <f>(D16+D17)/2</f>
        <v>70.2</v>
      </c>
      <c r="G17" s="12" t="s">
        <v>32</v>
      </c>
      <c r="H17" s="12" t="s">
        <v>32</v>
      </c>
      <c r="I17" s="12" t="s">
        <v>32</v>
      </c>
      <c r="J17" s="12" t="s">
        <v>32</v>
      </c>
      <c r="K17" s="12" t="s">
        <v>32</v>
      </c>
      <c r="M17" s="54">
        <f>($H$5*D16)+((1-$H$5)*M16)</f>
        <v>65.7</v>
      </c>
      <c r="N17" s="54">
        <f>(D17-M17)^2</f>
        <v>533.60999999999979</v>
      </c>
      <c r="O17" s="54">
        <f>($H$4*D16)+((1-$H$4)*O16)</f>
        <v>56.3</v>
      </c>
      <c r="P17" s="54">
        <f>(D17-O17)^2</f>
        <v>1056.25</v>
      </c>
    </row>
    <row r="18" spans="2:16" ht="17" x14ac:dyDescent="0.2">
      <c r="B18" s="53"/>
      <c r="C18" s="52" t="s">
        <v>128</v>
      </c>
      <c r="D18" s="52">
        <v>61.4</v>
      </c>
      <c r="E18" s="12">
        <f t="shared" ref="E18:E45" si="0">E17+1</f>
        <v>3</v>
      </c>
      <c r="F18" s="54">
        <f t="shared" ref="F18:F44" si="1">(D17+D18)/2</f>
        <v>75.099999999999994</v>
      </c>
      <c r="G18" s="54">
        <f>(F17+F18)/2</f>
        <v>72.650000000000006</v>
      </c>
      <c r="H18" s="54">
        <f>(2*F18)-G18</f>
        <v>77.549999999999983</v>
      </c>
      <c r="I18" s="54">
        <f>(2/($I$14-1))*(F18-G18)</f>
        <v>4.8999999999999773</v>
      </c>
      <c r="J18" s="12" t="s">
        <v>32</v>
      </c>
      <c r="K18" s="12" t="s">
        <v>32</v>
      </c>
      <c r="M18" s="54">
        <f t="shared" ref="M18:M45" si="2">($H$5*D17)+((1-$H$5)*M17)</f>
        <v>68.010000000000005</v>
      </c>
      <c r="N18" s="54">
        <f>(D18-M18)^2</f>
        <v>43.692100000000089</v>
      </c>
      <c r="O18" s="54">
        <f t="shared" ref="O18:O45" si="3">($H$4*D17)+((1-$H$4)*O17)</f>
        <v>79.05</v>
      </c>
      <c r="P18" s="54">
        <f>(D18-O18)^2</f>
        <v>311.52249999999992</v>
      </c>
    </row>
    <row r="19" spans="2:16" ht="17" x14ac:dyDescent="0.2">
      <c r="B19" s="53"/>
      <c r="C19" s="52" t="s">
        <v>129</v>
      </c>
      <c r="D19" s="52">
        <v>53.2</v>
      </c>
      <c r="E19" s="12">
        <f t="shared" si="0"/>
        <v>4</v>
      </c>
      <c r="F19" s="54">
        <f t="shared" si="1"/>
        <v>57.3</v>
      </c>
      <c r="G19" s="54">
        <f t="shared" ref="G19:G44" si="4">(F18+F19)/2</f>
        <v>66.199999999999989</v>
      </c>
      <c r="H19" s="54">
        <f t="shared" ref="H19:H44" si="5">(2*F19)-G19</f>
        <v>48.400000000000006</v>
      </c>
      <c r="I19" s="54">
        <f t="shared" ref="I19:I44" si="6">(2/($I$14-1))*(F19-G19)</f>
        <v>-17.799999999999983</v>
      </c>
      <c r="J19" s="14">
        <f>H18+(I18*1)</f>
        <v>82.44999999999996</v>
      </c>
      <c r="K19" s="54">
        <f>POWER(D19-J19,2)</f>
        <v>855.5624999999975</v>
      </c>
      <c r="M19" s="54">
        <f t="shared" si="2"/>
        <v>67.349000000000004</v>
      </c>
      <c r="N19" s="54">
        <f>(D19-M19)^2</f>
        <v>200.19420100000002</v>
      </c>
      <c r="O19" s="54">
        <f t="shared" si="3"/>
        <v>66.694999999999993</v>
      </c>
      <c r="P19" s="54">
        <f>(D19-O19)^2</f>
        <v>182.11502499999975</v>
      </c>
    </row>
    <row r="20" spans="2:16" ht="17" x14ac:dyDescent="0.2">
      <c r="B20" s="52">
        <v>2017</v>
      </c>
      <c r="C20" s="52" t="s">
        <v>126</v>
      </c>
      <c r="D20" s="52">
        <v>51.6</v>
      </c>
      <c r="E20" s="12">
        <f t="shared" si="0"/>
        <v>5</v>
      </c>
      <c r="F20" s="54">
        <f t="shared" si="1"/>
        <v>52.400000000000006</v>
      </c>
      <c r="G20" s="54">
        <f t="shared" si="4"/>
        <v>54.85</v>
      </c>
      <c r="H20" s="54">
        <f t="shared" si="5"/>
        <v>49.95000000000001</v>
      </c>
      <c r="I20" s="54">
        <f t="shared" si="6"/>
        <v>-4.8999999999999915</v>
      </c>
      <c r="J20" s="14">
        <f t="shared" ref="J20:J45" si="7">H19+(I19*1)</f>
        <v>30.600000000000023</v>
      </c>
      <c r="K20" s="54">
        <f t="shared" ref="K20:K44" si="8">POWER(D20-J20,2)</f>
        <v>440.99999999999909</v>
      </c>
      <c r="M20" s="54">
        <f t="shared" si="2"/>
        <v>65.934100000000001</v>
      </c>
      <c r="N20" s="54">
        <f t="shared" ref="N20:N44" si="9">(D20-M20)^2</f>
        <v>205.46642280999998</v>
      </c>
      <c r="O20" s="54">
        <f t="shared" si="3"/>
        <v>57.248500000000007</v>
      </c>
      <c r="P20" s="54">
        <f t="shared" ref="P20:P44" si="10">(D20-O20)^2</f>
        <v>31.905552250000063</v>
      </c>
    </row>
    <row r="21" spans="2:16" ht="17" x14ac:dyDescent="0.2">
      <c r="B21" s="53"/>
      <c r="C21" s="52" t="s">
        <v>127</v>
      </c>
      <c r="D21" s="52">
        <v>137</v>
      </c>
      <c r="E21" s="12">
        <f t="shared" si="0"/>
        <v>6</v>
      </c>
      <c r="F21" s="54">
        <f t="shared" si="1"/>
        <v>94.3</v>
      </c>
      <c r="G21" s="54">
        <f t="shared" si="4"/>
        <v>73.349999999999994</v>
      </c>
      <c r="H21" s="54">
        <f t="shared" si="5"/>
        <v>115.25</v>
      </c>
      <c r="I21" s="54">
        <f t="shared" si="6"/>
        <v>41.900000000000006</v>
      </c>
      <c r="J21" s="14">
        <f t="shared" si="7"/>
        <v>45.050000000000018</v>
      </c>
      <c r="K21" s="54">
        <f t="shared" si="8"/>
        <v>8454.802499999998</v>
      </c>
      <c r="M21" s="54">
        <f t="shared" si="2"/>
        <v>64.500690000000006</v>
      </c>
      <c r="N21" s="54">
        <f t="shared" si="9"/>
        <v>5256.1499504760995</v>
      </c>
      <c r="O21" s="54">
        <f t="shared" si="3"/>
        <v>53.294550000000001</v>
      </c>
      <c r="P21" s="54">
        <f t="shared" si="10"/>
        <v>7006.6023597024996</v>
      </c>
    </row>
    <row r="22" spans="2:16" ht="17" x14ac:dyDescent="0.2">
      <c r="B22" s="53"/>
      <c r="C22" s="52" t="s">
        <v>128</v>
      </c>
      <c r="D22" s="52">
        <v>61.6</v>
      </c>
      <c r="E22" s="12">
        <f t="shared" si="0"/>
        <v>7</v>
      </c>
      <c r="F22" s="54">
        <f t="shared" si="1"/>
        <v>99.3</v>
      </c>
      <c r="G22" s="54">
        <f t="shared" si="4"/>
        <v>96.8</v>
      </c>
      <c r="H22" s="54">
        <f t="shared" si="5"/>
        <v>101.8</v>
      </c>
      <c r="I22" s="54">
        <f t="shared" si="6"/>
        <v>5</v>
      </c>
      <c r="J22" s="14">
        <f t="shared" si="7"/>
        <v>157.15</v>
      </c>
      <c r="K22" s="54">
        <f t="shared" si="8"/>
        <v>9129.8025000000016</v>
      </c>
      <c r="M22" s="54">
        <f t="shared" si="2"/>
        <v>71.75062100000001</v>
      </c>
      <c r="N22" s="54">
        <f t="shared" si="9"/>
        <v>103.03510668564117</v>
      </c>
      <c r="O22" s="54">
        <f t="shared" si="3"/>
        <v>111.88836499999999</v>
      </c>
      <c r="P22" s="54">
        <f t="shared" si="10"/>
        <v>2528.9196543732241</v>
      </c>
    </row>
    <row r="23" spans="2:16" ht="17" x14ac:dyDescent="0.2">
      <c r="B23" s="53"/>
      <c r="C23" s="52" t="s">
        <v>129</v>
      </c>
      <c r="D23" s="52">
        <v>53.4</v>
      </c>
      <c r="E23" s="12">
        <f t="shared" si="0"/>
        <v>8</v>
      </c>
      <c r="F23" s="54">
        <f t="shared" si="1"/>
        <v>57.5</v>
      </c>
      <c r="G23" s="54">
        <f t="shared" si="4"/>
        <v>78.400000000000006</v>
      </c>
      <c r="H23" s="54">
        <f t="shared" si="5"/>
        <v>36.599999999999994</v>
      </c>
      <c r="I23" s="54">
        <f t="shared" si="6"/>
        <v>-41.800000000000011</v>
      </c>
      <c r="J23" s="14">
        <f t="shared" si="7"/>
        <v>106.8</v>
      </c>
      <c r="K23" s="54">
        <f t="shared" si="8"/>
        <v>2851.56</v>
      </c>
      <c r="M23" s="54">
        <f t="shared" si="2"/>
        <v>70.735558900000001</v>
      </c>
      <c r="N23" s="54">
        <f t="shared" si="9"/>
        <v>300.5216023753693</v>
      </c>
      <c r="O23" s="54">
        <f t="shared" si="3"/>
        <v>76.6865095</v>
      </c>
      <c r="P23" s="54">
        <f t="shared" si="10"/>
        <v>542.26152469359033</v>
      </c>
    </row>
    <row r="24" spans="2:16" ht="17" x14ac:dyDescent="0.2">
      <c r="B24" s="52">
        <v>2018</v>
      </c>
      <c r="C24" s="52" t="s">
        <v>126</v>
      </c>
      <c r="D24" s="52">
        <v>49.8</v>
      </c>
      <c r="E24" s="12">
        <f t="shared" si="0"/>
        <v>9</v>
      </c>
      <c r="F24" s="54">
        <f t="shared" si="1"/>
        <v>51.599999999999994</v>
      </c>
      <c r="G24" s="54">
        <f t="shared" si="4"/>
        <v>54.55</v>
      </c>
      <c r="H24" s="54">
        <f t="shared" si="5"/>
        <v>48.649999999999991</v>
      </c>
      <c r="I24" s="54">
        <f t="shared" si="6"/>
        <v>-5.9000000000000057</v>
      </c>
      <c r="J24" s="14">
        <f t="shared" si="7"/>
        <v>-5.2000000000000171</v>
      </c>
      <c r="K24" s="54">
        <f t="shared" si="8"/>
        <v>3025.0000000000014</v>
      </c>
      <c r="M24" s="54">
        <f t="shared" si="2"/>
        <v>69.002003009999996</v>
      </c>
      <c r="N24" s="54">
        <f t="shared" si="9"/>
        <v>368.71691959604902</v>
      </c>
      <c r="O24" s="54">
        <f t="shared" si="3"/>
        <v>60.385952849999995</v>
      </c>
      <c r="P24" s="54">
        <f t="shared" si="10"/>
        <v>112.06239774242309</v>
      </c>
    </row>
    <row r="25" spans="2:16" ht="17" x14ac:dyDescent="0.2">
      <c r="B25" s="53"/>
      <c r="C25" s="52" t="s">
        <v>127</v>
      </c>
      <c r="D25" s="52">
        <v>185.2</v>
      </c>
      <c r="E25" s="12">
        <f t="shared" si="0"/>
        <v>10</v>
      </c>
      <c r="F25" s="54">
        <f t="shared" si="1"/>
        <v>117.5</v>
      </c>
      <c r="G25" s="54">
        <f t="shared" si="4"/>
        <v>84.55</v>
      </c>
      <c r="H25" s="54">
        <f t="shared" si="5"/>
        <v>150.44999999999999</v>
      </c>
      <c r="I25" s="54">
        <f t="shared" si="6"/>
        <v>65.900000000000006</v>
      </c>
      <c r="J25" s="14">
        <f t="shared" si="7"/>
        <v>42.749999999999986</v>
      </c>
      <c r="K25" s="54">
        <f t="shared" si="8"/>
        <v>20292.002499999995</v>
      </c>
      <c r="M25" s="54">
        <f t="shared" si="2"/>
        <v>67.081802709000002</v>
      </c>
      <c r="N25" s="54">
        <f t="shared" si="9"/>
        <v>13951.908531275596</v>
      </c>
      <c r="O25" s="54">
        <f t="shared" si="3"/>
        <v>52.975785854999998</v>
      </c>
      <c r="P25" s="54">
        <f t="shared" si="10"/>
        <v>17483.242806262817</v>
      </c>
    </row>
    <row r="26" spans="2:16" ht="17" x14ac:dyDescent="0.2">
      <c r="B26" s="53"/>
      <c r="C26" s="52" t="s">
        <v>128</v>
      </c>
      <c r="D26" s="52">
        <v>108.3</v>
      </c>
      <c r="E26" s="12">
        <f t="shared" si="0"/>
        <v>11</v>
      </c>
      <c r="F26" s="54">
        <f t="shared" si="1"/>
        <v>146.75</v>
      </c>
      <c r="G26" s="54">
        <f t="shared" si="4"/>
        <v>132.125</v>
      </c>
      <c r="H26" s="54">
        <f t="shared" si="5"/>
        <v>161.375</v>
      </c>
      <c r="I26" s="54">
        <f t="shared" si="6"/>
        <v>29.25</v>
      </c>
      <c r="J26" s="14">
        <f t="shared" si="7"/>
        <v>216.35</v>
      </c>
      <c r="K26" s="54">
        <f t="shared" si="8"/>
        <v>11674.8025</v>
      </c>
      <c r="M26" s="54">
        <f t="shared" si="2"/>
        <v>78.893622438099996</v>
      </c>
      <c r="N26" s="54">
        <f t="shared" si="9"/>
        <v>864.73504131301581</v>
      </c>
      <c r="O26" s="54">
        <f t="shared" si="3"/>
        <v>145.53273575649999</v>
      </c>
      <c r="P26" s="54">
        <f t="shared" si="10"/>
        <v>1386.276611913353</v>
      </c>
    </row>
    <row r="27" spans="2:16" ht="17" x14ac:dyDescent="0.2">
      <c r="B27" s="53"/>
      <c r="C27" s="52" t="s">
        <v>129</v>
      </c>
      <c r="D27" s="52">
        <v>118.7</v>
      </c>
      <c r="E27" s="12">
        <f t="shared" si="0"/>
        <v>12</v>
      </c>
      <c r="F27" s="54">
        <f t="shared" si="1"/>
        <v>113.5</v>
      </c>
      <c r="G27" s="54">
        <f t="shared" si="4"/>
        <v>130.125</v>
      </c>
      <c r="H27" s="54">
        <f t="shared" si="5"/>
        <v>96.875</v>
      </c>
      <c r="I27" s="54">
        <f t="shared" si="6"/>
        <v>-33.25</v>
      </c>
      <c r="J27" s="14">
        <f t="shared" si="7"/>
        <v>190.625</v>
      </c>
      <c r="K27" s="54">
        <f t="shared" si="8"/>
        <v>5173.2056249999996</v>
      </c>
      <c r="M27" s="54">
        <f t="shared" si="2"/>
        <v>81.834260194289996</v>
      </c>
      <c r="N27" s="54">
        <f t="shared" si="9"/>
        <v>1359.0827714223112</v>
      </c>
      <c r="O27" s="54">
        <f t="shared" si="3"/>
        <v>119.46982072694999</v>
      </c>
      <c r="P27" s="54">
        <f t="shared" si="10"/>
        <v>0.59262395164180715</v>
      </c>
    </row>
    <row r="28" spans="2:16" ht="17" x14ac:dyDescent="0.2">
      <c r="B28" s="52">
        <v>2019</v>
      </c>
      <c r="C28" s="52" t="s">
        <v>126</v>
      </c>
      <c r="D28" s="52">
        <v>86</v>
      </c>
      <c r="E28" s="12">
        <f t="shared" si="0"/>
        <v>13</v>
      </c>
      <c r="F28" s="54">
        <f t="shared" si="1"/>
        <v>102.35</v>
      </c>
      <c r="G28" s="54">
        <f t="shared" si="4"/>
        <v>107.925</v>
      </c>
      <c r="H28" s="54">
        <f t="shared" si="5"/>
        <v>96.774999999999991</v>
      </c>
      <c r="I28" s="54">
        <f t="shared" si="6"/>
        <v>-11.150000000000006</v>
      </c>
      <c r="J28" s="14">
        <f t="shared" si="7"/>
        <v>63.625</v>
      </c>
      <c r="K28" s="54">
        <f t="shared" si="8"/>
        <v>500.640625</v>
      </c>
      <c r="M28" s="54">
        <f t="shared" si="2"/>
        <v>85.520834174861008</v>
      </c>
      <c r="N28" s="54">
        <f t="shared" si="9"/>
        <v>0.22959988798113093</v>
      </c>
      <c r="O28" s="54">
        <f t="shared" si="3"/>
        <v>118.93094621808501</v>
      </c>
      <c r="P28" s="54">
        <f t="shared" si="10"/>
        <v>1084.4472188184075</v>
      </c>
    </row>
    <row r="29" spans="2:16" ht="17" x14ac:dyDescent="0.2">
      <c r="B29" s="53"/>
      <c r="C29" s="52" t="s">
        <v>127</v>
      </c>
      <c r="D29" s="52">
        <v>158.4</v>
      </c>
      <c r="E29" s="12">
        <f t="shared" si="0"/>
        <v>14</v>
      </c>
      <c r="F29" s="54">
        <f t="shared" si="1"/>
        <v>122.2</v>
      </c>
      <c r="G29" s="54">
        <f t="shared" si="4"/>
        <v>112.27500000000001</v>
      </c>
      <c r="H29" s="54">
        <f t="shared" si="5"/>
        <v>132.125</v>
      </c>
      <c r="I29" s="54">
        <f t="shared" si="6"/>
        <v>19.849999999999994</v>
      </c>
      <c r="J29" s="14">
        <f t="shared" si="7"/>
        <v>85.624999999999986</v>
      </c>
      <c r="K29" s="54">
        <f t="shared" si="8"/>
        <v>5296.2006250000031</v>
      </c>
      <c r="M29" s="54">
        <f t="shared" si="2"/>
        <v>85.5687507573749</v>
      </c>
      <c r="N29" s="54">
        <f t="shared" si="9"/>
        <v>5304.3908662413796</v>
      </c>
      <c r="O29" s="54">
        <f t="shared" si="3"/>
        <v>95.879283865425506</v>
      </c>
      <c r="P29" s="54">
        <f t="shared" si="10"/>
        <v>3908.8399459800439</v>
      </c>
    </row>
    <row r="30" spans="2:16" ht="17" x14ac:dyDescent="0.2">
      <c r="B30" s="53"/>
      <c r="C30" s="52" t="s">
        <v>128</v>
      </c>
      <c r="D30" s="52">
        <v>107.1</v>
      </c>
      <c r="E30" s="12">
        <f t="shared" si="0"/>
        <v>15</v>
      </c>
      <c r="F30" s="54">
        <f t="shared" si="1"/>
        <v>132.75</v>
      </c>
      <c r="G30" s="54">
        <f t="shared" si="4"/>
        <v>127.47499999999999</v>
      </c>
      <c r="H30" s="54">
        <f t="shared" si="5"/>
        <v>138.02500000000001</v>
      </c>
      <c r="I30" s="54">
        <f t="shared" si="6"/>
        <v>10.550000000000011</v>
      </c>
      <c r="J30" s="14">
        <f t="shared" si="7"/>
        <v>151.97499999999999</v>
      </c>
      <c r="K30" s="54">
        <f t="shared" si="8"/>
        <v>2013.765625</v>
      </c>
      <c r="M30" s="54">
        <f t="shared" si="2"/>
        <v>92.851875681637409</v>
      </c>
      <c r="N30" s="54">
        <f t="shared" si="9"/>
        <v>203.00904659151527</v>
      </c>
      <c r="O30" s="54">
        <f t="shared" si="3"/>
        <v>139.64378515962764</v>
      </c>
      <c r="P30" s="54">
        <f t="shared" si="10"/>
        <v>1059.0979525160005</v>
      </c>
    </row>
    <row r="31" spans="2:16" ht="17" x14ac:dyDescent="0.2">
      <c r="B31" s="53"/>
      <c r="C31" s="52" t="s">
        <v>129</v>
      </c>
      <c r="D31" s="52">
        <v>92.5</v>
      </c>
      <c r="E31" s="12">
        <f t="shared" si="0"/>
        <v>16</v>
      </c>
      <c r="F31" s="54">
        <f t="shared" si="1"/>
        <v>99.8</v>
      </c>
      <c r="G31" s="54">
        <f t="shared" si="4"/>
        <v>116.27500000000001</v>
      </c>
      <c r="H31" s="54">
        <f t="shared" si="5"/>
        <v>83.324999999999989</v>
      </c>
      <c r="I31" s="54">
        <f t="shared" si="6"/>
        <v>-32.950000000000017</v>
      </c>
      <c r="J31" s="14">
        <f t="shared" si="7"/>
        <v>148.57500000000002</v>
      </c>
      <c r="K31" s="54">
        <f t="shared" si="8"/>
        <v>3144.4056250000017</v>
      </c>
      <c r="M31" s="54">
        <f t="shared" si="2"/>
        <v>94.276688113473682</v>
      </c>
      <c r="N31" s="54">
        <f t="shared" si="9"/>
        <v>3.1566206525586713</v>
      </c>
      <c r="O31" s="54">
        <f t="shared" si="3"/>
        <v>116.86313554788828</v>
      </c>
      <c r="P31" s="54">
        <f t="shared" si="10"/>
        <v>593.56237372477744</v>
      </c>
    </row>
    <row r="32" spans="2:16" ht="17" x14ac:dyDescent="0.2">
      <c r="B32" s="52">
        <v>2020</v>
      </c>
      <c r="C32" s="52" t="s">
        <v>126</v>
      </c>
      <c r="D32" s="52">
        <v>84.8</v>
      </c>
      <c r="E32" s="12">
        <f t="shared" si="0"/>
        <v>17</v>
      </c>
      <c r="F32" s="54">
        <f t="shared" si="1"/>
        <v>88.65</v>
      </c>
      <c r="G32" s="54">
        <f t="shared" si="4"/>
        <v>94.224999999999994</v>
      </c>
      <c r="H32" s="54">
        <f t="shared" si="5"/>
        <v>83.075000000000017</v>
      </c>
      <c r="I32" s="54">
        <f t="shared" si="6"/>
        <v>-11.149999999999977</v>
      </c>
      <c r="J32" s="14">
        <f t="shared" si="7"/>
        <v>50.374999999999972</v>
      </c>
      <c r="K32" s="54">
        <f t="shared" si="8"/>
        <v>1185.0806250000019</v>
      </c>
      <c r="M32" s="54">
        <f t="shared" si="2"/>
        <v>94.099019302126322</v>
      </c>
      <c r="N32" s="54">
        <f t="shared" si="9"/>
        <v>86.471759981317973</v>
      </c>
      <c r="O32" s="54">
        <f t="shared" si="3"/>
        <v>99.808940664366489</v>
      </c>
      <c r="P32" s="54">
        <f t="shared" si="10"/>
        <v>225.26829986647405</v>
      </c>
    </row>
    <row r="33" spans="2:16" ht="17" x14ac:dyDescent="0.2">
      <c r="B33" s="53"/>
      <c r="C33" s="52" t="s">
        <v>127</v>
      </c>
      <c r="D33" s="52">
        <v>149.80000000000001</v>
      </c>
      <c r="E33" s="12">
        <f t="shared" si="0"/>
        <v>18</v>
      </c>
      <c r="F33" s="54">
        <f t="shared" si="1"/>
        <v>117.30000000000001</v>
      </c>
      <c r="G33" s="54">
        <f t="shared" si="4"/>
        <v>102.97500000000001</v>
      </c>
      <c r="H33" s="54">
        <f t="shared" si="5"/>
        <v>131.625</v>
      </c>
      <c r="I33" s="54">
        <f t="shared" si="6"/>
        <v>28.650000000000006</v>
      </c>
      <c r="J33" s="14">
        <f t="shared" si="7"/>
        <v>71.92500000000004</v>
      </c>
      <c r="K33" s="54">
        <f t="shared" si="8"/>
        <v>6064.5156249999955</v>
      </c>
      <c r="M33" s="54">
        <f t="shared" si="2"/>
        <v>93.1691173719137</v>
      </c>
      <c r="N33" s="54">
        <f t="shared" si="9"/>
        <v>3207.0568672360878</v>
      </c>
      <c r="O33" s="54">
        <f t="shared" si="3"/>
        <v>89.302682199309942</v>
      </c>
      <c r="P33" s="54">
        <f t="shared" si="10"/>
        <v>3659.9254610776916</v>
      </c>
    </row>
    <row r="34" spans="2:16" ht="17" x14ac:dyDescent="0.2">
      <c r="B34" s="53"/>
      <c r="C34" s="52" t="s">
        <v>128</v>
      </c>
      <c r="D34" s="52">
        <v>101.1</v>
      </c>
      <c r="E34" s="12">
        <f t="shared" si="0"/>
        <v>19</v>
      </c>
      <c r="F34" s="54">
        <f t="shared" si="1"/>
        <v>125.45</v>
      </c>
      <c r="G34" s="54">
        <f t="shared" si="4"/>
        <v>121.375</v>
      </c>
      <c r="H34" s="54">
        <f t="shared" si="5"/>
        <v>129.52500000000001</v>
      </c>
      <c r="I34" s="54">
        <f t="shared" si="6"/>
        <v>8.1500000000000057</v>
      </c>
      <c r="J34" s="14">
        <f t="shared" si="7"/>
        <v>160.27500000000001</v>
      </c>
      <c r="K34" s="54">
        <f t="shared" si="8"/>
        <v>3501.6806250000013</v>
      </c>
      <c r="M34" s="54">
        <f t="shared" si="2"/>
        <v>98.832205634722342</v>
      </c>
      <c r="N34" s="54">
        <f t="shared" si="9"/>
        <v>5.1428912831850688</v>
      </c>
      <c r="O34" s="54">
        <f t="shared" si="3"/>
        <v>131.65080465979298</v>
      </c>
      <c r="P34" s="54">
        <f t="shared" si="10"/>
        <v>933.35166536082897</v>
      </c>
    </row>
    <row r="35" spans="2:16" ht="17" x14ac:dyDescent="0.2">
      <c r="B35" s="53"/>
      <c r="C35" s="52" t="s">
        <v>129</v>
      </c>
      <c r="D35" s="52">
        <v>88.6</v>
      </c>
      <c r="E35" s="12">
        <f t="shared" si="0"/>
        <v>20</v>
      </c>
      <c r="F35" s="54">
        <f t="shared" si="1"/>
        <v>94.85</v>
      </c>
      <c r="G35" s="54">
        <f t="shared" si="4"/>
        <v>110.15</v>
      </c>
      <c r="H35" s="54">
        <f t="shared" si="5"/>
        <v>79.549999999999983</v>
      </c>
      <c r="I35" s="54">
        <f t="shared" si="6"/>
        <v>-30.600000000000023</v>
      </c>
      <c r="J35" s="14">
        <f t="shared" si="7"/>
        <v>137.67500000000001</v>
      </c>
      <c r="K35" s="54">
        <f t="shared" si="8"/>
        <v>2408.3556250000015</v>
      </c>
      <c r="M35" s="54">
        <f t="shared" si="2"/>
        <v>99.058985071250106</v>
      </c>
      <c r="N35" s="54">
        <f t="shared" si="9"/>
        <v>109.39036872063271</v>
      </c>
      <c r="O35" s="54">
        <f t="shared" si="3"/>
        <v>110.2652413979379</v>
      </c>
      <c r="P35" s="54">
        <f t="shared" si="10"/>
        <v>469.38268483092236</v>
      </c>
    </row>
    <row r="36" spans="2:16" ht="17" x14ac:dyDescent="0.2">
      <c r="B36" s="52">
        <v>2021</v>
      </c>
      <c r="C36" s="52" t="s">
        <v>126</v>
      </c>
      <c r="D36" s="52">
        <v>68.7</v>
      </c>
      <c r="E36" s="12">
        <f t="shared" si="0"/>
        <v>21</v>
      </c>
      <c r="F36" s="54">
        <f t="shared" si="1"/>
        <v>78.650000000000006</v>
      </c>
      <c r="G36" s="54">
        <f t="shared" si="4"/>
        <v>86.75</v>
      </c>
      <c r="H36" s="54">
        <f t="shared" si="5"/>
        <v>70.550000000000011</v>
      </c>
      <c r="I36" s="54">
        <f t="shared" si="6"/>
        <v>-16.199999999999989</v>
      </c>
      <c r="J36" s="14">
        <f t="shared" si="7"/>
        <v>48.94999999999996</v>
      </c>
      <c r="K36" s="54">
        <f t="shared" si="8"/>
        <v>390.06250000000171</v>
      </c>
      <c r="M36" s="54">
        <f t="shared" si="2"/>
        <v>98.013086564125103</v>
      </c>
      <c r="N36" s="54">
        <f t="shared" si="9"/>
        <v>859.25704391589147</v>
      </c>
      <c r="O36" s="54">
        <f t="shared" si="3"/>
        <v>95.09957241938136</v>
      </c>
      <c r="P36" s="54">
        <f t="shared" si="10"/>
        <v>696.93742392616082</v>
      </c>
    </row>
    <row r="37" spans="2:16" ht="17" x14ac:dyDescent="0.2">
      <c r="B37" s="53"/>
      <c r="C37" s="52" t="s">
        <v>127</v>
      </c>
      <c r="D37" s="52">
        <v>136.80000000000001</v>
      </c>
      <c r="E37" s="12">
        <f t="shared" si="0"/>
        <v>22</v>
      </c>
      <c r="F37" s="54">
        <f t="shared" si="1"/>
        <v>102.75</v>
      </c>
      <c r="G37" s="54">
        <f t="shared" si="4"/>
        <v>90.7</v>
      </c>
      <c r="H37" s="54">
        <f t="shared" si="5"/>
        <v>114.8</v>
      </c>
      <c r="I37" s="54">
        <f t="shared" si="6"/>
        <v>24.099999999999994</v>
      </c>
      <c r="J37" s="14">
        <f t="shared" si="7"/>
        <v>54.350000000000023</v>
      </c>
      <c r="K37" s="54">
        <f t="shared" si="8"/>
        <v>6798.0024999999978</v>
      </c>
      <c r="M37" s="54">
        <f t="shared" si="2"/>
        <v>95.081777907712606</v>
      </c>
      <c r="N37" s="54">
        <f t="shared" si="9"/>
        <v>1740.4100545414169</v>
      </c>
      <c r="O37" s="54">
        <f t="shared" si="3"/>
        <v>76.619871725814406</v>
      </c>
      <c r="P37" s="54">
        <f t="shared" si="10"/>
        <v>3621.6478390974339</v>
      </c>
    </row>
    <row r="38" spans="2:16" ht="17" x14ac:dyDescent="0.2">
      <c r="B38" s="53"/>
      <c r="C38" s="52" t="s">
        <v>128</v>
      </c>
      <c r="D38" s="52">
        <v>94.2</v>
      </c>
      <c r="E38" s="12">
        <f t="shared" si="0"/>
        <v>23</v>
      </c>
      <c r="F38" s="54">
        <f t="shared" si="1"/>
        <v>115.5</v>
      </c>
      <c r="G38" s="54">
        <f t="shared" si="4"/>
        <v>109.125</v>
      </c>
      <c r="H38" s="54">
        <f t="shared" si="5"/>
        <v>121.875</v>
      </c>
      <c r="I38" s="54">
        <f t="shared" si="6"/>
        <v>12.75</v>
      </c>
      <c r="J38" s="14">
        <f t="shared" si="7"/>
        <v>138.89999999999998</v>
      </c>
      <c r="K38" s="54">
        <f t="shared" si="8"/>
        <v>1998.0899999999976</v>
      </c>
      <c r="M38" s="54">
        <f t="shared" si="2"/>
        <v>99.253600116941357</v>
      </c>
      <c r="N38" s="54">
        <f t="shared" si="9"/>
        <v>25.538874141949666</v>
      </c>
      <c r="O38" s="54">
        <f t="shared" si="3"/>
        <v>118.74596151774433</v>
      </c>
      <c r="P38" s="54">
        <f t="shared" si="10"/>
        <v>602.50422683058559</v>
      </c>
    </row>
    <row r="39" spans="2:16" ht="17" x14ac:dyDescent="0.2">
      <c r="B39" s="53"/>
      <c r="C39" s="52" t="s">
        <v>129</v>
      </c>
      <c r="D39" s="52">
        <v>82.3</v>
      </c>
      <c r="E39" s="12">
        <f t="shared" si="0"/>
        <v>24</v>
      </c>
      <c r="F39" s="54">
        <f t="shared" si="1"/>
        <v>88.25</v>
      </c>
      <c r="G39" s="54">
        <f t="shared" si="4"/>
        <v>101.875</v>
      </c>
      <c r="H39" s="54">
        <f t="shared" si="5"/>
        <v>74.625</v>
      </c>
      <c r="I39" s="54">
        <f t="shared" si="6"/>
        <v>-27.25</v>
      </c>
      <c r="J39" s="14">
        <f t="shared" si="7"/>
        <v>134.625</v>
      </c>
      <c r="K39" s="54">
        <f t="shared" si="8"/>
        <v>2737.9056250000003</v>
      </c>
      <c r="M39" s="54">
        <f t="shared" si="2"/>
        <v>98.74824010524722</v>
      </c>
      <c r="N39" s="54">
        <f t="shared" si="9"/>
        <v>270.54460255986316</v>
      </c>
      <c r="O39" s="54">
        <f t="shared" si="3"/>
        <v>101.56378845532331</v>
      </c>
      <c r="P39" s="54">
        <f t="shared" si="10"/>
        <v>371.09354565144753</v>
      </c>
    </row>
    <row r="40" spans="2:16" ht="17" x14ac:dyDescent="0.2">
      <c r="B40" s="52">
        <v>2022</v>
      </c>
      <c r="C40" s="52" t="s">
        <v>126</v>
      </c>
      <c r="D40" s="52">
        <v>71.599999999999994</v>
      </c>
      <c r="E40" s="12">
        <f t="shared" si="0"/>
        <v>25</v>
      </c>
      <c r="F40" s="54">
        <f t="shared" si="1"/>
        <v>76.949999999999989</v>
      </c>
      <c r="G40" s="54">
        <f t="shared" si="4"/>
        <v>82.6</v>
      </c>
      <c r="H40" s="54">
        <f t="shared" si="5"/>
        <v>71.299999999999983</v>
      </c>
      <c r="I40" s="54">
        <f t="shared" si="6"/>
        <v>-11.300000000000011</v>
      </c>
      <c r="J40" s="14">
        <f t="shared" si="7"/>
        <v>47.375</v>
      </c>
      <c r="K40" s="54">
        <f t="shared" si="8"/>
        <v>586.8506249999997</v>
      </c>
      <c r="M40" s="54">
        <f t="shared" si="2"/>
        <v>97.103416094722505</v>
      </c>
      <c r="N40" s="54">
        <f t="shared" si="9"/>
        <v>650.42423250055117</v>
      </c>
      <c r="O40" s="54">
        <f t="shared" si="3"/>
        <v>88.079136536596991</v>
      </c>
      <c r="P40" s="54">
        <f t="shared" si="10"/>
        <v>271.56194099180607</v>
      </c>
    </row>
    <row r="41" spans="2:16" ht="17" x14ac:dyDescent="0.2">
      <c r="B41" s="53"/>
      <c r="C41" s="52" t="s">
        <v>127</v>
      </c>
      <c r="D41" s="52">
        <v>136.1</v>
      </c>
      <c r="E41" s="12">
        <f t="shared" si="0"/>
        <v>26</v>
      </c>
      <c r="F41" s="54">
        <f t="shared" si="1"/>
        <v>103.85</v>
      </c>
      <c r="G41" s="54">
        <f t="shared" si="4"/>
        <v>90.399999999999991</v>
      </c>
      <c r="H41" s="54">
        <f t="shared" si="5"/>
        <v>117.3</v>
      </c>
      <c r="I41" s="54">
        <f t="shared" si="6"/>
        <v>26.900000000000006</v>
      </c>
      <c r="J41" s="14">
        <f t="shared" si="7"/>
        <v>59.999999999999972</v>
      </c>
      <c r="K41" s="54">
        <f t="shared" si="8"/>
        <v>5791.2100000000037</v>
      </c>
      <c r="M41" s="54">
        <f t="shared" si="2"/>
        <v>94.553074485250249</v>
      </c>
      <c r="N41" s="54">
        <f t="shared" si="9"/>
        <v>1726.1470197281633</v>
      </c>
      <c r="O41" s="54">
        <f t="shared" si="3"/>
        <v>76.543740960979093</v>
      </c>
      <c r="P41" s="54">
        <f t="shared" si="10"/>
        <v>3546.9479907229588</v>
      </c>
    </row>
    <row r="42" spans="2:16" ht="17" x14ac:dyDescent="0.2">
      <c r="B42" s="53"/>
      <c r="C42" s="52" t="s">
        <v>128</v>
      </c>
      <c r="D42" s="52">
        <v>92.4</v>
      </c>
      <c r="E42" s="12">
        <f t="shared" si="0"/>
        <v>27</v>
      </c>
      <c r="F42" s="54">
        <f t="shared" si="1"/>
        <v>114.25</v>
      </c>
      <c r="G42" s="54">
        <f t="shared" si="4"/>
        <v>109.05</v>
      </c>
      <c r="H42" s="54">
        <f t="shared" si="5"/>
        <v>119.45</v>
      </c>
      <c r="I42" s="54">
        <f t="shared" si="6"/>
        <v>10.400000000000006</v>
      </c>
      <c r="J42" s="14">
        <f t="shared" si="7"/>
        <v>144.19999999999999</v>
      </c>
      <c r="K42" s="54">
        <f t="shared" si="8"/>
        <v>2683.2399999999984</v>
      </c>
      <c r="M42" s="54">
        <f t="shared" si="2"/>
        <v>98.70776703672523</v>
      </c>
      <c r="N42" s="54">
        <f t="shared" si="9"/>
        <v>39.787924989597315</v>
      </c>
      <c r="O42" s="54">
        <f t="shared" si="3"/>
        <v>118.23312228829373</v>
      </c>
      <c r="P42" s="54">
        <f t="shared" si="10"/>
        <v>667.35020716193787</v>
      </c>
    </row>
    <row r="43" spans="2:16" ht="17" x14ac:dyDescent="0.2">
      <c r="B43" s="53"/>
      <c r="C43" s="52" t="s">
        <v>129</v>
      </c>
      <c r="D43" s="52">
        <v>82.5</v>
      </c>
      <c r="E43" s="12">
        <f t="shared" si="0"/>
        <v>28</v>
      </c>
      <c r="F43" s="54">
        <f t="shared" si="1"/>
        <v>87.45</v>
      </c>
      <c r="G43" s="54">
        <f t="shared" si="4"/>
        <v>100.85</v>
      </c>
      <c r="H43" s="54">
        <f t="shared" si="5"/>
        <v>74.050000000000011</v>
      </c>
      <c r="I43" s="54">
        <f t="shared" si="6"/>
        <v>-26.799999999999983</v>
      </c>
      <c r="J43" s="14">
        <f t="shared" si="7"/>
        <v>129.85000000000002</v>
      </c>
      <c r="K43" s="54">
        <f t="shared" si="8"/>
        <v>2242.0225000000023</v>
      </c>
      <c r="M43" s="54">
        <f t="shared" si="2"/>
        <v>98.076990333052706</v>
      </c>
      <c r="N43" s="54">
        <f t="shared" si="9"/>
        <v>242.64262783601745</v>
      </c>
      <c r="O43" s="54">
        <f t="shared" si="3"/>
        <v>100.14993668648813</v>
      </c>
      <c r="P43" s="54">
        <f t="shared" si="10"/>
        <v>311.52026503703968</v>
      </c>
    </row>
    <row r="44" spans="2:16" ht="17" x14ac:dyDescent="0.2">
      <c r="B44" s="52">
        <v>2023</v>
      </c>
      <c r="C44" s="52" t="s">
        <v>126</v>
      </c>
      <c r="D44" s="52">
        <v>70.7</v>
      </c>
      <c r="E44" s="12">
        <f t="shared" si="0"/>
        <v>29</v>
      </c>
      <c r="F44" s="54">
        <f t="shared" si="1"/>
        <v>76.599999999999994</v>
      </c>
      <c r="G44" s="54">
        <f t="shared" si="4"/>
        <v>82.025000000000006</v>
      </c>
      <c r="H44" s="54">
        <f t="shared" si="5"/>
        <v>71.174999999999983</v>
      </c>
      <c r="I44" s="54">
        <f t="shared" si="6"/>
        <v>-10.850000000000023</v>
      </c>
      <c r="J44" s="14">
        <f t="shared" si="7"/>
        <v>47.250000000000028</v>
      </c>
      <c r="K44" s="54">
        <f t="shared" si="8"/>
        <v>549.90249999999878</v>
      </c>
      <c r="M44" s="54">
        <f t="shared" si="2"/>
        <v>96.519291299747437</v>
      </c>
      <c r="N44" s="54">
        <f t="shared" si="9"/>
        <v>666.63580322121356</v>
      </c>
      <c r="O44" s="54">
        <f t="shared" si="3"/>
        <v>87.79498100594644</v>
      </c>
      <c r="P44" s="54">
        <f t="shared" si="10"/>
        <v>292.23837559366945</v>
      </c>
    </row>
    <row r="45" spans="2:16" ht="17" x14ac:dyDescent="0.2">
      <c r="B45" s="53"/>
      <c r="C45" s="52" t="s">
        <v>127</v>
      </c>
      <c r="D45" s="52" t="s">
        <v>130</v>
      </c>
      <c r="E45" s="12">
        <f t="shared" si="0"/>
        <v>30</v>
      </c>
      <c r="F45" s="12"/>
      <c r="G45" s="12"/>
      <c r="H45" s="12"/>
      <c r="I45" s="12"/>
      <c r="J45" s="56">
        <f t="shared" si="7"/>
        <v>60.32499999999996</v>
      </c>
      <c r="K45" s="12"/>
      <c r="M45" s="56">
        <f t="shared" si="2"/>
        <v>93.937362169772683</v>
      </c>
      <c r="N45" s="12"/>
      <c r="O45" s="56">
        <f t="shared" si="3"/>
        <v>75.828494301783934</v>
      </c>
      <c r="P45" s="12"/>
    </row>
    <row r="47" spans="2:16" x14ac:dyDescent="0.2">
      <c r="K47" s="55">
        <f>AVERAGE(K19:K44)</f>
        <v>4222.6795913461547</v>
      </c>
      <c r="N47" s="84">
        <f>AVERAGE(N19:N44)</f>
        <v>1451.9248750378238</v>
      </c>
      <c r="P47" s="55">
        <f>AVERAGE(P19:P44)</f>
        <v>1984.2175374260673</v>
      </c>
    </row>
    <row r="50" spans="2:6" x14ac:dyDescent="0.2">
      <c r="B50" t="s">
        <v>133</v>
      </c>
    </row>
    <row r="53" spans="2:6" x14ac:dyDescent="0.2">
      <c r="B53" t="s">
        <v>134</v>
      </c>
    </row>
    <row r="55" spans="2:6" ht="17" x14ac:dyDescent="0.2">
      <c r="B55" s="1" t="s">
        <v>94</v>
      </c>
      <c r="C55" s="1">
        <v>1</v>
      </c>
      <c r="D55" s="1">
        <v>2</v>
      </c>
      <c r="E55" s="1">
        <v>3</v>
      </c>
      <c r="F55" s="1">
        <v>4</v>
      </c>
    </row>
    <row r="56" spans="2:6" ht="17" x14ac:dyDescent="0.2">
      <c r="B56" s="2">
        <v>2016</v>
      </c>
      <c r="C56" s="2" t="s">
        <v>135</v>
      </c>
      <c r="D56" s="2" t="s">
        <v>136</v>
      </c>
      <c r="E56" s="2" t="s">
        <v>137</v>
      </c>
      <c r="F56" s="2" t="s">
        <v>138</v>
      </c>
    </row>
    <row r="57" spans="2:6" ht="17" x14ac:dyDescent="0.2">
      <c r="B57" s="2">
        <v>2017</v>
      </c>
      <c r="C57" s="2" t="s">
        <v>139</v>
      </c>
      <c r="D57" s="2" t="s">
        <v>140</v>
      </c>
      <c r="E57" s="2" t="s">
        <v>141</v>
      </c>
      <c r="F57" s="2" t="s">
        <v>137</v>
      </c>
    </row>
    <row r="58" spans="2:6" ht="17" x14ac:dyDescent="0.2">
      <c r="B58" s="2">
        <v>2018</v>
      </c>
      <c r="C58" s="2" t="s">
        <v>142</v>
      </c>
      <c r="D58" s="2" t="s">
        <v>143</v>
      </c>
      <c r="E58" s="2" t="s">
        <v>144</v>
      </c>
      <c r="F58" s="2" t="s">
        <v>145</v>
      </c>
    </row>
    <row r="59" spans="2:6" ht="17" x14ac:dyDescent="0.2">
      <c r="B59" s="2">
        <v>2019</v>
      </c>
      <c r="C59" s="2" t="s">
        <v>146</v>
      </c>
      <c r="D59" s="2" t="s">
        <v>147</v>
      </c>
      <c r="E59" s="2" t="s">
        <v>148</v>
      </c>
      <c r="F59" s="2" t="s">
        <v>149</v>
      </c>
    </row>
    <row r="60" spans="2:6" ht="17" x14ac:dyDescent="0.2">
      <c r="B60" s="2">
        <v>2020</v>
      </c>
      <c r="C60" s="2" t="s">
        <v>150</v>
      </c>
      <c r="D60" s="2" t="s">
        <v>151</v>
      </c>
      <c r="E60" s="2" t="s">
        <v>152</v>
      </c>
      <c r="F60" s="2" t="s">
        <v>153</v>
      </c>
    </row>
    <row r="61" spans="2:6" ht="17" x14ac:dyDescent="0.2">
      <c r="B61" s="2">
        <v>2021</v>
      </c>
      <c r="C61" s="2" t="s">
        <v>154</v>
      </c>
      <c r="D61" s="2" t="s">
        <v>155</v>
      </c>
      <c r="E61" s="2" t="s">
        <v>156</v>
      </c>
      <c r="F61" s="2" t="s">
        <v>157</v>
      </c>
    </row>
    <row r="62" spans="2:6" ht="17" x14ac:dyDescent="0.2">
      <c r="B62" s="2">
        <v>2022</v>
      </c>
      <c r="C62" s="2" t="s">
        <v>158</v>
      </c>
      <c r="D62" s="2" t="s">
        <v>159</v>
      </c>
      <c r="E62" s="2" t="s">
        <v>160</v>
      </c>
      <c r="F62" s="2" t="s">
        <v>161</v>
      </c>
    </row>
    <row r="63" spans="2:6" ht="17" x14ac:dyDescent="0.2">
      <c r="B63" s="2">
        <v>2023</v>
      </c>
      <c r="C63" s="2" t="s">
        <v>162</v>
      </c>
      <c r="D63" s="2" t="s">
        <v>163</v>
      </c>
      <c r="E63" s="2" t="s">
        <v>164</v>
      </c>
      <c r="F63" s="2" t="s">
        <v>165</v>
      </c>
    </row>
    <row r="66" spans="2:6" ht="15" customHeight="1" x14ac:dyDescent="0.2">
      <c r="B66" s="49" t="s">
        <v>0</v>
      </c>
      <c r="C66" s="50" t="s">
        <v>124</v>
      </c>
      <c r="D66" s="50" t="s">
        <v>125</v>
      </c>
      <c r="E66" s="13" t="str">
        <f>M15</f>
        <v>Valor Atenuado</v>
      </c>
      <c r="F66" s="50" t="s">
        <v>166</v>
      </c>
    </row>
    <row r="67" spans="2:6" ht="17" x14ac:dyDescent="0.2">
      <c r="B67" s="52">
        <v>2016</v>
      </c>
      <c r="C67" s="52" t="s">
        <v>126</v>
      </c>
      <c r="D67" s="52">
        <v>51.6</v>
      </c>
      <c r="E67" s="54">
        <f t="shared" ref="E67:E95" si="11">M16</f>
        <v>67.266666666666666</v>
      </c>
      <c r="F67" s="57">
        <v>54.8</v>
      </c>
    </row>
    <row r="68" spans="2:6" ht="17" x14ac:dyDescent="0.2">
      <c r="B68" s="53"/>
      <c r="C68" s="52" t="s">
        <v>127</v>
      </c>
      <c r="D68" s="52">
        <v>88.8</v>
      </c>
      <c r="E68" s="54">
        <f t="shared" si="11"/>
        <v>65.7</v>
      </c>
      <c r="F68" s="57">
        <v>130.4</v>
      </c>
    </row>
    <row r="69" spans="2:6" ht="17" x14ac:dyDescent="0.2">
      <c r="B69" s="53"/>
      <c r="C69" s="52" t="s">
        <v>128</v>
      </c>
      <c r="D69" s="52">
        <v>61.4</v>
      </c>
      <c r="E69" s="54">
        <f t="shared" si="11"/>
        <v>68.010000000000005</v>
      </c>
      <c r="F69" s="57">
        <v>73.3</v>
      </c>
    </row>
    <row r="70" spans="2:6" ht="17" x14ac:dyDescent="0.2">
      <c r="B70" s="53"/>
      <c r="C70" s="52" t="s">
        <v>129</v>
      </c>
      <c r="D70" s="52">
        <v>53.2</v>
      </c>
      <c r="E70" s="54">
        <f t="shared" si="11"/>
        <v>67.349000000000004</v>
      </c>
      <c r="F70" s="57">
        <v>69.2</v>
      </c>
    </row>
    <row r="71" spans="2:6" ht="17" x14ac:dyDescent="0.2">
      <c r="B71" s="52">
        <v>2017</v>
      </c>
      <c r="C71" s="52" t="s">
        <v>126</v>
      </c>
      <c r="D71" s="52">
        <v>51.6</v>
      </c>
      <c r="E71" s="54">
        <f t="shared" si="11"/>
        <v>65.934100000000001</v>
      </c>
      <c r="F71" s="57">
        <v>58.2</v>
      </c>
    </row>
    <row r="72" spans="2:6" ht="17" x14ac:dyDescent="0.2">
      <c r="B72" s="53"/>
      <c r="C72" s="52" t="s">
        <v>127</v>
      </c>
      <c r="D72" s="52">
        <v>137</v>
      </c>
      <c r="E72" s="54">
        <f t="shared" si="11"/>
        <v>64.500690000000006</v>
      </c>
      <c r="F72" s="57">
        <v>134.4</v>
      </c>
    </row>
    <row r="73" spans="2:6" ht="17" x14ac:dyDescent="0.2">
      <c r="B73" s="53"/>
      <c r="C73" s="52" t="s">
        <v>128</v>
      </c>
      <c r="D73" s="52">
        <v>61.6</v>
      </c>
      <c r="E73" s="54">
        <f t="shared" si="11"/>
        <v>71.75062100000001</v>
      </c>
      <c r="F73" s="57">
        <v>78.7</v>
      </c>
    </row>
    <row r="74" spans="2:6" ht="17" x14ac:dyDescent="0.2">
      <c r="B74" s="53"/>
      <c r="C74" s="52" t="s">
        <v>129</v>
      </c>
      <c r="D74" s="52">
        <v>53.4</v>
      </c>
      <c r="E74" s="54">
        <f t="shared" si="11"/>
        <v>70.735558900000001</v>
      </c>
      <c r="F74" s="57">
        <v>73.3</v>
      </c>
    </row>
    <row r="75" spans="2:6" ht="17" x14ac:dyDescent="0.2">
      <c r="B75" s="52">
        <v>2018</v>
      </c>
      <c r="C75" s="52" t="s">
        <v>126</v>
      </c>
      <c r="D75" s="52">
        <v>49.8</v>
      </c>
      <c r="E75" s="54">
        <f t="shared" si="11"/>
        <v>69.002003009999996</v>
      </c>
      <c r="F75" s="57">
        <v>61.7</v>
      </c>
    </row>
    <row r="76" spans="2:6" ht="17" x14ac:dyDescent="0.2">
      <c r="B76" s="53"/>
      <c r="C76" s="52" t="s">
        <v>127</v>
      </c>
      <c r="D76" s="52">
        <v>185.2</v>
      </c>
      <c r="E76" s="54">
        <f t="shared" si="11"/>
        <v>67.081802709000002</v>
      </c>
      <c r="F76" s="57">
        <v>137.9</v>
      </c>
    </row>
    <row r="77" spans="2:6" ht="17" x14ac:dyDescent="0.2">
      <c r="B77" s="53"/>
      <c r="C77" s="52" t="s">
        <v>128</v>
      </c>
      <c r="D77" s="52">
        <v>108.3</v>
      </c>
      <c r="E77" s="54">
        <f t="shared" si="11"/>
        <v>78.893622438099996</v>
      </c>
      <c r="F77" s="57">
        <v>84.1</v>
      </c>
    </row>
    <row r="78" spans="2:6" ht="17" x14ac:dyDescent="0.2">
      <c r="B78" s="53"/>
      <c r="C78" s="52" t="s">
        <v>129</v>
      </c>
      <c r="D78" s="52">
        <v>118.7</v>
      </c>
      <c r="E78" s="54">
        <f t="shared" si="11"/>
        <v>81.834260194289996</v>
      </c>
      <c r="F78" s="57">
        <v>77.5</v>
      </c>
    </row>
    <row r="79" spans="2:6" ht="17" x14ac:dyDescent="0.2">
      <c r="B79" s="52">
        <v>2019</v>
      </c>
      <c r="C79" s="52" t="s">
        <v>126</v>
      </c>
      <c r="D79" s="52">
        <v>86</v>
      </c>
      <c r="E79" s="54">
        <f t="shared" si="11"/>
        <v>85.520834174861008</v>
      </c>
      <c r="F79" s="57">
        <v>65.099999999999994</v>
      </c>
    </row>
    <row r="80" spans="2:6" ht="17" x14ac:dyDescent="0.2">
      <c r="B80" s="53"/>
      <c r="C80" s="52" t="s">
        <v>127</v>
      </c>
      <c r="D80" s="52">
        <v>158.4</v>
      </c>
      <c r="E80" s="54">
        <f t="shared" si="11"/>
        <v>85.5687507573749</v>
      </c>
      <c r="F80" s="57">
        <v>145.5</v>
      </c>
    </row>
    <row r="81" spans="2:6" ht="17" x14ac:dyDescent="0.2">
      <c r="B81" s="53"/>
      <c r="C81" s="52" t="s">
        <v>128</v>
      </c>
      <c r="D81" s="52">
        <v>107.1</v>
      </c>
      <c r="E81" s="54">
        <f t="shared" si="11"/>
        <v>92.851875681637409</v>
      </c>
      <c r="F81" s="57">
        <v>89.4</v>
      </c>
    </row>
    <row r="82" spans="2:6" ht="17" x14ac:dyDescent="0.2">
      <c r="B82" s="53"/>
      <c r="C82" s="52" t="s">
        <v>129</v>
      </c>
      <c r="D82" s="52">
        <v>92.5</v>
      </c>
      <c r="E82" s="54">
        <f t="shared" si="11"/>
        <v>94.276688113473682</v>
      </c>
      <c r="F82" s="57">
        <v>81.599999999999994</v>
      </c>
    </row>
    <row r="83" spans="2:6" ht="17" x14ac:dyDescent="0.2">
      <c r="B83" s="52">
        <v>2020</v>
      </c>
      <c r="C83" s="52" t="s">
        <v>126</v>
      </c>
      <c r="D83" s="52">
        <v>84.8</v>
      </c>
      <c r="E83" s="54">
        <f t="shared" si="11"/>
        <v>94.099019302126322</v>
      </c>
      <c r="F83" s="57">
        <v>68.599999999999994</v>
      </c>
    </row>
    <row r="84" spans="2:6" ht="17" x14ac:dyDescent="0.2">
      <c r="B84" s="53"/>
      <c r="C84" s="52" t="s">
        <v>127</v>
      </c>
      <c r="D84" s="52">
        <v>149.80000000000001</v>
      </c>
      <c r="E84" s="54">
        <f t="shared" si="11"/>
        <v>93.1691173719137</v>
      </c>
      <c r="F84" s="57">
        <v>149.30000000000001</v>
      </c>
    </row>
    <row r="85" spans="2:6" ht="17" x14ac:dyDescent="0.2">
      <c r="B85" s="53"/>
      <c r="C85" s="52" t="s">
        <v>128</v>
      </c>
      <c r="D85" s="52">
        <v>101.1</v>
      </c>
      <c r="E85" s="54">
        <f t="shared" si="11"/>
        <v>98.832205634722342</v>
      </c>
      <c r="F85" s="57">
        <v>94.8</v>
      </c>
    </row>
    <row r="86" spans="2:6" ht="17" x14ac:dyDescent="0.2">
      <c r="B86" s="53"/>
      <c r="C86" s="52" t="s">
        <v>129</v>
      </c>
      <c r="D86" s="52">
        <v>88.6</v>
      </c>
      <c r="E86" s="54">
        <f t="shared" si="11"/>
        <v>99.058985071250106</v>
      </c>
      <c r="F86" s="57">
        <v>85.7</v>
      </c>
    </row>
    <row r="87" spans="2:6" ht="17" x14ac:dyDescent="0.2">
      <c r="B87" s="52">
        <v>2021</v>
      </c>
      <c r="C87" s="52" t="s">
        <v>126</v>
      </c>
      <c r="D87" s="52">
        <v>68.7</v>
      </c>
      <c r="E87" s="54">
        <f t="shared" si="11"/>
        <v>98.013086564125103</v>
      </c>
      <c r="F87" s="57">
        <v>72</v>
      </c>
    </row>
    <row r="88" spans="2:6" ht="17" x14ac:dyDescent="0.2">
      <c r="B88" s="53"/>
      <c r="C88" s="52" t="s">
        <v>127</v>
      </c>
      <c r="D88" s="52">
        <v>136.80000000000001</v>
      </c>
      <c r="E88" s="54">
        <f t="shared" si="11"/>
        <v>95.081777907712606</v>
      </c>
      <c r="F88" s="57">
        <v>155.30000000000001</v>
      </c>
    </row>
    <row r="89" spans="2:6" ht="17" x14ac:dyDescent="0.2">
      <c r="B89" s="53"/>
      <c r="C89" s="52" t="s">
        <v>128</v>
      </c>
      <c r="D89" s="52">
        <v>94.2</v>
      </c>
      <c r="E89" s="54">
        <f t="shared" si="11"/>
        <v>99.253600116941357</v>
      </c>
      <c r="F89" s="57">
        <v>100.2</v>
      </c>
    </row>
    <row r="90" spans="2:6" ht="17" x14ac:dyDescent="0.2">
      <c r="B90" s="53"/>
      <c r="C90" s="52" t="s">
        <v>129</v>
      </c>
      <c r="D90" s="52">
        <v>82.3</v>
      </c>
      <c r="E90" s="54">
        <f t="shared" si="11"/>
        <v>98.74824010524722</v>
      </c>
      <c r="F90" s="57">
        <v>89.9</v>
      </c>
    </row>
    <row r="91" spans="2:6" ht="17" x14ac:dyDescent="0.2">
      <c r="B91" s="52">
        <v>2022</v>
      </c>
      <c r="C91" s="52" t="s">
        <v>126</v>
      </c>
      <c r="D91" s="52">
        <v>71.599999999999994</v>
      </c>
      <c r="E91" s="54">
        <f t="shared" si="11"/>
        <v>97.103416094722505</v>
      </c>
      <c r="F91" s="57">
        <v>75.5</v>
      </c>
    </row>
    <row r="92" spans="2:6" ht="17" x14ac:dyDescent="0.2">
      <c r="B92" s="53"/>
      <c r="C92" s="52" t="s">
        <v>127</v>
      </c>
      <c r="D92" s="52">
        <v>136.1</v>
      </c>
      <c r="E92" s="54">
        <f t="shared" si="11"/>
        <v>94.553074485250249</v>
      </c>
      <c r="F92" s="57">
        <v>159.30000000000001</v>
      </c>
    </row>
    <row r="93" spans="2:6" ht="17" x14ac:dyDescent="0.2">
      <c r="B93" s="53"/>
      <c r="C93" s="52" t="s">
        <v>128</v>
      </c>
      <c r="D93" s="52">
        <v>92.4</v>
      </c>
      <c r="E93" s="54">
        <f t="shared" si="11"/>
        <v>98.70776703672523</v>
      </c>
      <c r="F93" s="57">
        <v>105.6</v>
      </c>
    </row>
    <row r="94" spans="2:6" ht="17" x14ac:dyDescent="0.2">
      <c r="B94" s="53"/>
      <c r="C94" s="52" t="s">
        <v>129</v>
      </c>
      <c r="D94" s="52">
        <v>82.5</v>
      </c>
      <c r="E94" s="54">
        <f t="shared" si="11"/>
        <v>98.076990333052706</v>
      </c>
      <c r="F94" s="57">
        <v>94</v>
      </c>
    </row>
    <row r="95" spans="2:6" ht="17" x14ac:dyDescent="0.2">
      <c r="B95" s="52">
        <v>2023</v>
      </c>
      <c r="C95" s="52" t="s">
        <v>126</v>
      </c>
      <c r="D95" s="52">
        <v>70.7</v>
      </c>
      <c r="E95" s="54">
        <f t="shared" si="11"/>
        <v>96.519291299747437</v>
      </c>
      <c r="F95" s="58">
        <v>78.900000000000006</v>
      </c>
    </row>
    <row r="96" spans="2:6" ht="17" thickBot="1" x14ac:dyDescent="0.25"/>
    <row r="97" spans="8:17" x14ac:dyDescent="0.2">
      <c r="H97" s="256" t="s">
        <v>167</v>
      </c>
      <c r="I97" s="257"/>
      <c r="J97" s="257"/>
      <c r="K97" s="257"/>
      <c r="L97" s="257"/>
      <c r="M97" s="257"/>
      <c r="N97" s="257"/>
      <c r="O97" s="257"/>
      <c r="P97" s="257"/>
      <c r="Q97" s="258"/>
    </row>
    <row r="98" spans="8:17" x14ac:dyDescent="0.2">
      <c r="H98" s="259"/>
      <c r="I98" s="260"/>
      <c r="J98" s="260"/>
      <c r="K98" s="260"/>
      <c r="L98" s="260"/>
      <c r="M98" s="260"/>
      <c r="N98" s="260"/>
      <c r="O98" s="260"/>
      <c r="P98" s="260"/>
      <c r="Q98" s="261"/>
    </row>
    <row r="99" spans="8:17" ht="17" thickBot="1" x14ac:dyDescent="0.25">
      <c r="H99" s="262"/>
      <c r="I99" s="263"/>
      <c r="J99" s="263"/>
      <c r="K99" s="263"/>
      <c r="L99" s="263"/>
      <c r="M99" s="263"/>
      <c r="N99" s="263"/>
      <c r="O99" s="263"/>
      <c r="P99" s="263"/>
      <c r="Q99" s="264"/>
    </row>
  </sheetData>
  <mergeCells count="2">
    <mergeCell ref="B2:F2"/>
    <mergeCell ref="H97:Q9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55812-6CB7-1B49-95F4-7B88436CD490}">
  <dimension ref="B1:U50"/>
  <sheetViews>
    <sheetView workbookViewId="0">
      <selection activeCell="P6" sqref="P6"/>
    </sheetView>
  </sheetViews>
  <sheetFormatPr baseColWidth="10" defaultRowHeight="16" x14ac:dyDescent="0.2"/>
  <cols>
    <col min="1" max="1" width="4.83203125" customWidth="1"/>
    <col min="8" max="8" width="12.33203125" customWidth="1"/>
    <col min="14" max="14" width="11.6640625" customWidth="1"/>
    <col min="20" max="20" width="11.5" customWidth="1"/>
  </cols>
  <sheetData>
    <row r="1" spans="9:12" ht="17" thickBot="1" x14ac:dyDescent="0.25"/>
    <row r="2" spans="9:12" x14ac:dyDescent="0.2">
      <c r="I2" s="256" t="s">
        <v>175</v>
      </c>
      <c r="J2" s="257"/>
      <c r="K2" s="257"/>
      <c r="L2" s="258"/>
    </row>
    <row r="3" spans="9:12" x14ac:dyDescent="0.2">
      <c r="I3" s="259"/>
      <c r="J3" s="260"/>
      <c r="K3" s="260"/>
      <c r="L3" s="261"/>
    </row>
    <row r="4" spans="9:12" x14ac:dyDescent="0.2">
      <c r="I4" s="259"/>
      <c r="J4" s="260"/>
      <c r="K4" s="260"/>
      <c r="L4" s="261"/>
    </row>
    <row r="5" spans="9:12" x14ac:dyDescent="0.2">
      <c r="I5" s="259"/>
      <c r="J5" s="260"/>
      <c r="K5" s="260"/>
      <c r="L5" s="261"/>
    </row>
    <row r="6" spans="9:12" x14ac:dyDescent="0.2">
      <c r="I6" s="259"/>
      <c r="J6" s="260"/>
      <c r="K6" s="260"/>
      <c r="L6" s="261"/>
    </row>
    <row r="7" spans="9:12" x14ac:dyDescent="0.2">
      <c r="I7" s="259"/>
      <c r="J7" s="260"/>
      <c r="K7" s="260"/>
      <c r="L7" s="261"/>
    </row>
    <row r="8" spans="9:12" x14ac:dyDescent="0.2">
      <c r="I8" s="259"/>
      <c r="J8" s="260"/>
      <c r="K8" s="260"/>
      <c r="L8" s="261"/>
    </row>
    <row r="9" spans="9:12" x14ac:dyDescent="0.2">
      <c r="I9" s="259"/>
      <c r="J9" s="260"/>
      <c r="K9" s="260"/>
      <c r="L9" s="261"/>
    </row>
    <row r="10" spans="9:12" x14ac:dyDescent="0.2">
      <c r="I10" s="259"/>
      <c r="J10" s="260"/>
      <c r="K10" s="260"/>
      <c r="L10" s="261"/>
    </row>
    <row r="11" spans="9:12" x14ac:dyDescent="0.2">
      <c r="I11" s="259"/>
      <c r="J11" s="260"/>
      <c r="K11" s="260"/>
      <c r="L11" s="261"/>
    </row>
    <row r="12" spans="9:12" x14ac:dyDescent="0.2">
      <c r="I12" s="259"/>
      <c r="J12" s="260"/>
      <c r="K12" s="260"/>
      <c r="L12" s="261"/>
    </row>
    <row r="13" spans="9:12" x14ac:dyDescent="0.2">
      <c r="I13" s="259"/>
      <c r="J13" s="260"/>
      <c r="K13" s="260"/>
      <c r="L13" s="261"/>
    </row>
    <row r="14" spans="9:12" x14ac:dyDescent="0.2">
      <c r="I14" s="259"/>
      <c r="J14" s="260"/>
      <c r="K14" s="260"/>
      <c r="L14" s="261"/>
    </row>
    <row r="15" spans="9:12" ht="17" thickBot="1" x14ac:dyDescent="0.25">
      <c r="I15" s="262"/>
      <c r="J15" s="263"/>
      <c r="K15" s="263"/>
      <c r="L15" s="264"/>
    </row>
    <row r="17" spans="2:21" x14ac:dyDescent="0.2">
      <c r="B17" s="8" t="s">
        <v>35</v>
      </c>
      <c r="C17" s="8">
        <v>0.4</v>
      </c>
      <c r="D17" s="8" t="s">
        <v>170</v>
      </c>
      <c r="E17" s="8">
        <v>0.3</v>
      </c>
      <c r="F17" s="8" t="s">
        <v>171</v>
      </c>
      <c r="G17" s="8">
        <v>0.5</v>
      </c>
      <c r="H17" s="8" t="s">
        <v>172</v>
      </c>
      <c r="I17" s="8">
        <v>4</v>
      </c>
    </row>
    <row r="18" spans="2:21" x14ac:dyDescent="0.2">
      <c r="B18" s="8"/>
      <c r="C18" s="8"/>
      <c r="D18" s="8"/>
      <c r="E18" s="8"/>
      <c r="F18" s="8"/>
      <c r="G18" s="8"/>
      <c r="H18" s="8"/>
      <c r="I18" s="8"/>
      <c r="J18" s="266" t="s">
        <v>82</v>
      </c>
      <c r="K18" s="267"/>
      <c r="L18" s="267"/>
      <c r="M18" s="267"/>
      <c r="N18" s="267"/>
      <c r="O18" s="268"/>
    </row>
    <row r="19" spans="2:21" x14ac:dyDescent="0.2">
      <c r="B19" s="8"/>
      <c r="C19" s="8"/>
      <c r="D19" s="8"/>
      <c r="E19" s="8"/>
      <c r="F19" s="8"/>
      <c r="G19" s="8"/>
      <c r="H19" s="8"/>
      <c r="I19" s="8"/>
      <c r="J19" s="13" t="s">
        <v>85</v>
      </c>
      <c r="K19" s="37" t="s">
        <v>79</v>
      </c>
      <c r="L19" s="37" t="s">
        <v>80</v>
      </c>
      <c r="M19" s="37" t="s">
        <v>83</v>
      </c>
      <c r="N19" s="37" t="s">
        <v>27</v>
      </c>
      <c r="O19" s="37" t="s">
        <v>33</v>
      </c>
    </row>
    <row r="20" spans="2:21" x14ac:dyDescent="0.2">
      <c r="B20" s="8"/>
      <c r="C20" s="8"/>
      <c r="D20" s="8"/>
      <c r="E20" s="8"/>
      <c r="F20" s="8"/>
      <c r="G20" s="8"/>
      <c r="H20" s="8"/>
      <c r="I20" s="8"/>
      <c r="J20" s="12">
        <v>-4</v>
      </c>
      <c r="K20" s="12"/>
      <c r="L20" s="12"/>
      <c r="M20" s="12">
        <v>1</v>
      </c>
      <c r="N20" s="12"/>
      <c r="O20" s="12"/>
    </row>
    <row r="21" spans="2:21" x14ac:dyDescent="0.2">
      <c r="B21" s="8"/>
      <c r="C21" s="8"/>
      <c r="D21" s="8"/>
      <c r="E21" s="8"/>
      <c r="F21" s="8"/>
      <c r="G21" s="8"/>
      <c r="H21" s="8"/>
      <c r="I21" s="8"/>
      <c r="J21" s="12">
        <v>-3</v>
      </c>
      <c r="K21" s="12"/>
      <c r="L21" s="12"/>
      <c r="M21" s="12">
        <v>1</v>
      </c>
      <c r="N21" s="12"/>
      <c r="O21" s="12"/>
      <c r="Q21" s="8" t="s">
        <v>173</v>
      </c>
      <c r="R21" s="8">
        <v>4</v>
      </c>
    </row>
    <row r="22" spans="2:21" x14ac:dyDescent="0.2">
      <c r="J22" s="12">
        <v>-2</v>
      </c>
      <c r="K22" s="12"/>
      <c r="L22" s="12"/>
      <c r="M22" s="12">
        <v>1</v>
      </c>
      <c r="N22" s="12"/>
      <c r="O22" s="12"/>
    </row>
    <row r="23" spans="2:21" ht="17" x14ac:dyDescent="0.2">
      <c r="B23" s="269" t="s">
        <v>0</v>
      </c>
      <c r="C23" s="269" t="s">
        <v>124</v>
      </c>
      <c r="D23" s="269" t="s">
        <v>85</v>
      </c>
      <c r="E23" s="50" t="s">
        <v>30</v>
      </c>
      <c r="F23" s="270" t="s">
        <v>78</v>
      </c>
      <c r="G23" s="270"/>
      <c r="H23" s="270"/>
      <c r="I23" s="266"/>
      <c r="J23" s="60">
        <v>-1</v>
      </c>
      <c r="K23" s="60"/>
      <c r="L23" s="60"/>
      <c r="M23" s="60">
        <v>1</v>
      </c>
      <c r="N23" s="60"/>
      <c r="O23" s="60"/>
      <c r="P23" s="266" t="s">
        <v>174</v>
      </c>
      <c r="Q23" s="267"/>
      <c r="R23" s="267"/>
      <c r="S23" s="267"/>
      <c r="T23" s="267"/>
      <c r="U23" s="268"/>
    </row>
    <row r="24" spans="2:21" ht="17" x14ac:dyDescent="0.2">
      <c r="B24" s="269"/>
      <c r="C24" s="269"/>
      <c r="D24" s="269"/>
      <c r="E24" s="50" t="s">
        <v>168</v>
      </c>
      <c r="F24" s="37" t="s">
        <v>79</v>
      </c>
      <c r="G24" s="37" t="s">
        <v>80</v>
      </c>
      <c r="H24" s="37" t="s">
        <v>27</v>
      </c>
      <c r="I24" s="64" t="s">
        <v>33</v>
      </c>
      <c r="J24" s="60">
        <v>0</v>
      </c>
      <c r="K24" s="60"/>
      <c r="L24" s="60"/>
      <c r="M24" s="60">
        <v>1</v>
      </c>
      <c r="N24" s="60"/>
      <c r="O24" s="60"/>
      <c r="P24" s="50" t="s">
        <v>72</v>
      </c>
      <c r="Q24" s="37" t="s">
        <v>73</v>
      </c>
      <c r="R24" s="37" t="s">
        <v>75</v>
      </c>
      <c r="S24" s="37" t="s">
        <v>76</v>
      </c>
      <c r="T24" s="37" t="s">
        <v>27</v>
      </c>
      <c r="U24" s="37" t="s">
        <v>33</v>
      </c>
    </row>
    <row r="25" spans="2:21" ht="17" x14ac:dyDescent="0.2">
      <c r="B25" s="52" t="s">
        <v>169</v>
      </c>
      <c r="C25" s="52">
        <v>4</v>
      </c>
      <c r="D25" s="52">
        <v>1</v>
      </c>
      <c r="E25" s="52">
        <v>75</v>
      </c>
      <c r="F25" s="60">
        <v>75</v>
      </c>
      <c r="G25" s="60">
        <v>0</v>
      </c>
      <c r="H25" s="60" t="s">
        <v>32</v>
      </c>
      <c r="I25" s="65" t="s">
        <v>32</v>
      </c>
      <c r="J25" s="52">
        <v>1</v>
      </c>
      <c r="K25" s="60">
        <v>75</v>
      </c>
      <c r="L25" s="60">
        <v>0</v>
      </c>
      <c r="M25" s="60">
        <v>1</v>
      </c>
      <c r="N25" s="60" t="s">
        <v>32</v>
      </c>
      <c r="O25" s="60" t="s">
        <v>32</v>
      </c>
      <c r="P25" s="60"/>
      <c r="Q25" s="60"/>
      <c r="R25" s="12"/>
      <c r="S25" s="12"/>
      <c r="T25" s="12"/>
      <c r="U25" s="12"/>
    </row>
    <row r="26" spans="2:21" x14ac:dyDescent="0.2">
      <c r="B26" s="52">
        <v>2019</v>
      </c>
      <c r="C26" s="52">
        <v>1</v>
      </c>
      <c r="D26" s="52">
        <v>2</v>
      </c>
      <c r="E26" s="52">
        <v>118</v>
      </c>
      <c r="F26" s="62">
        <f>($C$17*E26)+((1-$C$17)*(F25+G25))</f>
        <v>92.2</v>
      </c>
      <c r="G26" s="62">
        <f>($E$17*(F26-F25))+((1-$E$17)*G25)</f>
        <v>5.160000000000001</v>
      </c>
      <c r="H26" s="61">
        <f>F25+(1*G25)</f>
        <v>75</v>
      </c>
      <c r="I26" s="66">
        <f>POWER(E26-H26,2)</f>
        <v>1849</v>
      </c>
      <c r="J26" s="52">
        <v>2</v>
      </c>
      <c r="K26" s="62">
        <f>($C$17*(E26/M22))+((1-$C$17)*(K25+L25))</f>
        <v>92.2</v>
      </c>
      <c r="L26" s="62">
        <f>($E$17*(K26-K25))+((1-$E$17)*L25)</f>
        <v>5.160000000000001</v>
      </c>
      <c r="M26" s="62">
        <f>($G$17*(E26/K26))+((1-$G$17)*M22)</f>
        <v>1.1399132321041214</v>
      </c>
      <c r="N26" s="61">
        <f>(K25+(1*L25))*M22</f>
        <v>75</v>
      </c>
      <c r="O26" s="62">
        <f>POWER(E26-N26,2)</f>
        <v>1849</v>
      </c>
      <c r="P26" s="60"/>
      <c r="Q26" s="60"/>
      <c r="R26" s="12"/>
      <c r="S26" s="12"/>
      <c r="T26" s="12"/>
      <c r="U26" s="12"/>
    </row>
    <row r="27" spans="2:21" x14ac:dyDescent="0.2">
      <c r="B27" s="52"/>
      <c r="C27" s="52">
        <v>2</v>
      </c>
      <c r="D27" s="52">
        <v>3</v>
      </c>
      <c r="E27" s="52">
        <v>113</v>
      </c>
      <c r="F27" s="62">
        <f t="shared" ref="F27:F44" si="0">($C$17*E27)+((1-$C$17)*(F26+G26))</f>
        <v>103.616</v>
      </c>
      <c r="G27" s="62">
        <f t="shared" ref="G27:G44" si="1">($E$17*(F27-F26))+((1-$E$17)*G26)</f>
        <v>7.0367999999999995</v>
      </c>
      <c r="H27" s="61">
        <f t="shared" ref="H27:H45" si="2">F26+(1*G26)</f>
        <v>97.36</v>
      </c>
      <c r="I27" s="66">
        <f t="shared" ref="I27:I44" si="3">POWER(E27-H27,2)</f>
        <v>244.60960000000003</v>
      </c>
      <c r="J27" s="52">
        <v>3</v>
      </c>
      <c r="K27" s="62">
        <f t="shared" ref="K27:K44" si="4">($C$17*(E27/M23))+((1-$C$17)*(K26+L26))</f>
        <v>103.616</v>
      </c>
      <c r="L27" s="62">
        <f t="shared" ref="L27:L44" si="5">($E$17*(K27-K26))+((1-$E$17)*L26)</f>
        <v>7.0367999999999995</v>
      </c>
      <c r="M27" s="62">
        <f t="shared" ref="M27:M44" si="6">($G$17*(E27/K27))+((1-$G$17)*M23)</f>
        <v>1.0452825818406424</v>
      </c>
      <c r="N27" s="61">
        <f t="shared" ref="N27:N44" si="7">(K26+(1*L26))*M23</f>
        <v>97.36</v>
      </c>
      <c r="O27" s="62">
        <f t="shared" ref="O27:O44" si="8">POWER(E27-N27,2)</f>
        <v>244.60960000000003</v>
      </c>
      <c r="P27" s="60"/>
      <c r="Q27" s="60"/>
      <c r="R27" s="12"/>
      <c r="S27" s="12"/>
      <c r="T27" s="12"/>
      <c r="U27" s="12"/>
    </row>
    <row r="28" spans="2:21" x14ac:dyDescent="0.2">
      <c r="B28" s="52"/>
      <c r="C28" s="52">
        <v>3</v>
      </c>
      <c r="D28" s="52">
        <v>4</v>
      </c>
      <c r="E28" s="52">
        <v>126</v>
      </c>
      <c r="F28" s="62">
        <f t="shared" si="0"/>
        <v>116.79168</v>
      </c>
      <c r="G28" s="62">
        <f t="shared" si="1"/>
        <v>8.8784639999999992</v>
      </c>
      <c r="H28" s="61">
        <f t="shared" si="2"/>
        <v>110.6528</v>
      </c>
      <c r="I28" s="66">
        <f t="shared" si="3"/>
        <v>235.53654784000003</v>
      </c>
      <c r="J28" s="52">
        <v>4</v>
      </c>
      <c r="K28" s="62">
        <f t="shared" si="4"/>
        <v>116.79168</v>
      </c>
      <c r="L28" s="62">
        <f t="shared" si="5"/>
        <v>8.8784639999999992</v>
      </c>
      <c r="M28" s="62">
        <f t="shared" si="6"/>
        <v>1.0394219862236762</v>
      </c>
      <c r="N28" s="61">
        <f t="shared" si="7"/>
        <v>110.6528</v>
      </c>
      <c r="O28" s="62">
        <f t="shared" si="8"/>
        <v>235.53654784000003</v>
      </c>
      <c r="P28" s="62">
        <f>(E25+E26+E27+E28)/4</f>
        <v>108</v>
      </c>
      <c r="Q28" s="62"/>
      <c r="R28" s="12"/>
      <c r="S28" s="12"/>
      <c r="T28" s="12"/>
      <c r="U28" s="12"/>
    </row>
    <row r="29" spans="2:21" x14ac:dyDescent="0.2">
      <c r="B29" s="52"/>
      <c r="C29" s="52">
        <v>4</v>
      </c>
      <c r="D29" s="52">
        <v>5</v>
      </c>
      <c r="E29" s="52">
        <v>153</v>
      </c>
      <c r="F29" s="62">
        <f t="shared" si="0"/>
        <v>136.60208639999999</v>
      </c>
      <c r="G29" s="62">
        <f t="shared" si="1"/>
        <v>12.158046719999996</v>
      </c>
      <c r="H29" s="61">
        <f t="shared" si="2"/>
        <v>125.67014399999999</v>
      </c>
      <c r="I29" s="66">
        <f t="shared" si="3"/>
        <v>746.92102898073631</v>
      </c>
      <c r="J29" s="52">
        <v>5</v>
      </c>
      <c r="K29" s="62">
        <f t="shared" si="4"/>
        <v>136.60208639999999</v>
      </c>
      <c r="L29" s="62">
        <f t="shared" si="5"/>
        <v>12.158046719999996</v>
      </c>
      <c r="M29" s="62">
        <f t="shared" si="6"/>
        <v>1.060020728936685</v>
      </c>
      <c r="N29" s="61">
        <f t="shared" si="7"/>
        <v>125.67014399999999</v>
      </c>
      <c r="O29" s="62">
        <f t="shared" si="8"/>
        <v>746.92102898073631</v>
      </c>
      <c r="P29" s="62">
        <f t="shared" ref="P29:P44" si="9">(E26+E27+E28+E29)/4</f>
        <v>127.5</v>
      </c>
      <c r="Q29" s="62"/>
      <c r="R29" s="12"/>
      <c r="S29" s="12"/>
      <c r="T29" s="12"/>
      <c r="U29" s="12"/>
    </row>
    <row r="30" spans="2:21" x14ac:dyDescent="0.2">
      <c r="B30" s="52">
        <v>2020</v>
      </c>
      <c r="C30" s="52">
        <v>1</v>
      </c>
      <c r="D30" s="52">
        <v>6</v>
      </c>
      <c r="E30" s="52">
        <v>196</v>
      </c>
      <c r="F30" s="62">
        <f t="shared" si="0"/>
        <v>167.65607987199999</v>
      </c>
      <c r="G30" s="62">
        <f t="shared" si="1"/>
        <v>17.826830745599999</v>
      </c>
      <c r="H30" s="61">
        <f t="shared" si="2"/>
        <v>148.76013311999998</v>
      </c>
      <c r="I30" s="66">
        <f t="shared" si="3"/>
        <v>2231.6050228401232</v>
      </c>
      <c r="J30" s="52">
        <v>6</v>
      </c>
      <c r="K30" s="62">
        <f t="shared" si="4"/>
        <v>158.03324447713794</v>
      </c>
      <c r="L30" s="62">
        <f t="shared" si="5"/>
        <v>14.939980127141382</v>
      </c>
      <c r="M30" s="62">
        <f t="shared" si="6"/>
        <v>1.1900793017833993</v>
      </c>
      <c r="N30" s="61">
        <f t="shared" si="7"/>
        <v>169.57364415305852</v>
      </c>
      <c r="O30" s="62">
        <f t="shared" si="8"/>
        <v>698.35228334917792</v>
      </c>
      <c r="P30" s="62">
        <f t="shared" si="9"/>
        <v>147</v>
      </c>
      <c r="Q30" s="62"/>
      <c r="R30" s="12"/>
      <c r="S30" s="12"/>
      <c r="T30" s="12"/>
      <c r="U30" s="12"/>
    </row>
    <row r="31" spans="2:21" x14ac:dyDescent="0.2">
      <c r="B31" s="52"/>
      <c r="C31" s="52">
        <v>2</v>
      </c>
      <c r="D31" s="52">
        <v>7</v>
      </c>
      <c r="E31" s="52">
        <v>192</v>
      </c>
      <c r="F31" s="62">
        <f t="shared" si="0"/>
        <v>188.08974637056002</v>
      </c>
      <c r="G31" s="62">
        <f t="shared" si="1"/>
        <v>18.608881471488008</v>
      </c>
      <c r="H31" s="61">
        <f t="shared" si="2"/>
        <v>185.4829106176</v>
      </c>
      <c r="I31" s="66">
        <f t="shared" si="3"/>
        <v>42.472454018190838</v>
      </c>
      <c r="J31" s="52">
        <v>7</v>
      </c>
      <c r="K31" s="62">
        <f t="shared" si="4"/>
        <v>177.25688966894569</v>
      </c>
      <c r="L31" s="62">
        <f t="shared" si="5"/>
        <v>16.225079646541289</v>
      </c>
      <c r="M31" s="62">
        <f t="shared" si="6"/>
        <v>1.0642281380058964</v>
      </c>
      <c r="N31" s="61">
        <f t="shared" si="7"/>
        <v>180.80589880366242</v>
      </c>
      <c r="O31" s="62">
        <f t="shared" si="8"/>
        <v>125.30790159384654</v>
      </c>
      <c r="P31" s="62">
        <f t="shared" si="9"/>
        <v>166.75</v>
      </c>
      <c r="Q31" s="62">
        <f>(P28+P29+P30+P31)/4</f>
        <v>137.3125</v>
      </c>
      <c r="R31" s="54">
        <f>(2*P31)-Q31</f>
        <v>196.1875</v>
      </c>
      <c r="S31" s="54">
        <f>(2/($R$21-1))*(P31-Q31)</f>
        <v>19.625</v>
      </c>
      <c r="T31" s="12" t="s">
        <v>32</v>
      </c>
      <c r="U31" s="12" t="s">
        <v>32</v>
      </c>
    </row>
    <row r="32" spans="2:21" x14ac:dyDescent="0.2">
      <c r="B32" s="52"/>
      <c r="C32" s="52">
        <v>3</v>
      </c>
      <c r="D32" s="52">
        <v>8</v>
      </c>
      <c r="E32" s="52">
        <v>145</v>
      </c>
      <c r="F32" s="62">
        <f t="shared" si="0"/>
        <v>182.0191767052288</v>
      </c>
      <c r="G32" s="62">
        <f t="shared" si="1"/>
        <v>11.20504613044224</v>
      </c>
      <c r="H32" s="61">
        <f t="shared" si="2"/>
        <v>206.69862784204804</v>
      </c>
      <c r="I32" s="66">
        <f t="shared" si="3"/>
        <v>3806.7206775915456</v>
      </c>
      <c r="J32" s="52">
        <v>8</v>
      </c>
      <c r="K32" s="62">
        <f t="shared" si="4"/>
        <v>171.88942515612283</v>
      </c>
      <c r="L32" s="62">
        <f t="shared" si="5"/>
        <v>9.7473163987320426</v>
      </c>
      <c r="M32" s="62">
        <f t="shared" si="6"/>
        <v>0.94149377546828661</v>
      </c>
      <c r="N32" s="61">
        <f t="shared" si="7"/>
        <v>201.10941284437186</v>
      </c>
      <c r="O32" s="62">
        <f t="shared" si="8"/>
        <v>3148.2662097401617</v>
      </c>
      <c r="P32" s="62">
        <f t="shared" si="9"/>
        <v>171.5</v>
      </c>
      <c r="Q32" s="62">
        <f t="shared" ref="Q32:Q44" si="10">(P29+P30+P31+P32)/4</f>
        <v>153.1875</v>
      </c>
      <c r="R32" s="54">
        <f t="shared" ref="R32:R44" si="11">(2*P32)-Q32</f>
        <v>189.8125</v>
      </c>
      <c r="S32" s="54">
        <f t="shared" ref="S32:S44" si="12">(2/($R$21-1))*(P32-Q32)</f>
        <v>12.208333333333332</v>
      </c>
      <c r="T32" s="14">
        <f>R31+(S31*1)</f>
        <v>215.8125</v>
      </c>
      <c r="U32" s="54">
        <f>POWER(E32-T32,2)</f>
        <v>5014.41015625</v>
      </c>
    </row>
    <row r="33" spans="2:21" x14ac:dyDescent="0.2">
      <c r="B33" s="52"/>
      <c r="C33" s="52">
        <v>4</v>
      </c>
      <c r="D33" s="52">
        <v>9</v>
      </c>
      <c r="E33" s="52">
        <v>232</v>
      </c>
      <c r="F33" s="62">
        <f t="shared" si="0"/>
        <v>208.73453370140263</v>
      </c>
      <c r="G33" s="62">
        <f t="shared" si="1"/>
        <v>15.858139390161714</v>
      </c>
      <c r="H33" s="61">
        <f t="shared" si="2"/>
        <v>193.22422283567104</v>
      </c>
      <c r="I33" s="66">
        <f t="shared" si="3"/>
        <v>1503.5608946976949</v>
      </c>
      <c r="J33" s="52">
        <v>9</v>
      </c>
      <c r="K33" s="62">
        <f t="shared" si="4"/>
        <v>196.52750274022242</v>
      </c>
      <c r="L33" s="62">
        <f t="shared" si="5"/>
        <v>14.214544754342306</v>
      </c>
      <c r="M33" s="62">
        <f t="shared" si="6"/>
        <v>1.1202585403347669</v>
      </c>
      <c r="N33" s="61">
        <f t="shared" si="7"/>
        <v>192.53871118466151</v>
      </c>
      <c r="O33" s="62">
        <f t="shared" si="8"/>
        <v>1557.1933149675588</v>
      </c>
      <c r="P33" s="62">
        <f t="shared" si="9"/>
        <v>191.25</v>
      </c>
      <c r="Q33" s="62">
        <f t="shared" si="10"/>
        <v>169.125</v>
      </c>
      <c r="R33" s="54">
        <f t="shared" si="11"/>
        <v>213.375</v>
      </c>
      <c r="S33" s="54">
        <f t="shared" si="12"/>
        <v>14.75</v>
      </c>
      <c r="T33" s="14">
        <f t="shared" ref="T33:T45" si="13">R32+(S32*1)</f>
        <v>202.02083333333334</v>
      </c>
      <c r="U33" s="54">
        <f t="shared" ref="U33:U44" si="14">POWER(E33-T33,2)</f>
        <v>898.75043402777726</v>
      </c>
    </row>
    <row r="34" spans="2:21" x14ac:dyDescent="0.2">
      <c r="B34" s="52">
        <v>2021</v>
      </c>
      <c r="C34" s="52">
        <v>1</v>
      </c>
      <c r="D34" s="52">
        <v>10</v>
      </c>
      <c r="E34" s="52">
        <v>276</v>
      </c>
      <c r="F34" s="62">
        <f t="shared" si="0"/>
        <v>245.15560385493859</v>
      </c>
      <c r="G34" s="62">
        <f t="shared" si="1"/>
        <v>22.027018619173987</v>
      </c>
      <c r="H34" s="61">
        <f t="shared" si="2"/>
        <v>224.59267309156434</v>
      </c>
      <c r="I34" s="66">
        <f t="shared" si="3"/>
        <v>2642.7132598707735</v>
      </c>
      <c r="J34" s="52">
        <v>10</v>
      </c>
      <c r="K34" s="62">
        <f t="shared" si="4"/>
        <v>219.21215573810798</v>
      </c>
      <c r="L34" s="62">
        <f t="shared" si="5"/>
        <v>16.755577227405283</v>
      </c>
      <c r="M34" s="62">
        <f t="shared" si="6"/>
        <v>1.2245667842540855</v>
      </c>
      <c r="N34" s="61">
        <f t="shared" si="7"/>
        <v>250.79974873873556</v>
      </c>
      <c r="O34" s="62">
        <f t="shared" si="8"/>
        <v>635.05266363086002</v>
      </c>
      <c r="P34" s="62">
        <f t="shared" si="9"/>
        <v>211.25</v>
      </c>
      <c r="Q34" s="62">
        <f t="shared" si="10"/>
        <v>185.1875</v>
      </c>
      <c r="R34" s="54">
        <f t="shared" si="11"/>
        <v>237.3125</v>
      </c>
      <c r="S34" s="54">
        <f t="shared" si="12"/>
        <v>17.375</v>
      </c>
      <c r="T34" s="14">
        <f t="shared" si="13"/>
        <v>228.125</v>
      </c>
      <c r="U34" s="54">
        <f t="shared" si="14"/>
        <v>2292.015625</v>
      </c>
    </row>
    <row r="35" spans="2:21" x14ac:dyDescent="0.2">
      <c r="B35" s="52"/>
      <c r="C35" s="52">
        <v>2</v>
      </c>
      <c r="D35" s="52">
        <v>11</v>
      </c>
      <c r="E35" s="52">
        <v>271</v>
      </c>
      <c r="F35" s="62">
        <f t="shared" si="0"/>
        <v>268.70957348446757</v>
      </c>
      <c r="G35" s="62">
        <f t="shared" si="1"/>
        <v>22.485103922280484</v>
      </c>
      <c r="H35" s="61">
        <f t="shared" si="2"/>
        <v>267.18262247411258</v>
      </c>
      <c r="I35" s="66">
        <f t="shared" si="3"/>
        <v>14.572371175150382</v>
      </c>
      <c r="J35" s="52">
        <v>11</v>
      </c>
      <c r="K35" s="62">
        <f t="shared" si="4"/>
        <v>243.43849913182908</v>
      </c>
      <c r="L35" s="62">
        <f t="shared" si="5"/>
        <v>18.996807077300026</v>
      </c>
      <c r="M35" s="62">
        <f t="shared" si="6"/>
        <v>1.0887228243281393</v>
      </c>
      <c r="N35" s="61">
        <f t="shared" si="7"/>
        <v>251.12350108336079</v>
      </c>
      <c r="O35" s="62">
        <f t="shared" si="8"/>
        <v>395.07520918315959</v>
      </c>
      <c r="P35" s="62">
        <f t="shared" si="9"/>
        <v>231</v>
      </c>
      <c r="Q35" s="62">
        <f t="shared" si="10"/>
        <v>201.25</v>
      </c>
      <c r="R35" s="54">
        <f t="shared" si="11"/>
        <v>260.75</v>
      </c>
      <c r="S35" s="54">
        <f t="shared" si="12"/>
        <v>19.833333333333332</v>
      </c>
      <c r="T35" s="14">
        <f t="shared" si="13"/>
        <v>254.6875</v>
      </c>
      <c r="U35" s="54">
        <f t="shared" si="14"/>
        <v>266.09765625</v>
      </c>
    </row>
    <row r="36" spans="2:21" x14ac:dyDescent="0.2">
      <c r="B36" s="52"/>
      <c r="C36" s="52">
        <v>3</v>
      </c>
      <c r="D36" s="52">
        <v>12</v>
      </c>
      <c r="E36" s="52">
        <v>287</v>
      </c>
      <c r="F36" s="62">
        <f t="shared" si="0"/>
        <v>289.51680644404883</v>
      </c>
      <c r="G36" s="62">
        <f t="shared" si="1"/>
        <v>21.981742633470713</v>
      </c>
      <c r="H36" s="61">
        <f t="shared" si="2"/>
        <v>291.19467740674804</v>
      </c>
      <c r="I36" s="66">
        <f t="shared" si="3"/>
        <v>17.595318546682478</v>
      </c>
      <c r="J36" s="52">
        <v>12</v>
      </c>
      <c r="K36" s="62">
        <f t="shared" si="4"/>
        <v>279.39507536793678</v>
      </c>
      <c r="L36" s="62">
        <f t="shared" si="5"/>
        <v>24.08473782494233</v>
      </c>
      <c r="M36" s="62">
        <f t="shared" si="6"/>
        <v>0.98435651314011774</v>
      </c>
      <c r="N36" s="61">
        <f t="shared" si="7"/>
        <v>247.08120725900886</v>
      </c>
      <c r="O36" s="62">
        <f t="shared" si="8"/>
        <v>1593.5100138982066</v>
      </c>
      <c r="P36" s="62">
        <f t="shared" si="9"/>
        <v>266.5</v>
      </c>
      <c r="Q36" s="62">
        <f t="shared" si="10"/>
        <v>225</v>
      </c>
      <c r="R36" s="54">
        <f t="shared" si="11"/>
        <v>308</v>
      </c>
      <c r="S36" s="54">
        <f t="shared" si="12"/>
        <v>27.666666666666664</v>
      </c>
      <c r="T36" s="14">
        <f t="shared" si="13"/>
        <v>280.58333333333331</v>
      </c>
      <c r="U36" s="54">
        <f t="shared" si="14"/>
        <v>41.173611111111356</v>
      </c>
    </row>
    <row r="37" spans="2:21" x14ac:dyDescent="0.2">
      <c r="B37" s="52"/>
      <c r="C37" s="52">
        <v>4</v>
      </c>
      <c r="D37" s="52">
        <v>13</v>
      </c>
      <c r="E37" s="52">
        <v>315</v>
      </c>
      <c r="F37" s="62">
        <f t="shared" si="0"/>
        <v>312.89912944651172</v>
      </c>
      <c r="G37" s="62">
        <f t="shared" si="1"/>
        <v>22.401916744168368</v>
      </c>
      <c r="H37" s="61">
        <f t="shared" si="2"/>
        <v>311.49854907751956</v>
      </c>
      <c r="I37" s="66">
        <f t="shared" si="3"/>
        <v>12.260158562539154</v>
      </c>
      <c r="J37" s="52">
        <v>13</v>
      </c>
      <c r="K37" s="62">
        <f t="shared" si="4"/>
        <v>294.56192445585276</v>
      </c>
      <c r="L37" s="62">
        <f t="shared" si="5"/>
        <v>21.409371203834421</v>
      </c>
      <c r="M37" s="62">
        <f t="shared" si="6"/>
        <v>1.094821594339801</v>
      </c>
      <c r="N37" s="61">
        <f t="shared" si="7"/>
        <v>339.97585254852254</v>
      </c>
      <c r="O37" s="62">
        <f t="shared" si="8"/>
        <v>623.79321052553985</v>
      </c>
      <c r="P37" s="62">
        <f t="shared" si="9"/>
        <v>287.25</v>
      </c>
      <c r="Q37" s="62">
        <f t="shared" si="10"/>
        <v>249</v>
      </c>
      <c r="R37" s="54">
        <f t="shared" si="11"/>
        <v>325.5</v>
      </c>
      <c r="S37" s="54">
        <f t="shared" si="12"/>
        <v>25.5</v>
      </c>
      <c r="T37" s="14">
        <f t="shared" si="13"/>
        <v>335.66666666666669</v>
      </c>
      <c r="U37" s="54">
        <f t="shared" si="14"/>
        <v>427.11111111111188</v>
      </c>
    </row>
    <row r="38" spans="2:21" x14ac:dyDescent="0.2">
      <c r="B38" s="52">
        <v>2022</v>
      </c>
      <c r="C38" s="52">
        <v>1</v>
      </c>
      <c r="D38" s="52">
        <v>14</v>
      </c>
      <c r="E38" s="52">
        <v>357</v>
      </c>
      <c r="F38" s="62">
        <f t="shared" si="0"/>
        <v>343.98062771440806</v>
      </c>
      <c r="G38" s="62">
        <f t="shared" si="1"/>
        <v>25.005791201286755</v>
      </c>
      <c r="H38" s="61">
        <f t="shared" si="2"/>
        <v>335.3010461906801</v>
      </c>
      <c r="I38" s="66">
        <f t="shared" si="3"/>
        <v>470.84459641899872</v>
      </c>
      <c r="J38" s="52">
        <v>14</v>
      </c>
      <c r="K38" s="62">
        <f t="shared" si="4"/>
        <v>306.19544551336469</v>
      </c>
      <c r="L38" s="62">
        <f t="shared" si="5"/>
        <v>18.476616159937674</v>
      </c>
      <c r="M38" s="62">
        <f t="shared" si="6"/>
        <v>1.1952443819638721</v>
      </c>
      <c r="N38" s="61">
        <f t="shared" si="7"/>
        <v>386.92795344258002</v>
      </c>
      <c r="O38" s="62">
        <f t="shared" si="8"/>
        <v>895.68239726123727</v>
      </c>
      <c r="P38" s="62">
        <f t="shared" si="9"/>
        <v>307.5</v>
      </c>
      <c r="Q38" s="62">
        <f t="shared" si="10"/>
        <v>273.0625</v>
      </c>
      <c r="R38" s="54">
        <f t="shared" si="11"/>
        <v>341.9375</v>
      </c>
      <c r="S38" s="54">
        <f t="shared" si="12"/>
        <v>22.958333333333332</v>
      </c>
      <c r="T38" s="14">
        <f t="shared" si="13"/>
        <v>351</v>
      </c>
      <c r="U38" s="54">
        <f t="shared" si="14"/>
        <v>36</v>
      </c>
    </row>
    <row r="39" spans="2:21" x14ac:dyDescent="0.2">
      <c r="B39" s="52"/>
      <c r="C39" s="52">
        <v>2</v>
      </c>
      <c r="D39" s="52">
        <v>15</v>
      </c>
      <c r="E39" s="52">
        <v>352</v>
      </c>
      <c r="F39" s="62">
        <f t="shared" si="0"/>
        <v>362.19185134941688</v>
      </c>
      <c r="G39" s="62">
        <f t="shared" si="1"/>
        <v>22.967420931403375</v>
      </c>
      <c r="H39" s="61">
        <f t="shared" si="2"/>
        <v>368.9864189156948</v>
      </c>
      <c r="I39" s="66">
        <f t="shared" si="3"/>
        <v>288.53842757947405</v>
      </c>
      <c r="J39" s="52">
        <v>15</v>
      </c>
      <c r="K39" s="62">
        <f t="shared" si="4"/>
        <v>324.1290827139664</v>
      </c>
      <c r="L39" s="62">
        <f t="shared" si="5"/>
        <v>18.313722472136881</v>
      </c>
      <c r="M39" s="62">
        <f t="shared" si="6"/>
        <v>1.0873549582116313</v>
      </c>
      <c r="N39" s="61">
        <f t="shared" si="7"/>
        <v>353.47788396539761</v>
      </c>
      <c r="O39" s="62">
        <f t="shared" si="8"/>
        <v>2.1841410151793621</v>
      </c>
      <c r="P39" s="62">
        <f t="shared" si="9"/>
        <v>327.75</v>
      </c>
      <c r="Q39" s="62">
        <f t="shared" si="10"/>
        <v>297.25</v>
      </c>
      <c r="R39" s="54">
        <f t="shared" si="11"/>
        <v>358.25</v>
      </c>
      <c r="S39" s="54">
        <f t="shared" si="12"/>
        <v>20.333333333333332</v>
      </c>
      <c r="T39" s="14">
        <f t="shared" si="13"/>
        <v>364.89583333333331</v>
      </c>
      <c r="U39" s="54">
        <f t="shared" si="14"/>
        <v>166.30251736111063</v>
      </c>
    </row>
    <row r="40" spans="2:21" x14ac:dyDescent="0.2">
      <c r="B40" s="52"/>
      <c r="C40" s="52">
        <v>3</v>
      </c>
      <c r="D40" s="52">
        <v>16</v>
      </c>
      <c r="E40" s="52">
        <v>305</v>
      </c>
      <c r="F40" s="62">
        <f t="shared" si="0"/>
        <v>353.09556336849209</v>
      </c>
      <c r="G40" s="62">
        <f t="shared" si="1"/>
        <v>13.348308257704925</v>
      </c>
      <c r="H40" s="61">
        <f t="shared" si="2"/>
        <v>385.15927228082023</v>
      </c>
      <c r="I40" s="66">
        <f t="shared" si="3"/>
        <v>6425.5089325906747</v>
      </c>
      <c r="J40" s="52">
        <v>16</v>
      </c>
      <c r="K40" s="62">
        <f t="shared" si="4"/>
        <v>329.40451865694365</v>
      </c>
      <c r="L40" s="62">
        <f t="shared" si="5"/>
        <v>14.402236513388992</v>
      </c>
      <c r="M40" s="62">
        <f t="shared" si="6"/>
        <v>0.95513486876765963</v>
      </c>
      <c r="N40" s="61">
        <f t="shared" si="7"/>
        <v>337.08580566291323</v>
      </c>
      <c r="O40" s="62">
        <f t="shared" si="8"/>
        <v>1029.4989250382348</v>
      </c>
      <c r="P40" s="62">
        <f t="shared" si="9"/>
        <v>332.25</v>
      </c>
      <c r="Q40" s="62">
        <f t="shared" si="10"/>
        <v>313.6875</v>
      </c>
      <c r="R40" s="54">
        <f t="shared" si="11"/>
        <v>350.8125</v>
      </c>
      <c r="S40" s="54">
        <f t="shared" si="12"/>
        <v>12.375</v>
      </c>
      <c r="T40" s="14">
        <f t="shared" si="13"/>
        <v>378.58333333333331</v>
      </c>
      <c r="U40" s="54">
        <f t="shared" si="14"/>
        <v>5414.5069444444416</v>
      </c>
    </row>
    <row r="41" spans="2:21" x14ac:dyDescent="0.2">
      <c r="B41" s="52"/>
      <c r="C41" s="52">
        <v>4</v>
      </c>
      <c r="D41" s="52">
        <v>17</v>
      </c>
      <c r="E41" s="52">
        <v>391</v>
      </c>
      <c r="F41" s="62">
        <f t="shared" si="0"/>
        <v>376.2663229757182</v>
      </c>
      <c r="G41" s="62">
        <f t="shared" si="1"/>
        <v>16.295043662561277</v>
      </c>
      <c r="H41" s="61">
        <f t="shared" si="2"/>
        <v>366.44387162619699</v>
      </c>
      <c r="I41" s="66">
        <f t="shared" si="3"/>
        <v>603.0034407106931</v>
      </c>
      <c r="J41" s="52">
        <v>17</v>
      </c>
      <c r="K41" s="62">
        <f t="shared" si="4"/>
        <v>349.13837823479093</v>
      </c>
      <c r="L41" s="62">
        <f t="shared" si="5"/>
        <v>16.001723432726479</v>
      </c>
      <c r="M41" s="62">
        <f t="shared" si="6"/>
        <v>1.1073606972308123</v>
      </c>
      <c r="N41" s="61">
        <f t="shared" si="7"/>
        <v>376.4070598403772</v>
      </c>
      <c r="O41" s="62">
        <f t="shared" si="8"/>
        <v>212.95390250233189</v>
      </c>
      <c r="P41" s="62">
        <f t="shared" si="9"/>
        <v>351.25</v>
      </c>
      <c r="Q41" s="62">
        <f t="shared" si="10"/>
        <v>329.6875</v>
      </c>
      <c r="R41" s="54">
        <f t="shared" si="11"/>
        <v>372.8125</v>
      </c>
      <c r="S41" s="54">
        <f t="shared" si="12"/>
        <v>14.375</v>
      </c>
      <c r="T41" s="14">
        <f t="shared" si="13"/>
        <v>363.1875</v>
      </c>
      <c r="U41" s="54">
        <f t="shared" si="14"/>
        <v>773.53515625</v>
      </c>
    </row>
    <row r="42" spans="2:21" x14ac:dyDescent="0.2">
      <c r="B42" s="52">
        <v>2023</v>
      </c>
      <c r="C42" s="52">
        <v>1</v>
      </c>
      <c r="D42" s="52">
        <v>18</v>
      </c>
      <c r="E42" s="52">
        <v>436</v>
      </c>
      <c r="F42" s="62">
        <f t="shared" si="0"/>
        <v>409.93681998296768</v>
      </c>
      <c r="G42" s="62">
        <f t="shared" si="1"/>
        <v>21.507679665967736</v>
      </c>
      <c r="H42" s="61">
        <f t="shared" si="2"/>
        <v>392.56136663827948</v>
      </c>
      <c r="I42" s="66">
        <f t="shared" si="3"/>
        <v>1886.914868333979</v>
      </c>
      <c r="J42" s="52">
        <v>18</v>
      </c>
      <c r="K42" s="62">
        <f t="shared" si="4"/>
        <v>364.99564413085602</v>
      </c>
      <c r="L42" s="62">
        <f t="shared" si="5"/>
        <v>15.95838617172806</v>
      </c>
      <c r="M42" s="62">
        <f t="shared" si="6"/>
        <v>1.1948895926768559</v>
      </c>
      <c r="N42" s="61">
        <f t="shared" si="7"/>
        <v>436.43165514781725</v>
      </c>
      <c r="O42" s="62">
        <f t="shared" si="8"/>
        <v>0.18632616663713436</v>
      </c>
      <c r="P42" s="62">
        <f t="shared" si="9"/>
        <v>371</v>
      </c>
      <c r="Q42" s="62">
        <f t="shared" si="10"/>
        <v>345.5625</v>
      </c>
      <c r="R42" s="54">
        <f t="shared" si="11"/>
        <v>396.4375</v>
      </c>
      <c r="S42" s="54">
        <f t="shared" si="12"/>
        <v>16.958333333333332</v>
      </c>
      <c r="T42" s="14">
        <f t="shared" si="13"/>
        <v>387.1875</v>
      </c>
      <c r="U42" s="54">
        <f t="shared" si="14"/>
        <v>2382.66015625</v>
      </c>
    </row>
    <row r="43" spans="2:21" x14ac:dyDescent="0.2">
      <c r="B43" s="52"/>
      <c r="C43" s="52">
        <v>2</v>
      </c>
      <c r="D43" s="52">
        <v>19</v>
      </c>
      <c r="E43" s="52">
        <v>432</v>
      </c>
      <c r="F43" s="62">
        <f t="shared" si="0"/>
        <v>431.66669978936125</v>
      </c>
      <c r="G43" s="62">
        <f t="shared" si="1"/>
        <v>21.574339708095486</v>
      </c>
      <c r="H43" s="61">
        <f t="shared" si="2"/>
        <v>431.44449964893539</v>
      </c>
      <c r="I43" s="66">
        <f t="shared" si="3"/>
        <v>0.30858064003290364</v>
      </c>
      <c r="J43" s="52">
        <v>19</v>
      </c>
      <c r="K43" s="62">
        <f t="shared" si="4"/>
        <v>387.49016504519057</v>
      </c>
      <c r="L43" s="62">
        <f t="shared" si="5"/>
        <v>17.919226594510004</v>
      </c>
      <c r="M43" s="62">
        <f t="shared" si="6"/>
        <v>1.1011109819014524</v>
      </c>
      <c r="N43" s="61">
        <f t="shared" si="7"/>
        <v>414.23225370021885</v>
      </c>
      <c r="O43" s="62">
        <f t="shared" si="8"/>
        <v>315.6928085733868</v>
      </c>
      <c r="P43" s="62">
        <f t="shared" si="9"/>
        <v>391</v>
      </c>
      <c r="Q43" s="62">
        <f t="shared" si="10"/>
        <v>361.375</v>
      </c>
      <c r="R43" s="54">
        <f t="shared" si="11"/>
        <v>420.625</v>
      </c>
      <c r="S43" s="54">
        <f t="shared" si="12"/>
        <v>19.75</v>
      </c>
      <c r="T43" s="14">
        <f t="shared" si="13"/>
        <v>413.39583333333331</v>
      </c>
      <c r="U43" s="54">
        <f t="shared" si="14"/>
        <v>346.11501736111182</v>
      </c>
    </row>
    <row r="44" spans="2:21" x14ac:dyDescent="0.2">
      <c r="B44" s="52"/>
      <c r="C44" s="52">
        <v>3</v>
      </c>
      <c r="D44" s="52">
        <v>20</v>
      </c>
      <c r="E44" s="52">
        <v>446</v>
      </c>
      <c r="F44" s="62">
        <f t="shared" si="0"/>
        <v>450.34462369847404</v>
      </c>
      <c r="G44" s="62">
        <f t="shared" si="1"/>
        <v>20.705414968400678</v>
      </c>
      <c r="H44" s="61">
        <f t="shared" si="2"/>
        <v>453.24103949745671</v>
      </c>
      <c r="I44" s="66">
        <f t="shared" si="3"/>
        <v>52.432653003728142</v>
      </c>
      <c r="J44" s="52">
        <v>20</v>
      </c>
      <c r="K44" s="62">
        <f t="shared" si="4"/>
        <v>430.02553993083211</v>
      </c>
      <c r="L44" s="62">
        <f t="shared" si="5"/>
        <v>25.304071081849465</v>
      </c>
      <c r="M44" s="62">
        <f t="shared" si="6"/>
        <v>0.99614128475529529</v>
      </c>
      <c r="N44" s="61">
        <f t="shared" si="7"/>
        <v>387.22064608096213</v>
      </c>
      <c r="O44" s="62">
        <f t="shared" si="8"/>
        <v>3455.0124471395129</v>
      </c>
      <c r="P44" s="62">
        <f t="shared" si="9"/>
        <v>426.25</v>
      </c>
      <c r="Q44" s="62">
        <f t="shared" si="10"/>
        <v>384.875</v>
      </c>
      <c r="R44" s="54">
        <f t="shared" si="11"/>
        <v>467.625</v>
      </c>
      <c r="S44" s="54">
        <f t="shared" si="12"/>
        <v>27.583333333333332</v>
      </c>
      <c r="T44" s="14">
        <f t="shared" si="13"/>
        <v>440.375</v>
      </c>
      <c r="U44" s="54">
        <f t="shared" si="14"/>
        <v>31.640625</v>
      </c>
    </row>
    <row r="45" spans="2:21" x14ac:dyDescent="0.2">
      <c r="B45" s="59">
        <v>2024</v>
      </c>
      <c r="C45" s="59">
        <v>4</v>
      </c>
      <c r="D45" s="59">
        <v>21</v>
      </c>
      <c r="E45" s="60" t="s">
        <v>32</v>
      </c>
      <c r="F45" s="60" t="s">
        <v>32</v>
      </c>
      <c r="G45" s="60" t="s">
        <v>32</v>
      </c>
      <c r="H45" s="63">
        <f t="shared" si="2"/>
        <v>471.05003866687474</v>
      </c>
      <c r="I45" s="65" t="s">
        <v>32</v>
      </c>
      <c r="J45" s="59">
        <v>21</v>
      </c>
      <c r="K45" s="12"/>
      <c r="L45" s="12"/>
      <c r="M45" s="12"/>
      <c r="N45" s="63">
        <f>(K41+(4*L41))*M41</f>
        <v>457.50083642154766</v>
      </c>
      <c r="O45" s="12"/>
      <c r="P45" s="12"/>
      <c r="Q45" s="12"/>
      <c r="R45" s="12"/>
      <c r="S45" s="12"/>
      <c r="T45" s="15">
        <f t="shared" si="13"/>
        <v>495.20833333333331</v>
      </c>
      <c r="U45" s="12"/>
    </row>
    <row r="46" spans="2:21" x14ac:dyDescent="0.2">
      <c r="B46" s="25"/>
      <c r="C46" s="25"/>
      <c r="D46" s="25"/>
      <c r="E46" s="25"/>
      <c r="F46" s="25"/>
      <c r="G46" s="25"/>
      <c r="H46" s="25"/>
      <c r="I46" s="25"/>
    </row>
    <row r="47" spans="2:21" x14ac:dyDescent="0.2">
      <c r="I47" s="55">
        <f>AVERAGE(I32:I44)</f>
        <v>1363.4595522863053</v>
      </c>
      <c r="O47" s="55">
        <f>AVERAGE(O32:O44)</f>
        <v>1066.4693515109236</v>
      </c>
      <c r="U47" s="84">
        <f>AVERAGE(U32:U44)</f>
        <v>1391.5630008012822</v>
      </c>
    </row>
    <row r="48" spans="2:21" ht="17" thickBot="1" x14ac:dyDescent="0.25"/>
    <row r="49" spans="3:9" x14ac:dyDescent="0.2">
      <c r="C49" s="256" t="s">
        <v>176</v>
      </c>
      <c r="D49" s="257"/>
      <c r="E49" s="257"/>
      <c r="F49" s="257"/>
      <c r="G49" s="257"/>
      <c r="H49" s="257"/>
      <c r="I49" s="258"/>
    </row>
    <row r="50" spans="3:9" ht="17" thickBot="1" x14ac:dyDescent="0.25">
      <c r="C50" s="262"/>
      <c r="D50" s="263"/>
      <c r="E50" s="263"/>
      <c r="F50" s="263"/>
      <c r="G50" s="263"/>
      <c r="H50" s="263"/>
      <c r="I50" s="264"/>
    </row>
  </sheetData>
  <mergeCells count="8">
    <mergeCell ref="P23:U23"/>
    <mergeCell ref="C49:I50"/>
    <mergeCell ref="I2:L15"/>
    <mergeCell ref="B23:B24"/>
    <mergeCell ref="C23:C24"/>
    <mergeCell ref="D23:D24"/>
    <mergeCell ref="F23:I23"/>
    <mergeCell ref="J18:O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9927E-E03C-B348-A25E-F78A7CA6F811}">
  <dimension ref="A1:Y41"/>
  <sheetViews>
    <sheetView workbookViewId="0">
      <selection activeCell="A2" sqref="A2"/>
    </sheetView>
  </sheetViews>
  <sheetFormatPr baseColWidth="10" defaultRowHeight="16" x14ac:dyDescent="0.2"/>
  <cols>
    <col min="1" max="1" width="15.5" customWidth="1"/>
    <col min="8" max="8" width="15.5" customWidth="1"/>
    <col min="10" max="10" width="14.5" customWidth="1"/>
    <col min="12" max="12" width="13.33203125" customWidth="1"/>
  </cols>
  <sheetData>
    <row r="1" spans="1:25" x14ac:dyDescent="0.2">
      <c r="A1" s="24"/>
      <c r="B1" s="24"/>
      <c r="C1" s="24"/>
      <c r="D1" s="24"/>
      <c r="E1" s="24"/>
      <c r="F1" s="24"/>
      <c r="G1" s="24"/>
      <c r="H1" s="39" t="s">
        <v>35</v>
      </c>
      <c r="I1" s="24"/>
      <c r="K1" s="24"/>
      <c r="N1" s="24"/>
      <c r="Q1" s="24"/>
      <c r="R1" s="24"/>
      <c r="S1" s="24"/>
      <c r="T1" s="24"/>
      <c r="U1" s="24"/>
      <c r="V1" s="24"/>
      <c r="W1" s="24"/>
      <c r="X1" s="24"/>
      <c r="Y1" s="24"/>
    </row>
    <row r="2" spans="1:25" x14ac:dyDescent="0.2">
      <c r="A2" s="24"/>
      <c r="B2" s="24"/>
      <c r="C2" s="24"/>
      <c r="D2" s="24"/>
      <c r="E2" s="24"/>
      <c r="F2" s="24"/>
      <c r="G2" s="24"/>
      <c r="H2" s="39">
        <v>0.25</v>
      </c>
      <c r="I2" s="24"/>
      <c r="K2" s="24"/>
      <c r="N2" s="24"/>
      <c r="Q2" s="24"/>
      <c r="R2" s="24"/>
      <c r="S2" s="24"/>
      <c r="T2" s="24"/>
      <c r="U2" s="24"/>
      <c r="V2" s="24"/>
      <c r="W2" s="24"/>
      <c r="X2" s="24"/>
      <c r="Y2" s="24"/>
    </row>
    <row r="3" spans="1:25" x14ac:dyDescent="0.2">
      <c r="A3" s="24"/>
      <c r="B3" s="24"/>
      <c r="C3" s="24"/>
      <c r="D3" s="24"/>
      <c r="E3" s="24"/>
      <c r="F3" s="24"/>
      <c r="G3" s="24"/>
      <c r="H3" s="25"/>
      <c r="I3" s="24"/>
      <c r="K3" s="24"/>
      <c r="N3" s="24"/>
      <c r="Q3" s="24"/>
      <c r="R3" s="24"/>
      <c r="S3" s="24"/>
      <c r="T3" s="24"/>
      <c r="U3" s="24"/>
      <c r="V3" s="24"/>
      <c r="W3" s="24"/>
      <c r="X3" s="24"/>
      <c r="Y3" s="24"/>
    </row>
    <row r="4" spans="1:25" ht="34" x14ac:dyDescent="0.2">
      <c r="A4" s="24"/>
      <c r="B4" s="38" t="s">
        <v>177</v>
      </c>
      <c r="C4" s="38" t="s">
        <v>125</v>
      </c>
      <c r="D4" s="70" t="s">
        <v>179</v>
      </c>
      <c r="E4" s="38" t="s">
        <v>182</v>
      </c>
      <c r="F4" s="1" t="s">
        <v>180</v>
      </c>
      <c r="G4" s="1" t="s">
        <v>182</v>
      </c>
      <c r="H4" s="1" t="s">
        <v>181</v>
      </c>
      <c r="I4" s="1" t="s">
        <v>182</v>
      </c>
      <c r="N4" s="70"/>
      <c r="Q4" s="70"/>
      <c r="R4" s="70"/>
      <c r="S4" s="70"/>
      <c r="T4" s="69"/>
      <c r="U4" s="24"/>
      <c r="V4" s="24"/>
      <c r="W4" s="24"/>
      <c r="X4" s="24"/>
      <c r="Y4" s="24"/>
    </row>
    <row r="5" spans="1:25" ht="17" thickBot="1" x14ac:dyDescent="0.25">
      <c r="A5" s="24"/>
      <c r="B5" s="52">
        <v>1</v>
      </c>
      <c r="C5" s="52">
        <v>66</v>
      </c>
      <c r="D5" s="71">
        <f>FORECAST(B5,$C$5:$C$16,$B$5:$B$16)</f>
        <v>75.15384615384616</v>
      </c>
      <c r="E5" s="76"/>
      <c r="F5" s="78" t="s">
        <v>32</v>
      </c>
      <c r="G5" s="73"/>
      <c r="H5" s="73">
        <f>C5</f>
        <v>66</v>
      </c>
      <c r="I5" s="79"/>
      <c r="N5" s="69"/>
      <c r="Q5" s="69"/>
      <c r="R5" s="69"/>
      <c r="S5" s="69"/>
      <c r="T5" s="69"/>
      <c r="U5" s="24"/>
      <c r="V5" s="24"/>
      <c r="W5" s="24"/>
      <c r="X5" s="24"/>
      <c r="Y5" s="24"/>
    </row>
    <row r="6" spans="1:25" x14ac:dyDescent="0.2">
      <c r="A6" s="24"/>
      <c r="B6" s="52">
        <v>2</v>
      </c>
      <c r="C6" s="52">
        <v>73</v>
      </c>
      <c r="D6" s="71">
        <f t="shared" ref="D6:D16" si="0">FORECAST(B6,$C$5:$C$16,$B$5:$B$16)</f>
        <v>76.171328671328681</v>
      </c>
      <c r="E6" s="80">
        <f t="shared" ref="E6:E8" si="1">ABS(C6-D6)/C6</f>
        <v>4.3442858511351788E-2</v>
      </c>
      <c r="F6" s="78" t="s">
        <v>32</v>
      </c>
      <c r="G6" s="73"/>
      <c r="H6" s="71">
        <f t="shared" ref="H6:H17" si="2">(C5*$H$2)+(H5*(1-$H$2))</f>
        <v>66</v>
      </c>
      <c r="I6" s="80">
        <f>ABS(C6-H6)/C6</f>
        <v>9.5890410958904104E-2</v>
      </c>
      <c r="K6" s="272" t="s">
        <v>184</v>
      </c>
      <c r="L6" s="247"/>
      <c r="M6" s="247"/>
      <c r="N6" s="248"/>
      <c r="Q6" s="69"/>
      <c r="R6" s="69"/>
      <c r="S6" s="69"/>
      <c r="T6" s="69"/>
      <c r="U6" s="24"/>
      <c r="V6" s="24"/>
      <c r="W6" s="24"/>
      <c r="X6" s="24"/>
      <c r="Y6" s="24"/>
    </row>
    <row r="7" spans="1:25" x14ac:dyDescent="0.2">
      <c r="A7" s="24"/>
      <c r="B7" s="52">
        <v>3</v>
      </c>
      <c r="C7" s="52">
        <v>103</v>
      </c>
      <c r="D7" s="71">
        <f t="shared" si="0"/>
        <v>77.188811188811187</v>
      </c>
      <c r="E7" s="80">
        <f t="shared" si="1"/>
        <v>0.25059406612804674</v>
      </c>
      <c r="F7" s="78" t="s">
        <v>32</v>
      </c>
      <c r="G7" s="73"/>
      <c r="H7" s="71">
        <f t="shared" si="2"/>
        <v>67.75</v>
      </c>
      <c r="I7" s="80">
        <f t="shared" ref="I7:I8" si="3">ABS(C7-H7)/C7</f>
        <v>0.34223300970873788</v>
      </c>
      <c r="K7" s="249"/>
      <c r="L7" s="250"/>
      <c r="M7" s="250"/>
      <c r="N7" s="251"/>
      <c r="Q7" s="69"/>
      <c r="R7" s="69"/>
      <c r="S7" s="69"/>
      <c r="T7" s="69"/>
      <c r="U7" s="24"/>
      <c r="V7" s="24"/>
      <c r="W7" s="24"/>
      <c r="X7" s="24"/>
      <c r="Y7" s="24"/>
    </row>
    <row r="8" spans="1:25" x14ac:dyDescent="0.2">
      <c r="A8" s="24"/>
      <c r="B8" s="52">
        <v>4</v>
      </c>
      <c r="C8" s="52">
        <v>60</v>
      </c>
      <c r="D8" s="71">
        <f t="shared" si="0"/>
        <v>78.206293706293707</v>
      </c>
      <c r="E8" s="80">
        <f t="shared" si="1"/>
        <v>0.30343822843822843</v>
      </c>
      <c r="F8" s="78" t="s">
        <v>32</v>
      </c>
      <c r="G8" s="73"/>
      <c r="H8" s="71">
        <f t="shared" si="2"/>
        <v>76.5625</v>
      </c>
      <c r="I8" s="80">
        <f t="shared" si="3"/>
        <v>0.27604166666666669</v>
      </c>
      <c r="K8" s="249"/>
      <c r="L8" s="250"/>
      <c r="M8" s="250"/>
      <c r="N8" s="251"/>
      <c r="Q8" s="69"/>
      <c r="R8" s="69"/>
      <c r="S8" s="69"/>
      <c r="T8" s="69"/>
      <c r="U8" s="24"/>
      <c r="V8" s="24"/>
      <c r="W8" s="24"/>
      <c r="X8" s="24"/>
      <c r="Y8" s="24"/>
    </row>
    <row r="9" spans="1:25" x14ac:dyDescent="0.2">
      <c r="A9" s="24"/>
      <c r="B9" s="52">
        <v>5</v>
      </c>
      <c r="C9" s="52">
        <v>81</v>
      </c>
      <c r="D9" s="71">
        <f t="shared" si="0"/>
        <v>79.223776223776227</v>
      </c>
      <c r="E9" s="80">
        <f t="shared" ref="E9:E16" si="4">ABS(C9-D9)/C9</f>
        <v>2.1928688595355225E-2</v>
      </c>
      <c r="F9" s="71">
        <f t="shared" ref="F9:F17" si="5">(D5+D6+D7+D8)/4</f>
        <v>76.680069930069934</v>
      </c>
      <c r="G9" s="297">
        <f t="shared" ref="G9:G16" si="6">ABS(C9-F9)/C9</f>
        <v>5.3332469999136621E-2</v>
      </c>
      <c r="H9" s="71">
        <f t="shared" si="2"/>
        <v>72.421875</v>
      </c>
      <c r="I9" s="80">
        <f>ABS(C9-H9)/C9</f>
        <v>0.10590277777777778</v>
      </c>
      <c r="K9" s="249"/>
      <c r="L9" s="250"/>
      <c r="M9" s="250"/>
      <c r="N9" s="251"/>
      <c r="Q9" s="69"/>
      <c r="R9" s="69"/>
      <c r="S9" s="69"/>
      <c r="T9" s="69"/>
      <c r="U9" s="24"/>
      <c r="V9" s="24"/>
      <c r="W9" s="24"/>
      <c r="X9" s="24"/>
      <c r="Y9" s="24"/>
    </row>
    <row r="10" spans="1:25" x14ac:dyDescent="0.2">
      <c r="A10" s="24"/>
      <c r="B10" s="52">
        <v>6</v>
      </c>
      <c r="C10" s="52">
        <v>87</v>
      </c>
      <c r="D10" s="71">
        <f t="shared" si="0"/>
        <v>80.241258741258747</v>
      </c>
      <c r="E10" s="80">
        <f t="shared" si="4"/>
        <v>7.7686681134956928E-2</v>
      </c>
      <c r="F10" s="71">
        <f t="shared" si="5"/>
        <v>77.697552447552454</v>
      </c>
      <c r="G10" s="297">
        <f t="shared" si="6"/>
        <v>0.10692468451089134</v>
      </c>
      <c r="H10" s="71">
        <f t="shared" si="2"/>
        <v>74.56640625</v>
      </c>
      <c r="I10" s="80">
        <f t="shared" ref="I10:I16" si="7">ABS(C10-H10)/C10</f>
        <v>0.14291487068965517</v>
      </c>
      <c r="K10" s="249"/>
      <c r="L10" s="250"/>
      <c r="M10" s="250"/>
      <c r="N10" s="251"/>
      <c r="Q10" s="69"/>
      <c r="R10" s="69"/>
      <c r="S10" s="69"/>
      <c r="T10" s="69"/>
      <c r="U10" s="24"/>
      <c r="V10" s="24"/>
      <c r="W10" s="24"/>
      <c r="X10" s="24"/>
      <c r="Y10" s="24"/>
    </row>
    <row r="11" spans="1:25" x14ac:dyDescent="0.2">
      <c r="A11" s="24"/>
      <c r="B11" s="52">
        <v>7</v>
      </c>
      <c r="C11" s="52">
        <v>73</v>
      </c>
      <c r="D11" s="71">
        <f t="shared" si="0"/>
        <v>81.258741258741267</v>
      </c>
      <c r="E11" s="80">
        <f t="shared" si="4"/>
        <v>0.1131334419005653</v>
      </c>
      <c r="F11" s="71">
        <f t="shared" si="5"/>
        <v>78.71503496503496</v>
      </c>
      <c r="G11" s="297">
        <f t="shared" si="6"/>
        <v>7.8288150205958348E-2</v>
      </c>
      <c r="H11" s="71">
        <f t="shared" si="2"/>
        <v>77.6748046875</v>
      </c>
      <c r="I11" s="80">
        <f t="shared" si="7"/>
        <v>6.4038420376712327E-2</v>
      </c>
      <c r="K11" s="249"/>
      <c r="L11" s="250"/>
      <c r="M11" s="250"/>
      <c r="N11" s="251"/>
      <c r="Q11" s="69"/>
      <c r="R11" s="69"/>
      <c r="S11" s="69"/>
      <c r="T11" s="69"/>
      <c r="U11" s="24"/>
      <c r="V11" s="24"/>
      <c r="W11" s="24"/>
      <c r="X11" s="24"/>
      <c r="Y11" s="24"/>
    </row>
    <row r="12" spans="1:25" x14ac:dyDescent="0.2">
      <c r="A12" s="24"/>
      <c r="B12" s="52">
        <v>8</v>
      </c>
      <c r="C12" s="52">
        <v>90</v>
      </c>
      <c r="D12" s="71">
        <f t="shared" si="0"/>
        <v>82.276223776223787</v>
      </c>
      <c r="E12" s="80">
        <f t="shared" si="4"/>
        <v>8.581973581973569E-2</v>
      </c>
      <c r="F12" s="74">
        <f t="shared" si="5"/>
        <v>79.73251748251748</v>
      </c>
      <c r="G12" s="80">
        <f t="shared" si="6"/>
        <v>0.11408313908313911</v>
      </c>
      <c r="H12" s="71">
        <f t="shared" si="2"/>
        <v>76.506103515625</v>
      </c>
      <c r="I12" s="80">
        <f t="shared" si="7"/>
        <v>0.14993218315972223</v>
      </c>
      <c r="K12" s="249"/>
      <c r="L12" s="250"/>
      <c r="M12" s="250"/>
      <c r="N12" s="251"/>
      <c r="Q12" s="69"/>
      <c r="R12" s="69"/>
      <c r="S12" s="69"/>
      <c r="T12" s="69"/>
      <c r="U12" s="24"/>
      <c r="V12" s="24"/>
      <c r="W12" s="24"/>
      <c r="X12" s="24"/>
      <c r="Y12" s="24"/>
    </row>
    <row r="13" spans="1:25" x14ac:dyDescent="0.2">
      <c r="A13" s="24"/>
      <c r="B13" s="52">
        <v>9</v>
      </c>
      <c r="C13" s="52">
        <v>78</v>
      </c>
      <c r="D13" s="71">
        <f t="shared" si="0"/>
        <v>83.293706293706293</v>
      </c>
      <c r="E13" s="80">
        <f t="shared" si="4"/>
        <v>6.7868029406490935E-2</v>
      </c>
      <c r="F13" s="74">
        <f t="shared" si="5"/>
        <v>80.750000000000014</v>
      </c>
      <c r="G13" s="80">
        <f t="shared" si="6"/>
        <v>3.5256410256410436E-2</v>
      </c>
      <c r="H13" s="71">
        <f t="shared" si="2"/>
        <v>79.87957763671875</v>
      </c>
      <c r="I13" s="80">
        <f t="shared" si="7"/>
        <v>2.4097149188701924E-2</v>
      </c>
      <c r="K13" s="249"/>
      <c r="L13" s="250"/>
      <c r="M13" s="250"/>
      <c r="N13" s="251"/>
      <c r="Q13" s="69"/>
      <c r="R13" s="69"/>
      <c r="S13" s="69"/>
      <c r="T13" s="69"/>
      <c r="U13" s="24"/>
      <c r="V13" s="24"/>
      <c r="W13" s="24"/>
      <c r="X13" s="24"/>
      <c r="Y13" s="24"/>
    </row>
    <row r="14" spans="1:25" ht="17" thickBot="1" x14ac:dyDescent="0.25">
      <c r="A14" s="24"/>
      <c r="B14" s="52">
        <v>10</v>
      </c>
      <c r="C14" s="52">
        <v>87</v>
      </c>
      <c r="D14" s="71">
        <f t="shared" si="0"/>
        <v>84.311188811188813</v>
      </c>
      <c r="E14" s="80">
        <f t="shared" si="4"/>
        <v>3.0905875733461916E-2</v>
      </c>
      <c r="F14" s="74">
        <f t="shared" si="5"/>
        <v>81.76748251748252</v>
      </c>
      <c r="G14" s="80">
        <f t="shared" si="6"/>
        <v>6.0143879109396323E-2</v>
      </c>
      <c r="H14" s="71">
        <f t="shared" si="2"/>
        <v>79.409683227539062</v>
      </c>
      <c r="I14" s="80">
        <f t="shared" si="7"/>
        <v>8.7245020373114227E-2</v>
      </c>
      <c r="K14" s="252"/>
      <c r="L14" s="253"/>
      <c r="M14" s="253"/>
      <c r="N14" s="254"/>
      <c r="Q14" s="69"/>
      <c r="R14" s="69"/>
      <c r="S14" s="69"/>
      <c r="T14" s="69"/>
      <c r="U14" s="24"/>
      <c r="V14" s="24"/>
      <c r="W14" s="24"/>
      <c r="X14" s="24"/>
      <c r="Y14" s="24"/>
    </row>
    <row r="15" spans="1:25" x14ac:dyDescent="0.2">
      <c r="A15" s="24"/>
      <c r="B15" s="52">
        <v>11</v>
      </c>
      <c r="C15" s="52">
        <v>99</v>
      </c>
      <c r="D15" s="71">
        <f t="shared" si="0"/>
        <v>85.328671328671334</v>
      </c>
      <c r="E15" s="80">
        <f t="shared" si="4"/>
        <v>0.13809422900331986</v>
      </c>
      <c r="F15" s="74">
        <f t="shared" si="5"/>
        <v>82.78496503496504</v>
      </c>
      <c r="G15" s="80">
        <f t="shared" si="6"/>
        <v>0.1637882319700501</v>
      </c>
      <c r="H15" s="71">
        <f t="shared" si="2"/>
        <v>81.307262420654297</v>
      </c>
      <c r="I15" s="80">
        <f t="shared" si="7"/>
        <v>0.17871452100349194</v>
      </c>
      <c r="N15" s="69"/>
      <c r="Q15" s="69"/>
      <c r="R15" s="69"/>
      <c r="S15" s="69"/>
      <c r="T15" s="69"/>
      <c r="U15" s="24"/>
      <c r="V15" s="24"/>
      <c r="W15" s="24"/>
      <c r="X15" s="24"/>
      <c r="Y15" s="24"/>
    </row>
    <row r="16" spans="1:25" x14ac:dyDescent="0.2">
      <c r="A16" s="24"/>
      <c r="B16" s="52">
        <v>12</v>
      </c>
      <c r="C16" s="52">
        <v>72</v>
      </c>
      <c r="D16" s="71">
        <f t="shared" si="0"/>
        <v>86.346153846153854</v>
      </c>
      <c r="E16" s="80">
        <f t="shared" si="4"/>
        <v>0.19925213675213685</v>
      </c>
      <c r="F16" s="74">
        <f t="shared" si="5"/>
        <v>83.802447552447546</v>
      </c>
      <c r="G16" s="80">
        <f t="shared" si="6"/>
        <v>0.16392288267288257</v>
      </c>
      <c r="H16" s="71">
        <f t="shared" si="2"/>
        <v>85.730446815490723</v>
      </c>
      <c r="I16" s="80">
        <f t="shared" si="7"/>
        <v>0.19070065021514893</v>
      </c>
      <c r="N16" s="69"/>
      <c r="Q16" s="69"/>
      <c r="R16" s="69"/>
      <c r="S16" s="69"/>
      <c r="T16" s="69"/>
      <c r="U16" s="24"/>
      <c r="V16" s="24"/>
      <c r="W16" s="24"/>
      <c r="X16" s="24"/>
      <c r="Y16" s="24"/>
    </row>
    <row r="17" spans="1:25" x14ac:dyDescent="0.2">
      <c r="A17" s="24"/>
      <c r="B17" s="50">
        <v>13</v>
      </c>
      <c r="C17" s="52"/>
      <c r="D17" s="72">
        <f>FORECAST(B17,$C$5:$C$16,$B$5:$B$16)</f>
        <v>87.363636363636374</v>
      </c>
      <c r="E17" s="77"/>
      <c r="F17" s="75">
        <f t="shared" si="5"/>
        <v>84.819930069930066</v>
      </c>
      <c r="G17" s="72"/>
      <c r="H17" s="72">
        <f t="shared" si="2"/>
        <v>82.297835111618042</v>
      </c>
      <c r="I17" s="79"/>
      <c r="N17" s="69"/>
      <c r="Q17" s="69"/>
      <c r="R17" s="69"/>
      <c r="S17" s="69"/>
      <c r="T17" s="69"/>
      <c r="U17" s="24"/>
      <c r="V17" s="24"/>
      <c r="W17" s="24"/>
      <c r="X17" s="24"/>
      <c r="Y17" s="24"/>
    </row>
    <row r="18" spans="1:25" x14ac:dyDescent="0.2">
      <c r="A18" s="24"/>
      <c r="B18" s="24"/>
      <c r="C18" s="24"/>
      <c r="D18" s="24"/>
      <c r="E18" s="24"/>
      <c r="F18" s="24"/>
      <c r="G18" s="24"/>
      <c r="H18" s="24"/>
      <c r="I18" s="24"/>
      <c r="K18" s="24"/>
      <c r="N18" s="24"/>
      <c r="Q18" s="24"/>
      <c r="R18" s="24"/>
      <c r="S18" s="24"/>
      <c r="T18" s="24"/>
      <c r="U18" s="24"/>
      <c r="V18" s="24"/>
      <c r="W18" s="24"/>
      <c r="X18" s="24"/>
      <c r="Y18" s="24"/>
    </row>
    <row r="19" spans="1:25" x14ac:dyDescent="0.2">
      <c r="A19" s="24"/>
      <c r="B19" s="24"/>
      <c r="C19" s="24"/>
      <c r="D19" s="24"/>
      <c r="E19" s="83">
        <f>AVERAGE(E9:E16)</f>
        <v>9.1836102293252828E-2</v>
      </c>
      <c r="F19" s="24"/>
      <c r="G19" s="83">
        <f>AVERAGE(G9:G16)</f>
        <v>9.6967480975983109E-2</v>
      </c>
      <c r="H19" s="24"/>
      <c r="I19" s="83">
        <f>AVERAGE(I9:I16)</f>
        <v>0.11794319909804056</v>
      </c>
      <c r="K19" s="24"/>
      <c r="N19" s="24"/>
      <c r="Q19" s="24"/>
      <c r="R19" s="24"/>
      <c r="S19" s="24"/>
      <c r="T19" s="24"/>
      <c r="U19" s="24"/>
      <c r="V19" s="24"/>
      <c r="W19" s="24"/>
      <c r="X19" s="24"/>
      <c r="Y19" s="24"/>
    </row>
    <row r="20" spans="1:25" x14ac:dyDescent="0.2">
      <c r="A20" s="24"/>
      <c r="B20" s="24"/>
      <c r="C20" s="24"/>
      <c r="D20" s="24"/>
      <c r="E20" s="24"/>
      <c r="F20" s="24"/>
      <c r="G20" s="24"/>
      <c r="H20" s="24"/>
      <c r="I20" s="24"/>
      <c r="J20" s="24"/>
      <c r="K20" s="24"/>
      <c r="L20" s="24"/>
      <c r="M20" s="24"/>
      <c r="O20" s="24"/>
      <c r="P20" s="24"/>
      <c r="Q20" s="24"/>
      <c r="R20" s="24"/>
      <c r="S20" s="24"/>
      <c r="T20" s="24"/>
      <c r="U20" s="24"/>
      <c r="V20" s="24"/>
      <c r="W20" s="24"/>
      <c r="X20" s="24"/>
      <c r="Y20" s="24"/>
    </row>
    <row r="21" spans="1:25" ht="34" x14ac:dyDescent="0.2">
      <c r="A21" s="24"/>
      <c r="B21" s="1" t="s">
        <v>183</v>
      </c>
      <c r="C21" s="38">
        <f>AVERAGE(C5:C16)</f>
        <v>80.75</v>
      </c>
      <c r="D21" s="24"/>
      <c r="E21" s="24"/>
      <c r="F21" s="24"/>
      <c r="G21" s="24"/>
      <c r="H21" s="24"/>
      <c r="I21" s="24"/>
      <c r="J21" s="24"/>
      <c r="K21" s="24"/>
      <c r="L21" s="24"/>
      <c r="M21" s="24"/>
      <c r="O21" s="24"/>
      <c r="P21" s="24"/>
      <c r="Q21" s="24"/>
      <c r="R21" s="24"/>
      <c r="S21" s="24"/>
      <c r="T21" s="24"/>
      <c r="U21" s="24"/>
      <c r="V21" s="24"/>
      <c r="W21" s="24"/>
      <c r="X21" s="24"/>
      <c r="Y21" s="24"/>
    </row>
    <row r="22" spans="1:25" x14ac:dyDescent="0.2">
      <c r="A22" s="24"/>
      <c r="B22" s="24"/>
      <c r="C22" s="24"/>
      <c r="D22" s="24"/>
      <c r="E22" s="24"/>
      <c r="F22" s="24"/>
      <c r="G22" s="81"/>
      <c r="H22" s="24"/>
      <c r="I22" s="24"/>
      <c r="J22" s="24"/>
      <c r="K22" s="24"/>
      <c r="L22" s="24"/>
      <c r="M22" s="24"/>
      <c r="O22" s="24"/>
      <c r="P22" s="24"/>
      <c r="Q22" s="24"/>
      <c r="R22" s="24"/>
      <c r="S22" s="24"/>
      <c r="T22" s="24"/>
      <c r="U22" s="24"/>
      <c r="V22" s="24"/>
      <c r="W22" s="24"/>
      <c r="X22" s="24"/>
      <c r="Y22" s="24"/>
    </row>
    <row r="23" spans="1:25" x14ac:dyDescent="0.2">
      <c r="A23" s="24"/>
      <c r="B23" s="24"/>
      <c r="C23" s="24"/>
      <c r="D23" s="24"/>
      <c r="E23" s="24"/>
      <c r="F23" s="24"/>
      <c r="G23" s="24"/>
      <c r="H23" s="24"/>
      <c r="I23" s="24"/>
      <c r="J23" s="24"/>
      <c r="K23" s="24"/>
      <c r="L23" s="24"/>
      <c r="M23" s="24"/>
      <c r="O23" s="24"/>
      <c r="P23" s="24"/>
      <c r="Q23" s="24"/>
      <c r="R23" s="24"/>
      <c r="S23" s="24"/>
      <c r="T23" s="24"/>
      <c r="U23" s="24"/>
      <c r="V23" s="24"/>
      <c r="W23" s="24"/>
      <c r="X23" s="24"/>
      <c r="Y23" s="24"/>
    </row>
    <row r="24" spans="1:25" x14ac:dyDescent="0.2">
      <c r="A24" t="s">
        <v>2</v>
      </c>
      <c r="G24" s="82"/>
      <c r="O24" s="24"/>
      <c r="P24" s="24"/>
      <c r="Q24" s="24"/>
      <c r="R24" s="24"/>
      <c r="S24" s="24"/>
      <c r="T24" s="24"/>
      <c r="U24" s="24"/>
      <c r="V24" s="24"/>
      <c r="W24" s="24"/>
      <c r="X24" s="24"/>
      <c r="Y24" s="24"/>
    </row>
    <row r="25" spans="1:25" ht="17" thickBot="1" x14ac:dyDescent="0.25">
      <c r="O25" s="24"/>
      <c r="P25" s="24"/>
      <c r="Q25" s="24"/>
      <c r="R25" s="24"/>
      <c r="S25" s="24"/>
      <c r="T25" s="24"/>
      <c r="U25" s="24"/>
      <c r="V25" s="24"/>
      <c r="W25" s="24"/>
      <c r="X25" s="24"/>
      <c r="Y25" s="24"/>
    </row>
    <row r="26" spans="1:25" x14ac:dyDescent="0.2">
      <c r="A26" s="5" t="s">
        <v>3</v>
      </c>
      <c r="B26" s="5"/>
      <c r="O26" s="24"/>
      <c r="P26" s="24"/>
      <c r="Q26" s="24"/>
      <c r="R26" s="24"/>
      <c r="S26" s="24"/>
      <c r="T26" s="24"/>
      <c r="U26" s="24"/>
      <c r="V26" s="24"/>
      <c r="W26" s="24"/>
      <c r="X26" s="24"/>
      <c r="Y26" s="24"/>
    </row>
    <row r="27" spans="1:25" x14ac:dyDescent="0.2">
      <c r="A27" s="17" t="s">
        <v>4</v>
      </c>
      <c r="B27" s="17">
        <v>0.2833251181359287</v>
      </c>
      <c r="C27" s="271" t="s">
        <v>178</v>
      </c>
      <c r="D27" s="271"/>
      <c r="E27" s="68"/>
      <c r="F27" s="68"/>
      <c r="O27" s="24"/>
      <c r="P27" s="24"/>
      <c r="Q27" s="24"/>
      <c r="R27" s="24"/>
      <c r="S27" s="24"/>
      <c r="T27" s="24"/>
      <c r="U27" s="24"/>
      <c r="V27" s="24"/>
      <c r="W27" s="24"/>
      <c r="X27" s="24"/>
      <c r="Y27" s="24"/>
    </row>
    <row r="28" spans="1:25" x14ac:dyDescent="0.2">
      <c r="A28" s="17" t="s">
        <v>5</v>
      </c>
      <c r="B28" s="17">
        <v>8.0273122566737951E-2</v>
      </c>
      <c r="C28" s="271"/>
      <c r="D28" s="271"/>
      <c r="E28" s="68"/>
      <c r="F28" s="68"/>
      <c r="O28" s="24"/>
      <c r="P28" s="24"/>
      <c r="Q28" s="24"/>
      <c r="R28" s="24"/>
      <c r="S28" s="24"/>
      <c r="T28" s="24"/>
      <c r="U28" s="24"/>
      <c r="V28" s="24"/>
      <c r="W28" s="24"/>
      <c r="X28" s="24"/>
      <c r="Y28" s="24"/>
    </row>
    <row r="29" spans="1:25" x14ac:dyDescent="0.2">
      <c r="A29" t="s">
        <v>6</v>
      </c>
      <c r="B29">
        <v>-1.1699565176588255E-2</v>
      </c>
      <c r="O29" s="24"/>
      <c r="P29" s="24"/>
      <c r="Q29" s="24"/>
      <c r="R29" s="24"/>
      <c r="S29" s="24"/>
      <c r="T29" s="24"/>
      <c r="U29" s="24"/>
      <c r="V29" s="24"/>
      <c r="W29" s="24"/>
      <c r="X29" s="24"/>
      <c r="Y29" s="24"/>
    </row>
    <row r="30" spans="1:25" x14ac:dyDescent="0.2">
      <c r="A30" t="s">
        <v>7</v>
      </c>
      <c r="B30">
        <v>13.023848485398982</v>
      </c>
      <c r="O30" s="24"/>
      <c r="P30" s="24"/>
      <c r="Q30" s="24"/>
      <c r="R30" s="24"/>
      <c r="S30" s="24"/>
      <c r="T30" s="24"/>
      <c r="U30" s="24"/>
      <c r="V30" s="24"/>
      <c r="W30" s="24"/>
      <c r="X30" s="24"/>
      <c r="Y30" s="24"/>
    </row>
    <row r="31" spans="1:25" ht="17" thickBot="1" x14ac:dyDescent="0.25">
      <c r="A31" s="3" t="s">
        <v>8</v>
      </c>
      <c r="B31" s="3">
        <v>12</v>
      </c>
      <c r="O31" s="24"/>
      <c r="P31" s="24"/>
      <c r="Q31" s="24"/>
      <c r="R31" s="24"/>
      <c r="S31" s="24"/>
      <c r="T31" s="24"/>
      <c r="U31" s="24"/>
      <c r="V31" s="24"/>
      <c r="W31" s="24"/>
      <c r="X31" s="24"/>
      <c r="Y31" s="24"/>
    </row>
    <row r="32" spans="1:25" x14ac:dyDescent="0.2">
      <c r="O32" s="24"/>
      <c r="P32" s="24"/>
      <c r="Q32" s="24"/>
      <c r="R32" s="24"/>
      <c r="S32" s="24"/>
      <c r="T32" s="24"/>
      <c r="U32" s="24"/>
      <c r="V32" s="24"/>
      <c r="W32" s="24"/>
      <c r="X32" s="24"/>
      <c r="Y32" s="24"/>
    </row>
    <row r="33" spans="1:25" ht="17" thickBot="1" x14ac:dyDescent="0.25">
      <c r="A33" t="s">
        <v>9</v>
      </c>
      <c r="O33" s="24"/>
      <c r="P33" s="24"/>
      <c r="Q33" s="24"/>
      <c r="R33" s="24"/>
      <c r="S33" s="24"/>
      <c r="T33" s="24"/>
      <c r="U33" s="24"/>
      <c r="V33" s="24"/>
      <c r="W33" s="24"/>
      <c r="X33" s="24"/>
      <c r="Y33" s="24"/>
    </row>
    <row r="34" spans="1:25" x14ac:dyDescent="0.2">
      <c r="A34" s="4"/>
      <c r="B34" s="4" t="s">
        <v>14</v>
      </c>
      <c r="C34" s="4" t="s">
        <v>15</v>
      </c>
      <c r="D34" s="4" t="s">
        <v>16</v>
      </c>
      <c r="E34" s="4"/>
      <c r="F34" s="4"/>
      <c r="G34" s="4" t="s">
        <v>17</v>
      </c>
      <c r="H34" s="4"/>
      <c r="I34" s="4"/>
      <c r="J34" s="4" t="s">
        <v>18</v>
      </c>
      <c r="O34" s="24"/>
      <c r="P34" s="24"/>
      <c r="Q34" s="24"/>
      <c r="R34" s="24"/>
      <c r="S34" s="24"/>
      <c r="T34" s="24"/>
      <c r="U34" s="24"/>
      <c r="V34" s="24"/>
      <c r="W34" s="24"/>
      <c r="X34" s="24"/>
      <c r="Y34" s="24"/>
    </row>
    <row r="35" spans="1:25" x14ac:dyDescent="0.2">
      <c r="A35" t="s">
        <v>10</v>
      </c>
      <c r="B35">
        <v>1</v>
      </c>
      <c r="C35">
        <v>148.04370629370646</v>
      </c>
      <c r="D35">
        <v>148.04370629370646</v>
      </c>
      <c r="G35">
        <v>0.87279304907083999</v>
      </c>
      <c r="J35">
        <v>0.37219275025708254</v>
      </c>
      <c r="O35" s="24"/>
      <c r="P35" s="24"/>
      <c r="Q35" s="24"/>
      <c r="R35" s="24"/>
      <c r="S35" s="24"/>
      <c r="T35" s="24"/>
      <c r="U35" s="24"/>
      <c r="V35" s="24"/>
      <c r="W35" s="24"/>
      <c r="X35" s="24"/>
      <c r="Y35" s="24"/>
    </row>
    <row r="36" spans="1:25" x14ac:dyDescent="0.2">
      <c r="A36" t="s">
        <v>11</v>
      </c>
      <c r="B36">
        <v>10</v>
      </c>
      <c r="C36">
        <v>1696.2062937062935</v>
      </c>
      <c r="D36">
        <v>169.62062937062936</v>
      </c>
      <c r="O36" s="24"/>
      <c r="P36" s="24"/>
      <c r="Q36" s="24"/>
      <c r="R36" s="24"/>
      <c r="S36" s="24"/>
      <c r="T36" s="24"/>
      <c r="U36" s="24"/>
      <c r="V36" s="24"/>
      <c r="W36" s="24"/>
      <c r="X36" s="24"/>
      <c r="Y36" s="24"/>
    </row>
    <row r="37" spans="1:25" ht="17" thickBot="1" x14ac:dyDescent="0.25">
      <c r="A37" s="3" t="s">
        <v>12</v>
      </c>
      <c r="B37" s="3">
        <v>11</v>
      </c>
      <c r="C37" s="3">
        <v>1844.25</v>
      </c>
      <c r="D37" s="3"/>
      <c r="E37" s="3"/>
      <c r="F37" s="3"/>
      <c r="G37" s="3"/>
      <c r="H37" s="3"/>
      <c r="I37" s="3"/>
      <c r="J37" s="3"/>
      <c r="O37" s="24"/>
      <c r="P37" s="24"/>
      <c r="Q37" s="24"/>
      <c r="R37" s="24"/>
      <c r="S37" s="24"/>
      <c r="T37" s="24"/>
      <c r="U37" s="24"/>
      <c r="V37" s="24"/>
      <c r="W37" s="24"/>
      <c r="X37" s="24"/>
      <c r="Y37" s="24"/>
    </row>
    <row r="38" spans="1:25" ht="17" thickBot="1" x14ac:dyDescent="0.25">
      <c r="O38" s="24"/>
      <c r="P38" s="24"/>
      <c r="Q38" s="24"/>
      <c r="R38" s="24"/>
      <c r="S38" s="24"/>
      <c r="T38" s="24"/>
      <c r="U38" s="24"/>
      <c r="V38" s="24"/>
      <c r="W38" s="24"/>
      <c r="X38" s="24"/>
      <c r="Y38" s="24"/>
    </row>
    <row r="39" spans="1:25" x14ac:dyDescent="0.2">
      <c r="A39" s="4"/>
      <c r="B39" s="4" t="s">
        <v>19</v>
      </c>
      <c r="C39" s="4" t="s">
        <v>7</v>
      </c>
      <c r="D39" s="4" t="s">
        <v>20</v>
      </c>
      <c r="E39" s="4"/>
      <c r="F39" s="4"/>
      <c r="G39" s="4" t="s">
        <v>21</v>
      </c>
      <c r="H39" s="4"/>
      <c r="I39" s="4"/>
      <c r="J39" s="4" t="s">
        <v>22</v>
      </c>
      <c r="K39" s="4" t="s">
        <v>23</v>
      </c>
      <c r="L39" s="4" t="s">
        <v>24</v>
      </c>
      <c r="M39" s="4" t="s">
        <v>25</v>
      </c>
      <c r="O39" s="24"/>
      <c r="P39" s="24"/>
      <c r="Q39" s="24"/>
      <c r="R39" s="24"/>
      <c r="S39" s="24"/>
      <c r="T39" s="24"/>
      <c r="U39" s="24"/>
      <c r="V39" s="24"/>
      <c r="W39" s="24"/>
      <c r="X39" s="24"/>
      <c r="Y39" s="24"/>
    </row>
    <row r="40" spans="1:25" x14ac:dyDescent="0.2">
      <c r="A40" t="s">
        <v>13</v>
      </c>
      <c r="B40">
        <v>74.13636363636364</v>
      </c>
      <c r="C40">
        <v>8.0156246417834254</v>
      </c>
      <c r="D40">
        <v>9.2489814517897351</v>
      </c>
      <c r="G40">
        <v>3.235564665309558E-6</v>
      </c>
      <c r="J40">
        <v>56.276438949067426</v>
      </c>
      <c r="K40">
        <v>91.996288323659854</v>
      </c>
      <c r="L40">
        <v>56.276438949067426</v>
      </c>
      <c r="M40">
        <v>91.996288323659854</v>
      </c>
      <c r="O40" s="24"/>
      <c r="P40" s="24"/>
      <c r="Q40" s="24"/>
      <c r="R40" s="24"/>
      <c r="S40" s="24"/>
      <c r="T40" s="24"/>
      <c r="U40" s="24"/>
      <c r="V40" s="24"/>
      <c r="W40" s="24"/>
      <c r="X40" s="24"/>
      <c r="Y40" s="24"/>
    </row>
    <row r="41" spans="1:25" ht="17" thickBot="1" x14ac:dyDescent="0.25">
      <c r="A41" s="3" t="s">
        <v>177</v>
      </c>
      <c r="B41" s="3">
        <v>1.0174825174825175</v>
      </c>
      <c r="C41" s="3">
        <v>1.0891089235457851</v>
      </c>
      <c r="D41" s="3">
        <v>0.93423393701515611</v>
      </c>
      <c r="E41" s="3"/>
      <c r="F41" s="3"/>
      <c r="G41" s="3">
        <v>0.37219275025708276</v>
      </c>
      <c r="H41" s="3"/>
      <c r="I41" s="3"/>
      <c r="J41" s="3">
        <v>-1.4092033891147953</v>
      </c>
      <c r="K41" s="3">
        <v>3.4441684240798303</v>
      </c>
      <c r="L41" s="3">
        <v>-1.4092033891147953</v>
      </c>
      <c r="M41" s="3">
        <v>3.4441684240798303</v>
      </c>
      <c r="O41" s="24"/>
      <c r="P41" s="24"/>
      <c r="Q41" s="24"/>
      <c r="R41" s="24"/>
      <c r="S41" s="24"/>
      <c r="T41" s="24"/>
      <c r="U41" s="24"/>
      <c r="V41" s="24"/>
      <c r="W41" s="24"/>
      <c r="X41" s="24"/>
      <c r="Y41" s="24"/>
    </row>
  </sheetData>
  <mergeCells count="2">
    <mergeCell ref="C27:D28"/>
    <mergeCell ref="K6:N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4D2C6-50FF-4A43-AD10-D8A726041B07}">
  <dimension ref="A1:P68"/>
  <sheetViews>
    <sheetView workbookViewId="0">
      <selection activeCell="K7" sqref="K7"/>
    </sheetView>
  </sheetViews>
  <sheetFormatPr baseColWidth="10" defaultRowHeight="16" x14ac:dyDescent="0.2"/>
  <cols>
    <col min="1" max="1" width="15.5" customWidth="1"/>
    <col min="5" max="5" width="12.1640625" customWidth="1"/>
    <col min="8" max="8" width="11.83203125" customWidth="1"/>
    <col min="9" max="9" width="14.5" customWidth="1"/>
    <col min="10" max="10" width="13.83203125" customWidth="1"/>
  </cols>
  <sheetData>
    <row r="1" spans="2:16" x14ac:dyDescent="0.2">
      <c r="E1" s="8" t="s">
        <v>35</v>
      </c>
      <c r="F1" s="8">
        <v>0.4</v>
      </c>
    </row>
    <row r="2" spans="2:16" x14ac:dyDescent="0.2">
      <c r="E2" s="8" t="s">
        <v>170</v>
      </c>
      <c r="F2" s="8">
        <v>0.1</v>
      </c>
    </row>
    <row r="3" spans="2:16" x14ac:dyDescent="0.2">
      <c r="E3" s="8" t="s">
        <v>171</v>
      </c>
      <c r="F3" s="8">
        <v>0.3</v>
      </c>
    </row>
    <row r="5" spans="2:16" x14ac:dyDescent="0.2">
      <c r="B5" s="25"/>
      <c r="C5" s="25"/>
      <c r="D5" s="25"/>
      <c r="E5" s="270" t="s">
        <v>82</v>
      </c>
      <c r="F5" s="270"/>
      <c r="G5" s="270"/>
      <c r="H5" s="270"/>
      <c r="I5" s="270"/>
      <c r="J5" s="25"/>
      <c r="K5" s="25"/>
      <c r="L5" s="25"/>
      <c r="M5" s="25"/>
      <c r="N5" s="25"/>
      <c r="O5" s="25"/>
      <c r="P5" s="25"/>
    </row>
    <row r="6" spans="2:16" ht="17" x14ac:dyDescent="0.2">
      <c r="B6" s="50" t="s">
        <v>0</v>
      </c>
      <c r="C6" s="50" t="s">
        <v>124</v>
      </c>
      <c r="D6" s="50" t="s">
        <v>185</v>
      </c>
      <c r="E6" s="37" t="s">
        <v>79</v>
      </c>
      <c r="F6" s="37" t="s">
        <v>80</v>
      </c>
      <c r="G6" s="37" t="s">
        <v>83</v>
      </c>
      <c r="H6" s="37" t="s">
        <v>27</v>
      </c>
      <c r="I6" s="37" t="s">
        <v>81</v>
      </c>
      <c r="J6" s="25"/>
      <c r="K6" s="25"/>
      <c r="L6" s="25"/>
      <c r="M6" s="25"/>
      <c r="N6" s="25"/>
      <c r="O6" s="25"/>
      <c r="P6" s="25"/>
    </row>
    <row r="7" spans="2:16" x14ac:dyDescent="0.2">
      <c r="B7" s="60"/>
      <c r="C7" s="60">
        <v>-4</v>
      </c>
      <c r="D7" s="60"/>
      <c r="E7" s="60"/>
      <c r="F7" s="60"/>
      <c r="G7" s="60">
        <v>1</v>
      </c>
      <c r="H7" s="60"/>
      <c r="I7" s="60"/>
      <c r="J7" s="25"/>
      <c r="K7" s="25"/>
      <c r="L7" s="25"/>
      <c r="M7" s="25"/>
      <c r="N7" s="25"/>
      <c r="O7" s="25"/>
      <c r="P7" s="25"/>
    </row>
    <row r="8" spans="2:16" x14ac:dyDescent="0.2">
      <c r="B8" s="60"/>
      <c r="C8" s="60">
        <v>-3</v>
      </c>
      <c r="D8" s="60"/>
      <c r="E8" s="60"/>
      <c r="F8" s="60"/>
      <c r="G8" s="60">
        <v>1</v>
      </c>
      <c r="H8" s="60"/>
      <c r="I8" s="60"/>
      <c r="J8" s="25"/>
      <c r="K8" s="25"/>
      <c r="L8" s="25"/>
      <c r="M8" s="25"/>
      <c r="N8" s="25"/>
      <c r="O8" s="25"/>
      <c r="P8" s="25"/>
    </row>
    <row r="9" spans="2:16" x14ac:dyDescent="0.2">
      <c r="B9" s="60"/>
      <c r="C9" s="60">
        <v>-2</v>
      </c>
      <c r="D9" s="60"/>
      <c r="E9" s="60"/>
      <c r="F9" s="60"/>
      <c r="G9" s="60">
        <v>1</v>
      </c>
      <c r="H9" s="60"/>
      <c r="I9" s="60"/>
      <c r="J9" s="25"/>
      <c r="K9" s="25"/>
      <c r="L9" s="25"/>
      <c r="M9" s="25"/>
      <c r="N9" s="25"/>
      <c r="O9" s="25"/>
      <c r="P9" s="25"/>
    </row>
    <row r="10" spans="2:16" x14ac:dyDescent="0.2">
      <c r="B10" s="60"/>
      <c r="C10" s="60">
        <v>-1</v>
      </c>
      <c r="D10" s="60"/>
      <c r="E10" s="60"/>
      <c r="F10" s="60"/>
      <c r="G10" s="60">
        <v>1</v>
      </c>
      <c r="H10" s="60"/>
      <c r="I10" s="60"/>
      <c r="J10" s="25"/>
      <c r="K10" s="25"/>
      <c r="L10" s="25"/>
      <c r="M10" s="25"/>
      <c r="N10" s="25"/>
      <c r="O10" s="25"/>
      <c r="P10" s="25"/>
    </row>
    <row r="11" spans="2:16" x14ac:dyDescent="0.2">
      <c r="B11" s="60"/>
      <c r="C11" s="60">
        <v>0</v>
      </c>
      <c r="D11" s="60"/>
      <c r="E11" s="60"/>
      <c r="F11" s="60"/>
      <c r="G11" s="60">
        <v>1</v>
      </c>
      <c r="H11" s="60"/>
      <c r="I11" s="60"/>
      <c r="J11" s="25"/>
      <c r="K11" s="25"/>
      <c r="L11" s="25"/>
      <c r="M11" s="25"/>
      <c r="N11" s="25"/>
      <c r="O11" s="25"/>
      <c r="P11" s="25"/>
    </row>
    <row r="12" spans="2:16" x14ac:dyDescent="0.2">
      <c r="B12" s="52">
        <v>2021</v>
      </c>
      <c r="C12" s="52">
        <v>1</v>
      </c>
      <c r="D12" s="52">
        <v>200</v>
      </c>
      <c r="E12" s="62">
        <v>200</v>
      </c>
      <c r="F12" s="62">
        <v>0</v>
      </c>
      <c r="G12" s="60">
        <v>1</v>
      </c>
      <c r="H12" s="60" t="s">
        <v>32</v>
      </c>
      <c r="I12" s="60" t="s">
        <v>32</v>
      </c>
      <c r="J12" s="25"/>
      <c r="K12" s="25"/>
      <c r="L12" s="25"/>
      <c r="M12" s="25"/>
      <c r="N12" s="25"/>
      <c r="O12" s="25"/>
      <c r="P12" s="25"/>
    </row>
    <row r="13" spans="2:16" x14ac:dyDescent="0.2">
      <c r="B13" s="52"/>
      <c r="C13" s="52">
        <v>2</v>
      </c>
      <c r="D13" s="52">
        <v>225</v>
      </c>
      <c r="E13" s="62">
        <f>($F$1*(D13/G9))+((1-$F$1)*(E12+F12))</f>
        <v>210</v>
      </c>
      <c r="F13" s="62">
        <f>($F$2*(E13-E12))+((1-$F$2)*F12)</f>
        <v>1</v>
      </c>
      <c r="G13" s="62">
        <f>($F$3*(D13/E13))+((1-$F$3)*G9)</f>
        <v>1.0214285714285714</v>
      </c>
      <c r="H13" s="61">
        <f>(E12+(1*F12))*G9</f>
        <v>200</v>
      </c>
      <c r="I13" s="62">
        <f>ABS(D13-H13)</f>
        <v>25</v>
      </c>
      <c r="J13" s="25"/>
      <c r="K13" s="25"/>
      <c r="L13" s="25"/>
      <c r="M13" s="25"/>
      <c r="N13" s="25"/>
      <c r="O13" s="25"/>
      <c r="P13" s="25"/>
    </row>
    <row r="14" spans="2:16" x14ac:dyDescent="0.2">
      <c r="B14" s="52"/>
      <c r="C14" s="52">
        <v>3</v>
      </c>
      <c r="D14" s="52">
        <v>250</v>
      </c>
      <c r="E14" s="62">
        <f t="shared" ref="E14:E23" si="0">($F$1*(D14/G10))+((1-$F$1)*(E13+F13))</f>
        <v>226.6</v>
      </c>
      <c r="F14" s="62">
        <f t="shared" ref="F14:F23" si="1">($F$2*(E14-E13))+((1-$F$2)*F13)</f>
        <v>2.5599999999999996</v>
      </c>
      <c r="G14" s="62">
        <f t="shared" ref="G14:G23" si="2">($F$3*(D14/E14))+((1-$F$3)*G10)</f>
        <v>1.0309796999117387</v>
      </c>
      <c r="H14" s="61">
        <f t="shared" ref="H14:H23" si="3">(E13+(1*F13))*G10</f>
        <v>211</v>
      </c>
      <c r="I14" s="62">
        <f t="shared" ref="I14:I23" si="4">ABS(D14-H14)</f>
        <v>39</v>
      </c>
      <c r="J14" s="25"/>
      <c r="K14" s="25"/>
      <c r="L14" s="25"/>
      <c r="M14" s="25"/>
      <c r="N14" s="25"/>
      <c r="O14" s="25"/>
      <c r="P14" s="25"/>
    </row>
    <row r="15" spans="2:16" x14ac:dyDescent="0.2">
      <c r="B15" s="52"/>
      <c r="C15" s="52">
        <v>4</v>
      </c>
      <c r="D15" s="52">
        <v>300</v>
      </c>
      <c r="E15" s="62">
        <f t="shared" si="0"/>
        <v>257.49599999999998</v>
      </c>
      <c r="F15" s="62">
        <f t="shared" si="1"/>
        <v>5.3935999999999993</v>
      </c>
      <c r="G15" s="62">
        <f t="shared" si="2"/>
        <v>1.0495199925435734</v>
      </c>
      <c r="H15" s="61">
        <f t="shared" si="3"/>
        <v>229.16</v>
      </c>
      <c r="I15" s="62">
        <f t="shared" si="4"/>
        <v>70.84</v>
      </c>
      <c r="J15" s="25"/>
      <c r="K15" s="25"/>
      <c r="L15" s="25"/>
      <c r="M15" s="25"/>
      <c r="N15" s="25"/>
      <c r="O15" s="25"/>
      <c r="P15" s="25"/>
    </row>
    <row r="16" spans="2:16" x14ac:dyDescent="0.2">
      <c r="B16" s="52">
        <v>2022</v>
      </c>
      <c r="C16" s="52">
        <v>1</v>
      </c>
      <c r="D16" s="52">
        <v>230</v>
      </c>
      <c r="E16" s="62">
        <f t="shared" si="0"/>
        <v>249.73375999999999</v>
      </c>
      <c r="F16" s="62">
        <f t="shared" si="1"/>
        <v>4.0780160000000008</v>
      </c>
      <c r="G16" s="62">
        <f t="shared" si="2"/>
        <v>0.97629424231629713</v>
      </c>
      <c r="H16" s="61">
        <f t="shared" si="3"/>
        <v>262.88959999999997</v>
      </c>
      <c r="I16" s="62">
        <f t="shared" si="4"/>
        <v>32.889599999999973</v>
      </c>
      <c r="J16" s="25"/>
      <c r="K16" s="25"/>
      <c r="L16" s="25"/>
      <c r="M16" s="25"/>
      <c r="N16" s="25"/>
      <c r="O16" s="25"/>
      <c r="P16" s="25"/>
    </row>
    <row r="17" spans="2:16" x14ac:dyDescent="0.2">
      <c r="B17" s="52"/>
      <c r="C17" s="52">
        <v>2</v>
      </c>
      <c r="D17" s="52">
        <v>260</v>
      </c>
      <c r="E17" s="62">
        <f t="shared" si="0"/>
        <v>254.10524741818182</v>
      </c>
      <c r="F17" s="62">
        <f t="shared" si="1"/>
        <v>4.1073631418181833</v>
      </c>
      <c r="G17" s="62">
        <f t="shared" si="2"/>
        <v>1.0219594224932911</v>
      </c>
      <c r="H17" s="61">
        <f t="shared" si="3"/>
        <v>259.25059977142854</v>
      </c>
      <c r="I17" s="62">
        <f t="shared" si="4"/>
        <v>0.74940022857146005</v>
      </c>
      <c r="J17" s="25"/>
      <c r="K17" s="25"/>
      <c r="L17" s="25"/>
      <c r="M17" s="25"/>
      <c r="N17" s="25"/>
      <c r="O17" s="25"/>
      <c r="P17" s="25"/>
    </row>
    <row r="18" spans="2:16" x14ac:dyDescent="0.2">
      <c r="B18" s="52"/>
      <c r="C18" s="52">
        <v>3</v>
      </c>
      <c r="D18" s="52">
        <v>290</v>
      </c>
      <c r="E18" s="62">
        <f t="shared" si="0"/>
        <v>267.44190586172556</v>
      </c>
      <c r="F18" s="62">
        <f t="shared" si="1"/>
        <v>5.0302926719907388</v>
      </c>
      <c r="G18" s="62">
        <f t="shared" si="2"/>
        <v>1.0469900825459031</v>
      </c>
      <c r="H18" s="61">
        <f t="shared" si="3"/>
        <v>266.21195974857545</v>
      </c>
      <c r="I18" s="62">
        <f t="shared" si="4"/>
        <v>23.788040251424547</v>
      </c>
      <c r="J18" s="25"/>
      <c r="K18" s="25"/>
      <c r="L18" s="25"/>
      <c r="M18" s="25"/>
      <c r="N18" s="25"/>
      <c r="O18" s="25"/>
      <c r="P18" s="25"/>
    </row>
    <row r="19" spans="2:16" x14ac:dyDescent="0.2">
      <c r="B19" s="52"/>
      <c r="C19" s="52">
        <v>4</v>
      </c>
      <c r="D19" s="52">
        <v>320</v>
      </c>
      <c r="E19" s="62">
        <f t="shared" si="0"/>
        <v>285.44383526988833</v>
      </c>
      <c r="F19" s="62">
        <f t="shared" si="1"/>
        <v>6.3274563456079411</v>
      </c>
      <c r="G19" s="62">
        <f t="shared" si="2"/>
        <v>1.0709823458467684</v>
      </c>
      <c r="H19" s="61">
        <f t="shared" si="3"/>
        <v>285.96501977343701</v>
      </c>
      <c r="I19" s="62">
        <f t="shared" si="4"/>
        <v>34.034980226562993</v>
      </c>
      <c r="J19" s="25"/>
      <c r="K19" s="25"/>
      <c r="L19" s="25"/>
      <c r="M19" s="25"/>
      <c r="N19" s="25"/>
      <c r="O19" s="25"/>
      <c r="P19" s="25"/>
    </row>
    <row r="20" spans="2:16" x14ac:dyDescent="0.2">
      <c r="B20" s="52">
        <v>2023</v>
      </c>
      <c r="C20" s="52">
        <v>1</v>
      </c>
      <c r="D20" s="52">
        <v>215</v>
      </c>
      <c r="E20" s="62">
        <f t="shared" si="0"/>
        <v>263.15097243317052</v>
      </c>
      <c r="F20" s="62">
        <f t="shared" si="1"/>
        <v>3.4654244273753667</v>
      </c>
      <c r="G20" s="62">
        <f t="shared" si="2"/>
        <v>0.92851241708620058</v>
      </c>
      <c r="H20" s="61">
        <f t="shared" si="3"/>
        <v>284.85463207739826</v>
      </c>
      <c r="I20" s="62">
        <f t="shared" si="4"/>
        <v>69.854632077398264</v>
      </c>
      <c r="J20" s="25"/>
      <c r="K20" s="25"/>
      <c r="L20" s="25"/>
      <c r="M20" s="25"/>
      <c r="N20" s="25"/>
      <c r="O20" s="25"/>
      <c r="P20" s="25"/>
    </row>
    <row r="21" spans="2:16" x14ac:dyDescent="0.2">
      <c r="B21" s="52"/>
      <c r="C21" s="52">
        <v>2</v>
      </c>
      <c r="D21" s="52">
        <v>245</v>
      </c>
      <c r="E21" s="62">
        <f t="shared" si="0"/>
        <v>255.86405646103225</v>
      </c>
      <c r="F21" s="62">
        <f t="shared" si="1"/>
        <v>2.3901903874240027</v>
      </c>
      <c r="G21" s="62">
        <f t="shared" si="2"/>
        <v>1.0026335152841819</v>
      </c>
      <c r="H21" s="61">
        <f t="shared" si="3"/>
        <v>272.47113896284554</v>
      </c>
      <c r="I21" s="62">
        <f t="shared" si="4"/>
        <v>27.471138962845544</v>
      </c>
      <c r="J21" s="25"/>
      <c r="K21" s="25"/>
      <c r="L21" s="25"/>
      <c r="M21" s="25"/>
      <c r="N21" s="25"/>
      <c r="O21" s="25"/>
      <c r="P21" s="25"/>
    </row>
    <row r="22" spans="2:16" x14ac:dyDescent="0.2">
      <c r="B22" s="52"/>
      <c r="C22" s="52">
        <v>3</v>
      </c>
      <c r="D22" s="52">
        <v>280</v>
      </c>
      <c r="E22" s="62">
        <f t="shared" si="0"/>
        <v>261.92586320261915</v>
      </c>
      <c r="F22" s="62">
        <f t="shared" si="1"/>
        <v>2.7573520228402932</v>
      </c>
      <c r="G22" s="62">
        <f t="shared" si="2"/>
        <v>1.0535944920464519</v>
      </c>
      <c r="H22" s="61">
        <f t="shared" si="3"/>
        <v>270.38963522569526</v>
      </c>
      <c r="I22" s="62">
        <f t="shared" si="4"/>
        <v>9.6103647743047418</v>
      </c>
      <c r="J22" s="25"/>
      <c r="K22" s="25"/>
      <c r="L22" s="25"/>
      <c r="M22" s="25"/>
      <c r="N22" s="25"/>
      <c r="O22" s="25"/>
      <c r="P22" s="25"/>
    </row>
    <row r="23" spans="2:16" x14ac:dyDescent="0.2">
      <c r="B23" s="52"/>
      <c r="C23" s="52">
        <v>4</v>
      </c>
      <c r="D23" s="52">
        <v>295</v>
      </c>
      <c r="E23" s="62">
        <f t="shared" si="0"/>
        <v>268.98914960291438</v>
      </c>
      <c r="F23" s="62">
        <f t="shared" si="1"/>
        <v>3.1879454605857869</v>
      </c>
      <c r="G23" s="62">
        <f t="shared" si="2"/>
        <v>1.0786971955659725</v>
      </c>
      <c r="H23" s="61">
        <f t="shared" si="3"/>
        <v>283.47105074842761</v>
      </c>
      <c r="I23" s="62">
        <f t="shared" si="4"/>
        <v>11.528949251572385</v>
      </c>
      <c r="J23" s="25"/>
      <c r="K23" s="25"/>
      <c r="L23" s="25"/>
      <c r="M23" s="25"/>
      <c r="N23" s="25"/>
      <c r="O23" s="25"/>
      <c r="P23" s="25"/>
    </row>
    <row r="24" spans="2:16" x14ac:dyDescent="0.2">
      <c r="B24" s="39">
        <v>2024</v>
      </c>
      <c r="C24" s="25">
        <v>1</v>
      </c>
      <c r="D24" s="25"/>
      <c r="E24" s="25"/>
      <c r="F24" s="25"/>
      <c r="G24" s="25"/>
      <c r="H24" s="63">
        <f>(E20+(4*F20))*G20</f>
        <v>257.20970391767474</v>
      </c>
      <c r="I24" s="25"/>
      <c r="J24" s="25"/>
      <c r="K24" s="25"/>
      <c r="L24" s="25"/>
      <c r="M24" s="25"/>
      <c r="N24" s="25"/>
      <c r="O24" s="25"/>
      <c r="P24" s="25"/>
    </row>
    <row r="25" spans="2:16" x14ac:dyDescent="0.2">
      <c r="B25" s="25"/>
      <c r="C25" s="25">
        <v>2</v>
      </c>
      <c r="D25" s="25"/>
      <c r="E25" s="25"/>
      <c r="F25" s="25"/>
      <c r="G25" s="25"/>
      <c r="H25" s="63">
        <f t="shared" ref="H25:H27" si="5">(E21+(4*F21))*G21</f>
        <v>266.12381832576068</v>
      </c>
      <c r="I25" s="25"/>
      <c r="J25" s="25"/>
      <c r="K25" s="25"/>
      <c r="L25" s="25"/>
      <c r="M25" s="25"/>
      <c r="N25" s="25"/>
      <c r="O25" s="25"/>
      <c r="P25" s="25"/>
    </row>
    <row r="26" spans="2:16" x14ac:dyDescent="0.2">
      <c r="B26" s="25"/>
      <c r="C26" s="25">
        <v>3</v>
      </c>
      <c r="D26" s="25"/>
      <c r="E26" s="25"/>
      <c r="F26" s="25"/>
      <c r="G26" s="25"/>
      <c r="H26" s="63">
        <f t="shared" si="5"/>
        <v>287.58417041038268</v>
      </c>
      <c r="I26" s="85">
        <f>AVERAGE(I13:I23)</f>
        <v>31.342464161152723</v>
      </c>
      <c r="J26" s="25"/>
      <c r="K26" s="25"/>
      <c r="L26" s="25"/>
      <c r="M26" s="25"/>
      <c r="N26" s="25"/>
      <c r="O26" s="25"/>
      <c r="P26" s="25"/>
    </row>
    <row r="27" spans="2:16" x14ac:dyDescent="0.2">
      <c r="B27" s="25"/>
      <c r="C27" s="25">
        <v>4</v>
      </c>
      <c r="D27" s="25"/>
      <c r="E27" s="25"/>
      <c r="F27" s="25"/>
      <c r="G27" s="25"/>
      <c r="H27" s="63">
        <f t="shared" si="5"/>
        <v>303.91315262614421</v>
      </c>
      <c r="I27" s="25"/>
      <c r="J27" s="25"/>
      <c r="K27" s="25"/>
      <c r="L27" s="25"/>
      <c r="M27" s="25"/>
      <c r="N27" s="25"/>
      <c r="O27" s="25"/>
      <c r="P27" s="25"/>
    </row>
    <row r="28" spans="2:16" x14ac:dyDescent="0.2">
      <c r="B28" s="25"/>
      <c r="C28" s="25"/>
      <c r="D28" s="25"/>
      <c r="E28" s="25"/>
      <c r="F28" s="25"/>
      <c r="G28" s="25"/>
      <c r="H28" s="25"/>
      <c r="I28" s="25"/>
      <c r="J28" s="25"/>
      <c r="K28" s="25"/>
      <c r="L28" s="25"/>
      <c r="M28" s="25"/>
      <c r="N28" s="25"/>
      <c r="O28" s="25"/>
      <c r="P28" s="25"/>
    </row>
    <row r="29" spans="2:16" x14ac:dyDescent="0.2">
      <c r="B29" s="25"/>
      <c r="C29" s="25"/>
      <c r="D29" s="25"/>
      <c r="E29" s="25"/>
      <c r="F29" s="25"/>
      <c r="G29" s="25"/>
      <c r="H29" s="25"/>
      <c r="I29" s="25"/>
      <c r="J29" s="25"/>
      <c r="K29" s="25"/>
      <c r="L29" s="25"/>
      <c r="M29" s="25"/>
      <c r="N29" s="25"/>
      <c r="O29" s="25"/>
      <c r="P29" s="25"/>
    </row>
    <row r="30" spans="2:16" x14ac:dyDescent="0.2">
      <c r="B30" s="25"/>
      <c r="C30" s="25"/>
      <c r="D30" s="25"/>
      <c r="E30" s="25"/>
      <c r="F30" s="270" t="s">
        <v>192</v>
      </c>
      <c r="G30" s="270"/>
      <c r="H30" s="270"/>
      <c r="I30" s="270"/>
      <c r="J30" s="270"/>
      <c r="K30" s="270"/>
      <c r="L30" s="25"/>
      <c r="M30" s="25"/>
      <c r="N30" s="25"/>
      <c r="O30" s="25"/>
      <c r="P30" s="25"/>
    </row>
    <row r="31" spans="2:16" ht="48" customHeight="1" x14ac:dyDescent="0.2">
      <c r="B31" s="50" t="s">
        <v>0</v>
      </c>
      <c r="C31" s="50" t="s">
        <v>124</v>
      </c>
      <c r="D31" s="50" t="s">
        <v>85</v>
      </c>
      <c r="E31" s="50" t="s">
        <v>185</v>
      </c>
      <c r="F31" s="50" t="s">
        <v>186</v>
      </c>
      <c r="G31" s="50" t="s">
        <v>187</v>
      </c>
      <c r="H31" s="50" t="s">
        <v>189</v>
      </c>
      <c r="I31" s="50" t="s">
        <v>190</v>
      </c>
      <c r="J31" s="50" t="s">
        <v>191</v>
      </c>
      <c r="K31" s="50" t="s">
        <v>81</v>
      </c>
      <c r="L31" s="25"/>
      <c r="M31" s="25"/>
      <c r="N31" s="25"/>
      <c r="O31" s="25"/>
      <c r="P31" s="25"/>
    </row>
    <row r="32" spans="2:16" x14ac:dyDescent="0.2">
      <c r="B32" s="52">
        <v>2021</v>
      </c>
      <c r="C32" s="52">
        <v>1</v>
      </c>
      <c r="D32" s="12">
        <v>1</v>
      </c>
      <c r="E32" s="52">
        <v>200</v>
      </c>
      <c r="F32" s="61">
        <f>(E32+E36+E40)/3</f>
        <v>215</v>
      </c>
      <c r="G32" s="62">
        <f>F32/$D$49</f>
        <v>0.82958199356913176</v>
      </c>
      <c r="H32" s="61">
        <f>E32/G32</f>
        <v>241.08527131782947</v>
      </c>
      <c r="I32" s="61">
        <f>FORECAST(D32,$H$32:$H$43,$D$32:$D$43)</f>
        <v>249.38524308462218</v>
      </c>
      <c r="J32" s="61">
        <f>G32*I32</f>
        <v>206.88550712486338</v>
      </c>
      <c r="K32" s="61" t="s">
        <v>32</v>
      </c>
      <c r="L32" s="25"/>
      <c r="M32" s="25"/>
      <c r="N32" s="25"/>
      <c r="O32" s="25"/>
      <c r="P32" s="25"/>
    </row>
    <row r="33" spans="2:16" x14ac:dyDescent="0.2">
      <c r="B33" s="52"/>
      <c r="C33" s="52">
        <v>2</v>
      </c>
      <c r="D33" s="12">
        <v>2</v>
      </c>
      <c r="E33" s="52">
        <v>225</v>
      </c>
      <c r="F33" s="61">
        <f t="shared" ref="F33:F35" si="6">(E33+E37+E41)/3</f>
        <v>243.33333333333334</v>
      </c>
      <c r="G33" s="62">
        <f>F33/$D$49</f>
        <v>0.93890675241157551</v>
      </c>
      <c r="H33" s="61">
        <f t="shared" ref="H33:H43" si="7">E33/G33</f>
        <v>239.64041095890411</v>
      </c>
      <c r="I33" s="61">
        <f t="shared" ref="I33:I47" si="8">FORECAST(D33,$H$32:$H$43,$D$32:$D$43)</f>
        <v>251.16368373590296</v>
      </c>
      <c r="J33" s="61">
        <f t="shared" ref="J33:J47" si="9">G33*I33</f>
        <v>235.8192786202047</v>
      </c>
      <c r="K33" s="62">
        <f>ABS(E33-J33)</f>
        <v>10.819278620204699</v>
      </c>
      <c r="L33" s="25"/>
      <c r="M33" s="25"/>
      <c r="N33" s="25"/>
      <c r="O33" s="25"/>
      <c r="P33" s="25"/>
    </row>
    <row r="34" spans="2:16" x14ac:dyDescent="0.2">
      <c r="B34" s="52"/>
      <c r="C34" s="52">
        <v>3</v>
      </c>
      <c r="D34" s="12">
        <v>3</v>
      </c>
      <c r="E34" s="52">
        <v>250</v>
      </c>
      <c r="F34" s="61">
        <f t="shared" si="6"/>
        <v>273.33333333333331</v>
      </c>
      <c r="G34" s="62">
        <f>F34/$D$49</f>
        <v>1.0546623794212218</v>
      </c>
      <c r="H34" s="61">
        <f t="shared" si="7"/>
        <v>237.04268292682929</v>
      </c>
      <c r="I34" s="61">
        <f t="shared" si="8"/>
        <v>252.94212438718378</v>
      </c>
      <c r="J34" s="61">
        <f t="shared" si="9"/>
        <v>266.76854276204591</v>
      </c>
      <c r="K34" s="62">
        <f t="shared" ref="K34:K43" si="10">ABS(E34-J34)</f>
        <v>16.768542762045911</v>
      </c>
      <c r="L34" s="25"/>
      <c r="M34" s="25"/>
      <c r="N34" s="25"/>
      <c r="O34" s="25"/>
      <c r="P34" s="25"/>
    </row>
    <row r="35" spans="2:16" x14ac:dyDescent="0.2">
      <c r="B35" s="52"/>
      <c r="C35" s="52">
        <v>4</v>
      </c>
      <c r="D35" s="12">
        <v>4</v>
      </c>
      <c r="E35" s="52">
        <v>300</v>
      </c>
      <c r="F35" s="61">
        <f t="shared" si="6"/>
        <v>305</v>
      </c>
      <c r="G35" s="62">
        <f>F35/$D$49</f>
        <v>1.1768488745980707</v>
      </c>
      <c r="H35" s="61">
        <f t="shared" si="7"/>
        <v>254.91803278688525</v>
      </c>
      <c r="I35" s="61">
        <f t="shared" si="8"/>
        <v>254.7205650384646</v>
      </c>
      <c r="J35" s="61">
        <f t="shared" si="9"/>
        <v>299.76761030250174</v>
      </c>
      <c r="K35" s="62">
        <f t="shared" si="10"/>
        <v>0.2323896974982631</v>
      </c>
      <c r="L35" s="25"/>
      <c r="M35" s="25"/>
      <c r="N35" s="25"/>
      <c r="O35" s="25"/>
      <c r="P35" s="25"/>
    </row>
    <row r="36" spans="2:16" x14ac:dyDescent="0.2">
      <c r="B36" s="52">
        <v>2022</v>
      </c>
      <c r="C36" s="52">
        <v>1</v>
      </c>
      <c r="D36" s="12">
        <v>5</v>
      </c>
      <c r="E36" s="52">
        <v>230</v>
      </c>
      <c r="F36" s="60"/>
      <c r="G36" s="62">
        <v>0.82958199356913176</v>
      </c>
      <c r="H36" s="61">
        <f t="shared" si="7"/>
        <v>277.24806201550388</v>
      </c>
      <c r="I36" s="61">
        <f t="shared" si="8"/>
        <v>256.49900568974539</v>
      </c>
      <c r="J36" s="61">
        <f t="shared" si="9"/>
        <v>212.78695648859906</v>
      </c>
      <c r="K36" s="62">
        <f t="shared" si="10"/>
        <v>17.21304351140094</v>
      </c>
      <c r="L36" s="25"/>
      <c r="M36" s="25"/>
      <c r="N36" s="25"/>
      <c r="O36" s="25"/>
      <c r="P36" s="25"/>
    </row>
    <row r="37" spans="2:16" x14ac:dyDescent="0.2">
      <c r="B37" s="52"/>
      <c r="C37" s="52">
        <v>2</v>
      </c>
      <c r="D37" s="12">
        <v>6</v>
      </c>
      <c r="E37" s="52">
        <v>260</v>
      </c>
      <c r="F37" s="60"/>
      <c r="G37" s="62">
        <v>0.93890675241157551</v>
      </c>
      <c r="H37" s="61">
        <f t="shared" si="7"/>
        <v>276.91780821917808</v>
      </c>
      <c r="I37" s="61">
        <f t="shared" si="8"/>
        <v>258.27744634102623</v>
      </c>
      <c r="J37" s="61">
        <f t="shared" si="9"/>
        <v>242.4984383652079</v>
      </c>
      <c r="K37" s="62">
        <f t="shared" si="10"/>
        <v>17.501561634792097</v>
      </c>
      <c r="L37" s="25"/>
      <c r="M37" s="25"/>
      <c r="N37" s="25"/>
      <c r="O37" s="25"/>
      <c r="P37" s="25"/>
    </row>
    <row r="38" spans="2:16" x14ac:dyDescent="0.2">
      <c r="B38" s="52"/>
      <c r="C38" s="52">
        <v>3</v>
      </c>
      <c r="D38" s="12">
        <v>7</v>
      </c>
      <c r="E38" s="52">
        <v>290</v>
      </c>
      <c r="F38" s="60"/>
      <c r="G38" s="62">
        <v>1.0546623794212218</v>
      </c>
      <c r="H38" s="61">
        <f t="shared" si="7"/>
        <v>274.96951219512198</v>
      </c>
      <c r="I38" s="61">
        <f t="shared" si="8"/>
        <v>260.05588699230702</v>
      </c>
      <c r="J38" s="61">
        <f t="shared" si="9"/>
        <v>274.27116055780289</v>
      </c>
      <c r="K38" s="62">
        <f t="shared" si="10"/>
        <v>15.728839442197113</v>
      </c>
      <c r="L38" s="25"/>
      <c r="M38" s="25"/>
      <c r="N38" s="25"/>
      <c r="O38" s="25"/>
      <c r="P38" s="25"/>
    </row>
    <row r="39" spans="2:16" x14ac:dyDescent="0.2">
      <c r="B39" s="52"/>
      <c r="C39" s="52">
        <v>4</v>
      </c>
      <c r="D39" s="12">
        <v>8</v>
      </c>
      <c r="E39" s="52">
        <v>320</v>
      </c>
      <c r="F39" s="60"/>
      <c r="G39" s="62">
        <v>1.1768488745980707</v>
      </c>
      <c r="H39" s="61">
        <f t="shared" si="7"/>
        <v>271.91256830601094</v>
      </c>
      <c r="I39" s="61">
        <f t="shared" si="8"/>
        <v>261.83432764358781</v>
      </c>
      <c r="J39" s="61">
        <f t="shared" si="9"/>
        <v>308.13943381849884</v>
      </c>
      <c r="K39" s="62">
        <f t="shared" si="10"/>
        <v>11.860566181501156</v>
      </c>
      <c r="L39" s="25"/>
      <c r="M39" s="25"/>
      <c r="N39" s="25"/>
      <c r="O39" s="25"/>
      <c r="P39" s="25"/>
    </row>
    <row r="40" spans="2:16" x14ac:dyDescent="0.2">
      <c r="B40" s="52">
        <v>2023</v>
      </c>
      <c r="C40" s="52">
        <v>1</v>
      </c>
      <c r="D40" s="12">
        <v>9</v>
      </c>
      <c r="E40" s="52">
        <v>215</v>
      </c>
      <c r="F40" s="60"/>
      <c r="G40" s="62">
        <v>0.82958199356913176</v>
      </c>
      <c r="H40" s="61">
        <f t="shared" si="7"/>
        <v>259.16666666666669</v>
      </c>
      <c r="I40" s="61">
        <f t="shared" si="8"/>
        <v>263.61276829486866</v>
      </c>
      <c r="J40" s="61">
        <f t="shared" si="9"/>
        <v>218.68840585233474</v>
      </c>
      <c r="K40" s="62">
        <f t="shared" si="10"/>
        <v>3.6884058523347392</v>
      </c>
      <c r="L40" s="25"/>
      <c r="M40" s="25"/>
      <c r="N40" s="25"/>
      <c r="O40" s="25"/>
      <c r="P40" s="25"/>
    </row>
    <row r="41" spans="2:16" x14ac:dyDescent="0.2">
      <c r="B41" s="52"/>
      <c r="C41" s="52">
        <v>2</v>
      </c>
      <c r="D41" s="12">
        <v>10</v>
      </c>
      <c r="E41" s="52">
        <v>245</v>
      </c>
      <c r="F41" s="60"/>
      <c r="G41" s="62">
        <v>0.93890675241157551</v>
      </c>
      <c r="H41" s="61">
        <f t="shared" si="7"/>
        <v>260.9417808219178</v>
      </c>
      <c r="I41" s="61">
        <f t="shared" si="8"/>
        <v>265.39120894614945</v>
      </c>
      <c r="J41" s="61">
        <f t="shared" si="9"/>
        <v>249.17759811021105</v>
      </c>
      <c r="K41" s="62">
        <f t="shared" si="10"/>
        <v>4.1775981102110507</v>
      </c>
      <c r="L41" s="25"/>
      <c r="M41" s="25"/>
      <c r="N41" s="25"/>
      <c r="O41" s="25"/>
      <c r="P41" s="25"/>
    </row>
    <row r="42" spans="2:16" x14ac:dyDescent="0.2">
      <c r="B42" s="52"/>
      <c r="C42" s="52">
        <v>3</v>
      </c>
      <c r="D42" s="12">
        <v>11</v>
      </c>
      <c r="E42" s="52">
        <v>280</v>
      </c>
      <c r="F42" s="60"/>
      <c r="G42" s="62">
        <v>1.0546623794212218</v>
      </c>
      <c r="H42" s="61">
        <f t="shared" si="7"/>
        <v>265.48780487804879</v>
      </c>
      <c r="I42" s="61">
        <f t="shared" si="8"/>
        <v>267.16964959743029</v>
      </c>
      <c r="J42" s="61">
        <f t="shared" si="9"/>
        <v>281.77377835355992</v>
      </c>
      <c r="K42" s="62">
        <f t="shared" si="10"/>
        <v>1.7737783535599192</v>
      </c>
      <c r="L42" s="25"/>
      <c r="M42" s="25"/>
      <c r="N42" s="25"/>
      <c r="O42" s="25"/>
      <c r="P42" s="25"/>
    </row>
    <row r="43" spans="2:16" x14ac:dyDescent="0.2">
      <c r="B43" s="52"/>
      <c r="C43" s="52">
        <v>4</v>
      </c>
      <c r="D43" s="12">
        <v>12</v>
      </c>
      <c r="E43" s="52">
        <v>295</v>
      </c>
      <c r="F43" s="60"/>
      <c r="G43" s="62">
        <v>1.1768488745980707</v>
      </c>
      <c r="H43" s="61">
        <f t="shared" si="7"/>
        <v>250.66939890710381</v>
      </c>
      <c r="I43" s="61">
        <f t="shared" si="8"/>
        <v>268.94809024871108</v>
      </c>
      <c r="J43" s="61">
        <f t="shared" si="9"/>
        <v>316.51125733449601</v>
      </c>
      <c r="K43" s="62">
        <f t="shared" si="10"/>
        <v>21.511257334496008</v>
      </c>
      <c r="L43" s="25"/>
      <c r="M43" s="25"/>
      <c r="N43" s="25"/>
      <c r="O43" s="25"/>
      <c r="P43" s="25"/>
    </row>
    <row r="44" spans="2:16" x14ac:dyDescent="0.2">
      <c r="B44" s="39">
        <v>2024</v>
      </c>
      <c r="C44" s="25">
        <v>1</v>
      </c>
      <c r="D44" s="39">
        <v>13</v>
      </c>
      <c r="E44" s="25"/>
      <c r="F44" s="25"/>
      <c r="G44" s="88">
        <v>0.82958199356913176</v>
      </c>
      <c r="H44" s="25"/>
      <c r="I44" s="89">
        <f t="shared" si="8"/>
        <v>270.72653089999187</v>
      </c>
      <c r="J44" s="63">
        <f t="shared" si="9"/>
        <v>224.58985521607042</v>
      </c>
      <c r="K44" s="25"/>
      <c r="L44" s="25"/>
      <c r="M44" s="25"/>
      <c r="N44" s="25"/>
      <c r="O44" s="25"/>
      <c r="P44" s="25"/>
    </row>
    <row r="45" spans="2:16" x14ac:dyDescent="0.2">
      <c r="B45" s="25"/>
      <c r="C45" s="25">
        <v>2</v>
      </c>
      <c r="D45" s="39">
        <v>14</v>
      </c>
      <c r="E45" s="25"/>
      <c r="F45" s="25"/>
      <c r="G45" s="88">
        <v>0.93890675241157551</v>
      </c>
      <c r="H45" s="25"/>
      <c r="I45" s="89">
        <f t="shared" si="8"/>
        <v>272.50497155127272</v>
      </c>
      <c r="J45" s="63">
        <f t="shared" si="9"/>
        <v>255.85675785521423</v>
      </c>
      <c r="K45" s="25"/>
      <c r="L45" s="25"/>
      <c r="M45" s="25"/>
      <c r="N45" s="25"/>
      <c r="O45" s="25"/>
      <c r="P45" s="25"/>
    </row>
    <row r="46" spans="2:16" x14ac:dyDescent="0.2">
      <c r="C46" s="2">
        <v>3</v>
      </c>
      <c r="D46" s="40">
        <v>15</v>
      </c>
      <c r="E46" s="25"/>
      <c r="F46" s="25"/>
      <c r="G46" s="88">
        <v>1.0546623794212218</v>
      </c>
      <c r="H46" s="25"/>
      <c r="I46" s="89">
        <f t="shared" si="8"/>
        <v>274.28341220255351</v>
      </c>
      <c r="J46" s="63">
        <f t="shared" si="9"/>
        <v>289.27639614931684</v>
      </c>
      <c r="K46" s="90">
        <f>AVERAGE(K33:K43)</f>
        <v>11.025023772749263</v>
      </c>
      <c r="L46" s="25"/>
      <c r="M46" s="25"/>
      <c r="N46" s="25"/>
      <c r="O46" s="25"/>
      <c r="P46" s="25"/>
    </row>
    <row r="47" spans="2:16" x14ac:dyDescent="0.2">
      <c r="B47" s="25"/>
      <c r="C47" s="25">
        <v>4</v>
      </c>
      <c r="D47" s="39">
        <v>16</v>
      </c>
      <c r="E47" s="25"/>
      <c r="F47" s="25"/>
      <c r="G47" s="88">
        <v>1.1768488745980707</v>
      </c>
      <c r="H47" s="25"/>
      <c r="I47" s="89">
        <f t="shared" si="8"/>
        <v>276.0618528538343</v>
      </c>
      <c r="J47" s="63">
        <f t="shared" si="9"/>
        <v>324.88308085049312</v>
      </c>
      <c r="K47" s="25"/>
      <c r="L47" s="25"/>
      <c r="M47" s="25"/>
      <c r="N47" s="25"/>
      <c r="O47" s="25"/>
      <c r="P47" s="25"/>
    </row>
    <row r="48" spans="2:16" x14ac:dyDescent="0.2">
      <c r="B48" s="25"/>
      <c r="C48" s="25"/>
      <c r="D48" s="25"/>
      <c r="E48" s="25"/>
      <c r="F48" s="25"/>
      <c r="G48" s="25"/>
      <c r="H48" s="25"/>
      <c r="I48" s="25"/>
      <c r="J48" s="25"/>
      <c r="K48" s="25"/>
      <c r="L48" s="25"/>
      <c r="M48" s="25"/>
      <c r="N48" s="25"/>
      <c r="O48" s="25"/>
      <c r="P48" s="25"/>
    </row>
    <row r="49" spans="1:16" x14ac:dyDescent="0.2">
      <c r="B49" s="86" t="s">
        <v>188</v>
      </c>
      <c r="C49" s="67"/>
      <c r="D49" s="87">
        <f>AVERAGE(E32:E43)</f>
        <v>259.16666666666669</v>
      </c>
      <c r="E49" s="25"/>
      <c r="F49" s="25"/>
      <c r="G49" s="25"/>
      <c r="H49" s="25"/>
      <c r="I49" s="25"/>
      <c r="J49" s="25"/>
      <c r="K49" s="25"/>
      <c r="L49" s="25"/>
      <c r="M49" s="25"/>
      <c r="N49" s="25"/>
      <c r="O49" s="25"/>
      <c r="P49" s="25"/>
    </row>
    <row r="50" spans="1:16" x14ac:dyDescent="0.2">
      <c r="B50" s="25"/>
      <c r="C50" s="25"/>
      <c r="D50" s="25"/>
      <c r="E50" s="25"/>
      <c r="F50" s="25"/>
      <c r="G50" s="25"/>
      <c r="H50" s="25"/>
      <c r="I50" s="25"/>
      <c r="J50" s="25"/>
      <c r="K50" s="25"/>
      <c r="L50" s="25"/>
      <c r="M50" s="25"/>
      <c r="N50" s="25"/>
      <c r="O50" s="25"/>
      <c r="P50" s="25"/>
    </row>
    <row r="51" spans="1:16" x14ac:dyDescent="0.2">
      <c r="A51" t="s">
        <v>2</v>
      </c>
      <c r="J51" s="25"/>
      <c r="K51" s="25"/>
      <c r="L51" s="25"/>
      <c r="M51" s="25"/>
      <c r="N51" s="25"/>
      <c r="O51" s="25"/>
      <c r="P51" s="25"/>
    </row>
    <row r="52" spans="1:16" ht="17" thickBot="1" x14ac:dyDescent="0.25">
      <c r="J52" s="25"/>
      <c r="K52" s="25"/>
      <c r="L52" s="25"/>
      <c r="M52" s="25"/>
      <c r="N52" s="25"/>
      <c r="O52" s="25"/>
      <c r="P52" s="25"/>
    </row>
    <row r="53" spans="1:16" x14ac:dyDescent="0.2">
      <c r="A53" s="5" t="s">
        <v>3</v>
      </c>
      <c r="B53" s="5"/>
      <c r="J53" s="25"/>
      <c r="K53" s="25"/>
      <c r="L53" s="25"/>
      <c r="M53" s="25"/>
      <c r="N53" s="25"/>
      <c r="O53" s="25"/>
      <c r="P53" s="25"/>
    </row>
    <row r="54" spans="1:16" x14ac:dyDescent="0.2">
      <c r="A54" s="17" t="s">
        <v>4</v>
      </c>
      <c r="B54" s="17">
        <v>0.43545012192590887</v>
      </c>
      <c r="C54" s="255" t="s">
        <v>196</v>
      </c>
      <c r="D54" s="255"/>
      <c r="E54" s="255"/>
      <c r="F54" s="255"/>
      <c r="G54" s="255"/>
      <c r="H54" s="255"/>
      <c r="J54" s="25"/>
      <c r="K54" s="25"/>
      <c r="L54" s="25"/>
      <c r="M54" s="25"/>
      <c r="N54" s="25"/>
      <c r="O54" s="25"/>
      <c r="P54" s="25"/>
    </row>
    <row r="55" spans="1:16" x14ac:dyDescent="0.2">
      <c r="A55" s="17" t="s">
        <v>5</v>
      </c>
      <c r="B55" s="17">
        <v>0.18961680868528891</v>
      </c>
      <c r="C55" s="255"/>
      <c r="D55" s="255"/>
      <c r="E55" s="255"/>
      <c r="F55" s="255"/>
      <c r="G55" s="255"/>
      <c r="H55" s="255"/>
      <c r="J55" s="25"/>
      <c r="K55" s="25"/>
      <c r="L55" s="25"/>
      <c r="M55" s="25"/>
      <c r="N55" s="25"/>
      <c r="O55" s="25"/>
      <c r="P55" s="25"/>
    </row>
    <row r="56" spans="1:16" x14ac:dyDescent="0.2">
      <c r="A56" t="s">
        <v>6</v>
      </c>
      <c r="B56">
        <v>0.1085784895538178</v>
      </c>
      <c r="J56" s="25"/>
      <c r="K56" s="25"/>
      <c r="L56" s="25"/>
      <c r="M56" s="25"/>
      <c r="N56" s="25"/>
      <c r="O56" s="25"/>
      <c r="P56" s="25"/>
    </row>
    <row r="57" spans="1:16" x14ac:dyDescent="0.2">
      <c r="A57" t="s">
        <v>7</v>
      </c>
      <c r="B57">
        <v>13.903181467297905</v>
      </c>
      <c r="J57" s="25"/>
      <c r="K57" s="25"/>
      <c r="L57" s="25"/>
      <c r="M57" s="25"/>
      <c r="N57" s="25"/>
      <c r="O57" s="25"/>
      <c r="P57" s="25"/>
    </row>
    <row r="58" spans="1:16" ht="17" thickBot="1" x14ac:dyDescent="0.25">
      <c r="A58" s="3" t="s">
        <v>8</v>
      </c>
      <c r="B58" s="3">
        <v>12</v>
      </c>
      <c r="J58" s="25"/>
      <c r="K58" s="25"/>
      <c r="L58" s="25"/>
      <c r="M58" s="25"/>
      <c r="N58" s="25"/>
      <c r="O58" s="25"/>
      <c r="P58" s="25"/>
    </row>
    <row r="59" spans="1:16" x14ac:dyDescent="0.2">
      <c r="J59" s="25"/>
      <c r="K59" s="25"/>
      <c r="L59" s="25"/>
      <c r="M59" s="25"/>
      <c r="N59" s="25"/>
      <c r="O59" s="25"/>
      <c r="P59" s="25"/>
    </row>
    <row r="60" spans="1:16" ht="17" thickBot="1" x14ac:dyDescent="0.25">
      <c r="A60" t="s">
        <v>9</v>
      </c>
    </row>
    <row r="61" spans="1:16" x14ac:dyDescent="0.2">
      <c r="A61" s="4"/>
      <c r="B61" s="4" t="s">
        <v>14</v>
      </c>
      <c r="C61" s="4" t="s">
        <v>15</v>
      </c>
      <c r="D61" s="4" t="s">
        <v>16</v>
      </c>
      <c r="E61" s="4" t="s">
        <v>17</v>
      </c>
      <c r="F61" s="4" t="s">
        <v>18</v>
      </c>
    </row>
    <row r="62" spans="1:16" x14ac:dyDescent="0.2">
      <c r="A62" t="s">
        <v>10</v>
      </c>
      <c r="B62">
        <v>1</v>
      </c>
      <c r="C62">
        <v>452.28771446832047</v>
      </c>
      <c r="D62">
        <v>452.28771446832047</v>
      </c>
      <c r="E62">
        <v>2.3398413333039074</v>
      </c>
      <c r="F62">
        <v>0.15709840078670659</v>
      </c>
    </row>
    <row r="63" spans="1:16" x14ac:dyDescent="0.2">
      <c r="A63" t="s">
        <v>11</v>
      </c>
      <c r="B63">
        <v>10</v>
      </c>
      <c r="C63">
        <v>1932.9845491261592</v>
      </c>
      <c r="D63">
        <v>193.29845491261591</v>
      </c>
    </row>
    <row r="64" spans="1:16" ht="17" thickBot="1" x14ac:dyDescent="0.25">
      <c r="A64" s="3" t="s">
        <v>12</v>
      </c>
      <c r="B64" s="3">
        <v>11</v>
      </c>
      <c r="C64" s="3">
        <v>2385.2722635944797</v>
      </c>
      <c r="D64" s="3"/>
      <c r="E64" s="3"/>
      <c r="F64" s="3"/>
    </row>
    <row r="65" spans="1:9" ht="17" thickBot="1" x14ac:dyDescent="0.25"/>
    <row r="66" spans="1:9" x14ac:dyDescent="0.2">
      <c r="A66" s="4"/>
      <c r="B66" s="4" t="s">
        <v>19</v>
      </c>
      <c r="C66" s="4" t="s">
        <v>7</v>
      </c>
      <c r="D66" s="4" t="s">
        <v>20</v>
      </c>
      <c r="E66" s="4" t="s">
        <v>21</v>
      </c>
      <c r="F66" s="4" t="s">
        <v>22</v>
      </c>
      <c r="G66" s="4" t="s">
        <v>23</v>
      </c>
      <c r="H66" s="4" t="s">
        <v>24</v>
      </c>
      <c r="I66" s="4" t="s">
        <v>25</v>
      </c>
    </row>
    <row r="67" spans="1:9" x14ac:dyDescent="0.2">
      <c r="A67" t="s">
        <v>13</v>
      </c>
      <c r="B67">
        <v>247.60680243334136</v>
      </c>
      <c r="C67">
        <v>8.5568166808296304</v>
      </c>
      <c r="D67">
        <v>28.936789424047181</v>
      </c>
      <c r="E67">
        <v>5.6619279417563531E-11</v>
      </c>
      <c r="F67">
        <v>228.54102673746061</v>
      </c>
      <c r="G67">
        <v>266.67257812922207</v>
      </c>
      <c r="H67">
        <v>228.54102673746061</v>
      </c>
      <c r="I67">
        <v>266.67257812922207</v>
      </c>
    </row>
    <row r="68" spans="1:9" ht="17" thickBot="1" x14ac:dyDescent="0.25">
      <c r="A68" s="3" t="s">
        <v>85</v>
      </c>
      <c r="B68" s="3">
        <v>1.7784406512808115</v>
      </c>
      <c r="C68" s="3">
        <v>1.1626424415706536</v>
      </c>
      <c r="D68" s="3">
        <v>1.5296539913666449</v>
      </c>
      <c r="E68" s="3">
        <v>0.15709840078670642</v>
      </c>
      <c r="F68" s="3">
        <v>-0.81208814375094351</v>
      </c>
      <c r="G68" s="3">
        <v>4.3689694463125663</v>
      </c>
      <c r="H68" s="3">
        <v>-0.81208814375094351</v>
      </c>
      <c r="I68" s="3">
        <v>4.3689694463125663</v>
      </c>
    </row>
  </sheetData>
  <mergeCells count="3">
    <mergeCell ref="E5:I5"/>
    <mergeCell ref="F30:K30"/>
    <mergeCell ref="C54:H5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5C39-4316-B342-A073-028CBCD26EED}">
  <dimension ref="A2:L36"/>
  <sheetViews>
    <sheetView workbookViewId="0">
      <selection activeCell="K9" sqref="K9"/>
    </sheetView>
  </sheetViews>
  <sheetFormatPr baseColWidth="10" defaultRowHeight="16" x14ac:dyDescent="0.2"/>
  <cols>
    <col min="1" max="1" width="16.5" customWidth="1"/>
    <col min="6" max="6" width="20.5" customWidth="1"/>
    <col min="7" max="7" width="17.33203125" customWidth="1"/>
    <col min="8" max="8" width="13.83203125" customWidth="1"/>
  </cols>
  <sheetData>
    <row r="2" spans="2:12" x14ac:dyDescent="0.2">
      <c r="B2" s="270" t="s">
        <v>195</v>
      </c>
      <c r="C2" s="270"/>
      <c r="D2" s="270"/>
      <c r="E2" s="270"/>
      <c r="F2" s="270"/>
      <c r="G2" s="270"/>
      <c r="H2" s="270"/>
    </row>
    <row r="3" spans="2:12" ht="42" customHeight="1" x14ac:dyDescent="0.2">
      <c r="B3" s="50" t="s">
        <v>193</v>
      </c>
      <c r="C3" s="50" t="s">
        <v>194</v>
      </c>
      <c r="D3" s="50" t="s">
        <v>186</v>
      </c>
      <c r="E3" s="50" t="s">
        <v>187</v>
      </c>
      <c r="F3" s="50" t="s">
        <v>189</v>
      </c>
      <c r="G3" s="50" t="s">
        <v>190</v>
      </c>
      <c r="H3" s="50" t="s">
        <v>191</v>
      </c>
      <c r="I3" s="24"/>
      <c r="J3" s="24"/>
      <c r="K3" s="24"/>
      <c r="L3" s="24"/>
    </row>
    <row r="4" spans="2:12" x14ac:dyDescent="0.2">
      <c r="B4" s="52">
        <v>1</v>
      </c>
      <c r="C4" s="52">
        <v>300</v>
      </c>
      <c r="D4" s="52">
        <f>(C4+C8)/2</f>
        <v>358</v>
      </c>
      <c r="E4" s="62">
        <f>D4/$C$17</f>
        <v>0.52724594992636231</v>
      </c>
      <c r="F4" s="92">
        <f>C4/E4</f>
        <v>568.99441340782118</v>
      </c>
      <c r="G4" s="61">
        <f>($B$36*B4)+$B$35</f>
        <v>540.26465028244877</v>
      </c>
      <c r="H4" s="61">
        <f>E4*G4</f>
        <v>284.85234874980364</v>
      </c>
      <c r="I4" s="24"/>
      <c r="K4" s="24"/>
      <c r="L4" s="24"/>
    </row>
    <row r="5" spans="2:12" x14ac:dyDescent="0.2">
      <c r="B5" s="52">
        <v>2</v>
      </c>
      <c r="C5" s="52">
        <v>540</v>
      </c>
      <c r="D5" s="52">
        <f t="shared" ref="D5:D7" si="0">(C5+C9)/2</f>
        <v>650</v>
      </c>
      <c r="E5" s="62">
        <f>D5/$C$17</f>
        <v>0.95729013254786455</v>
      </c>
      <c r="F5" s="92">
        <f t="shared" ref="F5:F11" si="1">C5/E5</f>
        <v>564.09230769230771</v>
      </c>
      <c r="G5" s="61">
        <f t="shared" ref="G5:G15" si="2">($B$36*B5)+$B$35</f>
        <v>579.90332163032053</v>
      </c>
      <c r="H5" s="61">
        <f t="shared" ref="H5:H15" si="3">E5*G5</f>
        <v>555.13572762843648</v>
      </c>
      <c r="I5" s="24"/>
      <c r="K5" s="24"/>
      <c r="L5" s="24"/>
    </row>
    <row r="6" spans="2:12" x14ac:dyDescent="0.2">
      <c r="B6" s="52">
        <v>3</v>
      </c>
      <c r="C6" s="52">
        <v>885</v>
      </c>
      <c r="D6" s="52">
        <f t="shared" si="0"/>
        <v>1038</v>
      </c>
      <c r="E6" s="62">
        <f>D6/$C$17</f>
        <v>1.5287187039764358</v>
      </c>
      <c r="F6" s="92">
        <f t="shared" si="1"/>
        <v>578.91618497109835</v>
      </c>
      <c r="G6" s="61">
        <f t="shared" si="2"/>
        <v>619.5419929781923</v>
      </c>
      <c r="H6" s="61">
        <f t="shared" si="3"/>
        <v>947.10543256460028</v>
      </c>
      <c r="I6" s="24"/>
      <c r="K6" s="24"/>
      <c r="L6" s="24"/>
    </row>
    <row r="7" spans="2:12" x14ac:dyDescent="0.2">
      <c r="B7" s="52">
        <v>4</v>
      </c>
      <c r="C7" s="52">
        <v>580</v>
      </c>
      <c r="D7" s="52">
        <f t="shared" si="0"/>
        <v>670</v>
      </c>
      <c r="E7" s="62">
        <f>D7/$C$17</f>
        <v>0.98674521354933731</v>
      </c>
      <c r="F7" s="92">
        <f t="shared" si="1"/>
        <v>587.79104477611941</v>
      </c>
      <c r="G7" s="61">
        <f t="shared" si="2"/>
        <v>659.18066432606406</v>
      </c>
      <c r="H7" s="61">
        <f t="shared" si="3"/>
        <v>650.4433653880161</v>
      </c>
      <c r="I7" s="24"/>
      <c r="K7" s="24"/>
      <c r="L7" s="24"/>
    </row>
    <row r="8" spans="2:12" x14ac:dyDescent="0.2">
      <c r="B8" s="52">
        <v>5</v>
      </c>
      <c r="C8" s="52">
        <v>416</v>
      </c>
      <c r="D8" s="52"/>
      <c r="E8" s="62">
        <v>0.52724594992636231</v>
      </c>
      <c r="F8" s="92">
        <f t="shared" si="1"/>
        <v>789.0055865921787</v>
      </c>
      <c r="G8" s="61">
        <f t="shared" si="2"/>
        <v>698.81933567393583</v>
      </c>
      <c r="H8" s="61">
        <f t="shared" si="3"/>
        <v>368.44966446431374</v>
      </c>
      <c r="I8" s="24"/>
      <c r="K8" s="24"/>
      <c r="L8" s="24"/>
    </row>
    <row r="9" spans="2:12" x14ac:dyDescent="0.2">
      <c r="B9" s="52">
        <v>6</v>
      </c>
      <c r="C9" s="52">
        <v>760</v>
      </c>
      <c r="D9" s="52"/>
      <c r="E9" s="62">
        <v>0.95729013254786455</v>
      </c>
      <c r="F9" s="92">
        <f t="shared" si="1"/>
        <v>793.90769230769229</v>
      </c>
      <c r="G9" s="61">
        <f t="shared" si="2"/>
        <v>738.45800702180759</v>
      </c>
      <c r="H9" s="61">
        <f t="shared" si="3"/>
        <v>706.91856342293806</v>
      </c>
      <c r="I9" s="24"/>
      <c r="K9" s="24"/>
      <c r="L9" s="24"/>
    </row>
    <row r="10" spans="2:12" x14ac:dyDescent="0.2">
      <c r="B10" s="52">
        <v>7</v>
      </c>
      <c r="C10" s="91">
        <v>1191</v>
      </c>
      <c r="D10" s="52"/>
      <c r="E10" s="62">
        <v>1.5287187039764358</v>
      </c>
      <c r="F10" s="92">
        <f t="shared" si="1"/>
        <v>779.08381502890177</v>
      </c>
      <c r="G10" s="61">
        <f t="shared" si="2"/>
        <v>778.09667836967924</v>
      </c>
      <c r="H10" s="61">
        <f t="shared" si="3"/>
        <v>1189.4909457256656</v>
      </c>
      <c r="I10" s="24"/>
      <c r="K10" s="24"/>
      <c r="L10" s="24"/>
    </row>
    <row r="11" spans="2:12" x14ac:dyDescent="0.2">
      <c r="B11" s="52">
        <v>8</v>
      </c>
      <c r="C11" s="91">
        <v>760</v>
      </c>
      <c r="D11" s="52"/>
      <c r="E11" s="62">
        <v>0.98674521354933731</v>
      </c>
      <c r="F11" s="92">
        <f t="shared" si="1"/>
        <v>770.20895522388059</v>
      </c>
      <c r="G11" s="61">
        <f t="shared" si="2"/>
        <v>817.73534971755112</v>
      </c>
      <c r="H11" s="61">
        <f t="shared" si="3"/>
        <v>806.89644228388704</v>
      </c>
      <c r="I11" s="24"/>
      <c r="K11" s="24"/>
      <c r="L11" s="24"/>
    </row>
    <row r="12" spans="2:12" x14ac:dyDescent="0.2">
      <c r="B12" s="1">
        <v>9</v>
      </c>
      <c r="E12" s="88">
        <v>0.52724594992636231</v>
      </c>
      <c r="G12" s="89">
        <f t="shared" si="2"/>
        <v>857.37402106542277</v>
      </c>
      <c r="H12" s="61">
        <f t="shared" si="3"/>
        <v>452.04698017882379</v>
      </c>
    </row>
    <row r="13" spans="2:12" x14ac:dyDescent="0.2">
      <c r="B13" s="1">
        <v>10</v>
      </c>
      <c r="D13" s="7"/>
      <c r="E13" s="88">
        <v>0.95729013254786455</v>
      </c>
      <c r="G13" s="89">
        <f t="shared" si="2"/>
        <v>897.01269241329464</v>
      </c>
      <c r="H13" s="61">
        <f t="shared" si="3"/>
        <v>858.70139921743964</v>
      </c>
    </row>
    <row r="14" spans="2:12" x14ac:dyDescent="0.2">
      <c r="B14" s="1">
        <v>11</v>
      </c>
      <c r="E14" s="88">
        <v>1.5287187039764358</v>
      </c>
      <c r="G14" s="89">
        <f t="shared" si="2"/>
        <v>936.65136376116629</v>
      </c>
      <c r="H14" s="61">
        <f t="shared" si="3"/>
        <v>1431.8764588867314</v>
      </c>
    </row>
    <row r="15" spans="2:12" x14ac:dyDescent="0.2">
      <c r="B15" s="1">
        <v>12</v>
      </c>
      <c r="E15" s="88">
        <v>0.98674521354933731</v>
      </c>
      <c r="G15" s="89">
        <f t="shared" si="2"/>
        <v>976.29003510903806</v>
      </c>
      <c r="H15" s="61">
        <f t="shared" si="3"/>
        <v>963.34951917975775</v>
      </c>
    </row>
    <row r="17" spans="1:6" x14ac:dyDescent="0.2">
      <c r="C17" s="7">
        <f>AVERAGE(C4:C11)</f>
        <v>679</v>
      </c>
    </row>
    <row r="19" spans="1:6" x14ac:dyDescent="0.2">
      <c r="A19" t="s">
        <v>2</v>
      </c>
    </row>
    <row r="20" spans="1:6" ht="17" thickBot="1" x14ac:dyDescent="0.25"/>
    <row r="21" spans="1:6" x14ac:dyDescent="0.2">
      <c r="A21" s="5" t="s">
        <v>3</v>
      </c>
      <c r="B21" s="5"/>
    </row>
    <row r="22" spans="1:6" x14ac:dyDescent="0.2">
      <c r="A22" t="s">
        <v>4</v>
      </c>
      <c r="B22">
        <v>0.86952512197244913</v>
      </c>
    </row>
    <row r="23" spans="1:6" x14ac:dyDescent="0.2">
      <c r="A23" t="s">
        <v>5</v>
      </c>
      <c r="B23">
        <v>0.75607393774120246</v>
      </c>
    </row>
    <row r="24" spans="1:6" x14ac:dyDescent="0.2">
      <c r="A24" t="s">
        <v>6</v>
      </c>
      <c r="B24">
        <v>0.71541959403140287</v>
      </c>
    </row>
    <row r="25" spans="1:6" x14ac:dyDescent="0.2">
      <c r="A25" t="s">
        <v>7</v>
      </c>
      <c r="B25">
        <v>59.568282348980318</v>
      </c>
    </row>
    <row r="26" spans="1:6" ht="17" thickBot="1" x14ac:dyDescent="0.25">
      <c r="A26" s="3" t="s">
        <v>8</v>
      </c>
      <c r="B26" s="3">
        <v>8</v>
      </c>
    </row>
    <row r="28" spans="1:6" ht="17" thickBot="1" x14ac:dyDescent="0.25">
      <c r="A28" t="s">
        <v>9</v>
      </c>
    </row>
    <row r="29" spans="1:6" x14ac:dyDescent="0.2">
      <c r="A29" s="4"/>
      <c r="B29" s="4" t="s">
        <v>14</v>
      </c>
      <c r="C29" s="4" t="s">
        <v>15</v>
      </c>
      <c r="D29" s="4" t="s">
        <v>16</v>
      </c>
      <c r="E29" s="4" t="s">
        <v>17</v>
      </c>
      <c r="F29" s="4" t="s">
        <v>18</v>
      </c>
    </row>
    <row r="30" spans="1:6" x14ac:dyDescent="0.2">
      <c r="A30" t="s">
        <v>10</v>
      </c>
      <c r="B30">
        <v>1</v>
      </c>
      <c r="C30">
        <v>65991.419181432735</v>
      </c>
      <c r="D30">
        <v>65991.419181432735</v>
      </c>
      <c r="E30">
        <v>18.597617591326497</v>
      </c>
      <c r="F30">
        <v>5.0237040552964119E-3</v>
      </c>
    </row>
    <row r="31" spans="1:6" x14ac:dyDescent="0.2">
      <c r="A31" t="s">
        <v>11</v>
      </c>
      <c r="B31">
        <v>6</v>
      </c>
      <c r="C31">
        <v>21290.281572047043</v>
      </c>
      <c r="D31">
        <v>3548.3802620078404</v>
      </c>
    </row>
    <row r="32" spans="1:6" ht="17" thickBot="1" x14ac:dyDescent="0.25">
      <c r="A32" s="3" t="s">
        <v>12</v>
      </c>
      <c r="B32" s="3">
        <v>7</v>
      </c>
      <c r="C32" s="3">
        <v>87281.700753479774</v>
      </c>
      <c r="D32" s="3"/>
      <c r="E32" s="3"/>
      <c r="F32" s="3"/>
    </row>
    <row r="33" spans="1:9" ht="17" thickBot="1" x14ac:dyDescent="0.25"/>
    <row r="34" spans="1:9" x14ac:dyDescent="0.2">
      <c r="A34" s="4"/>
      <c r="B34" s="4" t="s">
        <v>19</v>
      </c>
      <c r="C34" s="4" t="s">
        <v>7</v>
      </c>
      <c r="D34" s="4" t="s">
        <v>20</v>
      </c>
      <c r="E34" s="4" t="s">
        <v>21</v>
      </c>
      <c r="F34" s="4" t="s">
        <v>22</v>
      </c>
      <c r="G34" s="4" t="s">
        <v>23</v>
      </c>
      <c r="H34" s="4" t="s">
        <v>24</v>
      </c>
      <c r="I34" s="4" t="s">
        <v>25</v>
      </c>
    </row>
    <row r="35" spans="1:9" x14ac:dyDescent="0.2">
      <c r="A35" t="s">
        <v>13</v>
      </c>
      <c r="B35">
        <v>500.62597893457701</v>
      </c>
      <c r="C35">
        <v>46.415231664883031</v>
      </c>
      <c r="D35">
        <v>10.785812350331152</v>
      </c>
      <c r="E35">
        <v>3.7568075508168698E-5</v>
      </c>
      <c r="F35">
        <v>387.05199850013548</v>
      </c>
      <c r="G35">
        <v>614.19995936901853</v>
      </c>
      <c r="H35">
        <v>387.05199850013548</v>
      </c>
      <c r="I35">
        <v>614.19995936901853</v>
      </c>
    </row>
    <row r="36" spans="1:9" ht="17" thickBot="1" x14ac:dyDescent="0.25">
      <c r="A36" s="3" t="s">
        <v>193</v>
      </c>
      <c r="B36" s="3">
        <v>39.638671347871757</v>
      </c>
      <c r="C36" s="3">
        <v>9.1915855179354136</v>
      </c>
      <c r="D36" s="3">
        <v>4.3124955178326267</v>
      </c>
      <c r="E36" s="3">
        <v>5.0237040552964171E-3</v>
      </c>
      <c r="F36" s="3">
        <v>17.14767181322312</v>
      </c>
      <c r="G36" s="3">
        <v>62.129670882520394</v>
      </c>
      <c r="H36" s="3">
        <v>17.14767181322312</v>
      </c>
      <c r="I36" s="3">
        <v>62.129670882520394</v>
      </c>
    </row>
  </sheetData>
  <mergeCells count="1">
    <mergeCell ref="B2:H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C7816-3669-4448-9219-FD92F295F258}">
  <dimension ref="B1:AG50"/>
  <sheetViews>
    <sheetView workbookViewId="0">
      <selection activeCell="K18" sqref="K18"/>
    </sheetView>
  </sheetViews>
  <sheetFormatPr baseColWidth="10" defaultRowHeight="16" x14ac:dyDescent="0.2"/>
  <cols>
    <col min="1" max="1" width="7.83203125" customWidth="1"/>
    <col min="3" max="3" width="17.6640625" customWidth="1"/>
    <col min="6" max="6" width="12" bestFit="1" customWidth="1"/>
    <col min="7" max="7" width="11.6640625" bestFit="1" customWidth="1"/>
    <col min="9" max="9" width="4.83203125" customWidth="1"/>
    <col min="14" max="14" width="11.6640625" bestFit="1" customWidth="1"/>
    <col min="16" max="16" width="4.5" customWidth="1"/>
    <col min="18" max="18" width="12.5" customWidth="1"/>
    <col min="19" max="19" width="12.33203125" customWidth="1"/>
    <col min="20" max="20" width="20.5" customWidth="1"/>
    <col min="21" max="21" width="17.33203125" customWidth="1"/>
    <col min="22" max="22" width="13.83203125" customWidth="1"/>
    <col min="25" max="25" width="20.33203125" bestFit="1" customWidth="1"/>
    <col min="30" max="30" width="14.6640625" bestFit="1" customWidth="1"/>
    <col min="1999" max="1999" width="2.5" customWidth="1"/>
  </cols>
  <sheetData>
    <row r="1" spans="2:33" ht="17" thickBot="1" x14ac:dyDescent="0.25"/>
    <row r="2" spans="2:33" ht="17" thickBot="1" x14ac:dyDescent="0.25">
      <c r="J2" s="96" t="s">
        <v>84</v>
      </c>
      <c r="K2" s="97">
        <v>4</v>
      </c>
    </row>
    <row r="3" spans="2:33" x14ac:dyDescent="0.2">
      <c r="C3" s="107" t="s">
        <v>35</v>
      </c>
      <c r="D3" s="108">
        <v>0.2</v>
      </c>
    </row>
    <row r="4" spans="2:33" x14ac:dyDescent="0.2">
      <c r="C4" s="109" t="s">
        <v>170</v>
      </c>
      <c r="D4" s="110">
        <v>0.5</v>
      </c>
      <c r="J4" s="266" t="s">
        <v>82</v>
      </c>
      <c r="K4" s="267"/>
      <c r="L4" s="267"/>
      <c r="M4" s="267"/>
      <c r="N4" s="267"/>
      <c r="O4" s="268"/>
    </row>
    <row r="5" spans="2:33" ht="17" thickBot="1" x14ac:dyDescent="0.25">
      <c r="C5" s="111" t="s">
        <v>171</v>
      </c>
      <c r="D5" s="112">
        <v>0.7</v>
      </c>
      <c r="J5" s="13" t="s">
        <v>85</v>
      </c>
      <c r="K5" s="37" t="s">
        <v>79</v>
      </c>
      <c r="L5" s="37" t="s">
        <v>80</v>
      </c>
      <c r="M5" s="37" t="s">
        <v>83</v>
      </c>
      <c r="N5" s="37" t="s">
        <v>27</v>
      </c>
      <c r="O5" s="37" t="s">
        <v>81</v>
      </c>
    </row>
    <row r="6" spans="2:33" x14ac:dyDescent="0.2">
      <c r="J6" s="12">
        <v>-2</v>
      </c>
      <c r="K6" s="12"/>
      <c r="L6" s="12"/>
      <c r="M6" s="12">
        <v>1</v>
      </c>
      <c r="N6" s="12"/>
      <c r="O6" s="12"/>
    </row>
    <row r="7" spans="2:33" x14ac:dyDescent="0.2">
      <c r="E7" s="270" t="s">
        <v>78</v>
      </c>
      <c r="F7" s="270"/>
      <c r="G7" s="270"/>
      <c r="H7" s="270"/>
      <c r="J7" s="60">
        <v>-1</v>
      </c>
      <c r="K7" s="60"/>
      <c r="L7" s="60"/>
      <c r="M7" s="60">
        <v>1</v>
      </c>
      <c r="N7" s="60"/>
      <c r="O7" s="60"/>
      <c r="Q7" s="270" t="s">
        <v>195</v>
      </c>
      <c r="R7" s="270"/>
      <c r="S7" s="270"/>
      <c r="T7" s="270"/>
      <c r="U7" s="270"/>
      <c r="V7" s="270"/>
      <c r="W7" s="270"/>
    </row>
    <row r="8" spans="2:33" ht="34" x14ac:dyDescent="0.2">
      <c r="D8" s="39" t="s">
        <v>125</v>
      </c>
      <c r="E8" s="37" t="s">
        <v>79</v>
      </c>
      <c r="F8" s="37" t="s">
        <v>80</v>
      </c>
      <c r="G8" s="37" t="s">
        <v>27</v>
      </c>
      <c r="H8" s="37" t="s">
        <v>81</v>
      </c>
      <c r="J8" s="73">
        <v>0</v>
      </c>
      <c r="K8" s="73"/>
      <c r="L8" s="73"/>
      <c r="M8" s="73">
        <v>1</v>
      </c>
      <c r="N8" s="73"/>
      <c r="O8" s="73"/>
      <c r="Q8" s="50" t="s">
        <v>193</v>
      </c>
      <c r="R8" s="50" t="s">
        <v>186</v>
      </c>
      <c r="S8" s="50" t="s">
        <v>187</v>
      </c>
      <c r="T8" s="50" t="s">
        <v>189</v>
      </c>
      <c r="U8" s="50" t="s">
        <v>190</v>
      </c>
      <c r="V8" s="50" t="s">
        <v>191</v>
      </c>
      <c r="W8" s="50" t="s">
        <v>81</v>
      </c>
      <c r="Y8" s="24" t="s">
        <v>2</v>
      </c>
      <c r="Z8" s="24"/>
      <c r="AA8" s="24"/>
      <c r="AB8" s="24"/>
      <c r="AC8" s="24"/>
      <c r="AD8" s="24"/>
      <c r="AE8" s="24"/>
      <c r="AF8" s="24"/>
      <c r="AG8" s="24"/>
    </row>
    <row r="9" spans="2:33" ht="17" thickBot="1" x14ac:dyDescent="0.25">
      <c r="B9" s="94" t="s">
        <v>197</v>
      </c>
      <c r="C9" s="94" t="s">
        <v>198</v>
      </c>
      <c r="D9" s="93">
        <v>50</v>
      </c>
      <c r="E9" s="60">
        <v>50</v>
      </c>
      <c r="F9" s="60">
        <v>0</v>
      </c>
      <c r="G9" s="60" t="s">
        <v>32</v>
      </c>
      <c r="H9" s="60" t="s">
        <v>32</v>
      </c>
      <c r="J9" s="52">
        <v>1</v>
      </c>
      <c r="K9" s="60">
        <v>50</v>
      </c>
      <c r="L9" s="60">
        <v>0</v>
      </c>
      <c r="M9" s="60">
        <v>1</v>
      </c>
      <c r="N9" s="60" t="s">
        <v>32</v>
      </c>
      <c r="O9" s="60" t="s">
        <v>32</v>
      </c>
      <c r="Q9" s="100">
        <v>1</v>
      </c>
      <c r="R9" s="100">
        <f>(D9+D13+D17+D21+D25+D29+D33)/7</f>
        <v>90</v>
      </c>
      <c r="S9" s="101">
        <f>R9/$D$44</f>
        <v>0.86746987951807231</v>
      </c>
      <c r="T9" s="102">
        <f>D9/S9</f>
        <v>57.638888888888886</v>
      </c>
      <c r="U9" s="102">
        <f>FORECAST(Q9,$T$9:$T$36,$Q$9:$Q$36)</f>
        <v>86.577985045938576</v>
      </c>
      <c r="V9" s="102">
        <f>U9*S9</f>
        <v>75.103794256717805</v>
      </c>
      <c r="W9" s="60" t="s">
        <v>32</v>
      </c>
      <c r="Y9" s="24"/>
      <c r="Z9" s="24"/>
      <c r="AA9" s="24"/>
      <c r="AB9" s="24"/>
      <c r="AC9" s="24"/>
      <c r="AD9" s="24"/>
      <c r="AE9" s="24"/>
      <c r="AF9" s="24"/>
      <c r="AG9" s="24"/>
    </row>
    <row r="10" spans="2:33" x14ac:dyDescent="0.2">
      <c r="B10" s="94"/>
      <c r="C10" s="94" t="s">
        <v>200</v>
      </c>
      <c r="D10" s="93">
        <v>75</v>
      </c>
      <c r="E10" s="62">
        <f>($D$3*D10)+((1-$D$3)*(E9+F9))</f>
        <v>55</v>
      </c>
      <c r="F10" s="62">
        <f>($D$4*(E10-E9))+((1-$D$4)*F9)</f>
        <v>2.5</v>
      </c>
      <c r="G10" s="61">
        <f>E9+(1*F9)</f>
        <v>50</v>
      </c>
      <c r="H10" s="62">
        <f>ABS(D10-G10)</f>
        <v>25</v>
      </c>
      <c r="J10" s="52">
        <v>2</v>
      </c>
      <c r="K10" s="62">
        <f>($D$3*(D10/M6))+((1-$D$3)*(K9+L9))</f>
        <v>55</v>
      </c>
      <c r="L10" s="62">
        <f>($D$4*(K10-K9))+((1-$D$4)*L9)</f>
        <v>2.5</v>
      </c>
      <c r="M10" s="62">
        <f>($D$5*(D10/K10))+((1-$D$5)*M6)</f>
        <v>1.2545454545454544</v>
      </c>
      <c r="N10" s="61">
        <f>(K9+(1*L9))*M6</f>
        <v>50</v>
      </c>
      <c r="O10" s="62">
        <f>ABS(D10-N10)</f>
        <v>25</v>
      </c>
      <c r="Q10" s="60">
        <f>Q9+1</f>
        <v>2</v>
      </c>
      <c r="R10" s="60">
        <f t="shared" ref="R10:R12" si="0">(D10+D14+D18+D22+D26+D30+D34)/7</f>
        <v>115</v>
      </c>
      <c r="S10" s="62">
        <f t="shared" ref="S10:S12" si="1">R10/$D$44</f>
        <v>1.1084337349397591</v>
      </c>
      <c r="T10" s="61">
        <f t="shared" ref="T10:T36" si="2">D10/S10</f>
        <v>67.663043478260875</v>
      </c>
      <c r="U10" s="61">
        <f t="shared" ref="U10:U40" si="3">FORECAST(Q10,$T$9:$T$36,$Q$9:$Q$36)</f>
        <v>87.849986153646839</v>
      </c>
      <c r="V10" s="61">
        <f t="shared" ref="V10:V40" si="4">U10*S10</f>
        <v>97.375888266692883</v>
      </c>
      <c r="W10" s="62">
        <f>ABS(D10-V10)</f>
        <v>22.375888266692883</v>
      </c>
      <c r="Y10" s="103" t="s">
        <v>3</v>
      </c>
      <c r="Z10" s="103"/>
      <c r="AA10" s="24"/>
      <c r="AB10" s="24"/>
      <c r="AC10" s="24"/>
      <c r="AD10" s="24"/>
      <c r="AE10" s="24"/>
      <c r="AF10" s="24"/>
      <c r="AG10" s="24"/>
    </row>
    <row r="11" spans="2:33" x14ac:dyDescent="0.2">
      <c r="B11" s="94"/>
      <c r="C11" s="94" t="s">
        <v>201</v>
      </c>
      <c r="D11" s="93">
        <v>40</v>
      </c>
      <c r="E11" s="62">
        <f t="shared" ref="E11:E36" si="5">($D$3*D11)+((1-$D$3)*(E10+F10))</f>
        <v>54</v>
      </c>
      <c r="F11" s="62">
        <f t="shared" ref="F11:F36" si="6">($D$4*(E11-E10))+((1-$D$4)*F10)</f>
        <v>0.75</v>
      </c>
      <c r="G11" s="61">
        <f t="shared" ref="G11:G36" si="7">E10+(1*F10)</f>
        <v>57.5</v>
      </c>
      <c r="H11" s="62">
        <f t="shared" ref="H11:H36" si="8">ABS(D11-G11)</f>
        <v>17.5</v>
      </c>
      <c r="J11" s="60">
        <f>J10+1</f>
        <v>3</v>
      </c>
      <c r="K11" s="62">
        <f t="shared" ref="K11:K36" si="9">($D$3*(D11/M7))+((1-$D$3)*(K10+L10))</f>
        <v>54</v>
      </c>
      <c r="L11" s="62">
        <f t="shared" ref="L11:L36" si="10">($D$4*(K11-K10))+((1-$D$4)*L10)</f>
        <v>0.75</v>
      </c>
      <c r="M11" s="62">
        <f t="shared" ref="M11:M36" si="11">($D$5*(D11/K11))+((1-$D$5)*M7)</f>
        <v>0.81851851851851853</v>
      </c>
      <c r="N11" s="61">
        <f t="shared" ref="N11:N36" si="12">(K10+(1*L10))*M7</f>
        <v>57.5</v>
      </c>
      <c r="O11" s="62">
        <f t="shared" ref="O11:O36" si="13">ABS(D11-N11)</f>
        <v>17.5</v>
      </c>
      <c r="Q11" s="60">
        <f t="shared" ref="Q11:Q36" si="14">Q10+1</f>
        <v>3</v>
      </c>
      <c r="R11" s="60">
        <f t="shared" si="0"/>
        <v>80</v>
      </c>
      <c r="S11" s="62">
        <f t="shared" si="1"/>
        <v>0.77108433734939763</v>
      </c>
      <c r="T11" s="61">
        <f t="shared" si="2"/>
        <v>51.875</v>
      </c>
      <c r="U11" s="61">
        <f t="shared" si="3"/>
        <v>89.121987261355088</v>
      </c>
      <c r="V11" s="61">
        <f t="shared" si="4"/>
        <v>68.720568490683448</v>
      </c>
      <c r="W11" s="62">
        <f t="shared" ref="W11:W36" si="15">ABS(D11-V11)</f>
        <v>28.720568490683448</v>
      </c>
      <c r="Y11" s="26" t="s">
        <v>4</v>
      </c>
      <c r="Z11" s="26">
        <v>0.48644211770116813</v>
      </c>
      <c r="AA11" s="273" t="s">
        <v>210</v>
      </c>
      <c r="AB11" s="24"/>
      <c r="AC11" s="24"/>
      <c r="AD11" s="24"/>
      <c r="AE11" s="24"/>
      <c r="AF11" s="24"/>
      <c r="AG11" s="24"/>
    </row>
    <row r="12" spans="2:33" x14ac:dyDescent="0.2">
      <c r="B12" s="94"/>
      <c r="C12" s="94" t="s">
        <v>202</v>
      </c>
      <c r="D12" s="93">
        <v>90</v>
      </c>
      <c r="E12" s="62">
        <f t="shared" si="5"/>
        <v>61.800000000000004</v>
      </c>
      <c r="F12" s="62">
        <f t="shared" si="6"/>
        <v>4.2750000000000021</v>
      </c>
      <c r="G12" s="61">
        <f t="shared" si="7"/>
        <v>54.75</v>
      </c>
      <c r="H12" s="62">
        <f t="shared" si="8"/>
        <v>35.25</v>
      </c>
      <c r="J12" s="60">
        <f t="shared" ref="J12:J36" si="16">J11+1</f>
        <v>4</v>
      </c>
      <c r="K12" s="62">
        <f t="shared" si="9"/>
        <v>61.800000000000004</v>
      </c>
      <c r="L12" s="62">
        <f t="shared" si="10"/>
        <v>4.2750000000000021</v>
      </c>
      <c r="M12" s="62">
        <f t="shared" si="11"/>
        <v>1.3194174757281552</v>
      </c>
      <c r="N12" s="61">
        <f t="shared" si="12"/>
        <v>54.75</v>
      </c>
      <c r="O12" s="62">
        <f t="shared" si="13"/>
        <v>35.25</v>
      </c>
      <c r="Q12" s="60">
        <f t="shared" si="14"/>
        <v>4</v>
      </c>
      <c r="R12" s="60">
        <f t="shared" si="0"/>
        <v>130</v>
      </c>
      <c r="S12" s="62">
        <f t="shared" si="1"/>
        <v>1.2530120481927711</v>
      </c>
      <c r="T12" s="61">
        <f t="shared" si="2"/>
        <v>71.82692307692308</v>
      </c>
      <c r="U12" s="61">
        <f t="shared" si="3"/>
        <v>90.393988369063337</v>
      </c>
      <c r="V12" s="61">
        <f t="shared" si="4"/>
        <v>113.26475651063357</v>
      </c>
      <c r="W12" s="62">
        <f t="shared" si="15"/>
        <v>23.264756510633575</v>
      </c>
      <c r="Y12" s="26" t="s">
        <v>5</v>
      </c>
      <c r="Z12" s="26">
        <v>0.23662593387359712</v>
      </c>
      <c r="AA12" s="273"/>
      <c r="AB12" s="24"/>
      <c r="AC12" s="24"/>
      <c r="AD12" s="24"/>
      <c r="AE12" s="24"/>
      <c r="AF12" s="24"/>
      <c r="AG12" s="24"/>
    </row>
    <row r="13" spans="2:33" x14ac:dyDescent="0.2">
      <c r="B13" s="94" t="s">
        <v>203</v>
      </c>
      <c r="C13" s="94" t="s">
        <v>198</v>
      </c>
      <c r="D13" s="93">
        <v>80</v>
      </c>
      <c r="E13" s="62">
        <f t="shared" si="5"/>
        <v>68.860000000000014</v>
      </c>
      <c r="F13" s="62">
        <f t="shared" si="6"/>
        <v>5.6675000000000058</v>
      </c>
      <c r="G13" s="61">
        <f t="shared" si="7"/>
        <v>66.075000000000003</v>
      </c>
      <c r="H13" s="62">
        <f t="shared" si="8"/>
        <v>13.924999999999997</v>
      </c>
      <c r="J13" s="60">
        <f t="shared" si="16"/>
        <v>5</v>
      </c>
      <c r="K13" s="62">
        <f t="shared" si="9"/>
        <v>68.860000000000014</v>
      </c>
      <c r="L13" s="62">
        <f t="shared" si="10"/>
        <v>5.6675000000000058</v>
      </c>
      <c r="M13" s="62">
        <f t="shared" si="11"/>
        <v>1.1132442637234967</v>
      </c>
      <c r="N13" s="61">
        <f t="shared" si="12"/>
        <v>66.075000000000003</v>
      </c>
      <c r="O13" s="62">
        <f t="shared" si="13"/>
        <v>13.924999999999997</v>
      </c>
      <c r="Q13" s="60">
        <f t="shared" si="14"/>
        <v>5</v>
      </c>
      <c r="R13" s="65"/>
      <c r="S13" s="62">
        <v>0.86746987951807231</v>
      </c>
      <c r="T13" s="61">
        <f t="shared" si="2"/>
        <v>92.222222222222214</v>
      </c>
      <c r="U13" s="61">
        <f t="shared" si="3"/>
        <v>91.6659894767716</v>
      </c>
      <c r="V13" s="61">
        <f t="shared" si="4"/>
        <v>79.517484847319949</v>
      </c>
      <c r="W13" s="62">
        <f t="shared" si="15"/>
        <v>0.48251515268005107</v>
      </c>
      <c r="Y13" s="24" t="s">
        <v>6</v>
      </c>
      <c r="Z13" s="24">
        <v>0.20726539286873547</v>
      </c>
      <c r="AA13" s="24"/>
      <c r="AB13" s="24"/>
      <c r="AC13" s="24"/>
      <c r="AD13" s="24"/>
      <c r="AE13" s="24"/>
      <c r="AF13" s="24"/>
      <c r="AG13" s="24"/>
    </row>
    <row r="14" spans="2:33" x14ac:dyDescent="0.2">
      <c r="B14" s="94"/>
      <c r="C14" s="94" t="s">
        <v>200</v>
      </c>
      <c r="D14" s="93">
        <v>105</v>
      </c>
      <c r="E14" s="62">
        <f t="shared" si="5"/>
        <v>80.622000000000014</v>
      </c>
      <c r="F14" s="62">
        <f t="shared" si="6"/>
        <v>8.7147500000000022</v>
      </c>
      <c r="G14" s="61">
        <f t="shared" si="7"/>
        <v>74.527500000000018</v>
      </c>
      <c r="H14" s="62">
        <f t="shared" si="8"/>
        <v>30.472499999999982</v>
      </c>
      <c r="J14" s="60">
        <f t="shared" si="16"/>
        <v>6</v>
      </c>
      <c r="K14" s="62">
        <f t="shared" si="9"/>
        <v>76.361130434782623</v>
      </c>
      <c r="L14" s="62">
        <f t="shared" si="10"/>
        <v>6.5843152173913078</v>
      </c>
      <c r="M14" s="62">
        <f t="shared" si="11"/>
        <v>1.3388952225450874</v>
      </c>
      <c r="N14" s="61">
        <f t="shared" si="12"/>
        <v>93.498136363636377</v>
      </c>
      <c r="O14" s="62">
        <f t="shared" si="13"/>
        <v>11.501863636363623</v>
      </c>
      <c r="Q14" s="60">
        <f t="shared" si="14"/>
        <v>6</v>
      </c>
      <c r="R14" s="65"/>
      <c r="S14" s="62">
        <v>1.1084337349397591</v>
      </c>
      <c r="T14" s="61">
        <f t="shared" si="2"/>
        <v>94.728260869565219</v>
      </c>
      <c r="U14" s="61">
        <f t="shared" si="3"/>
        <v>92.937990584479849</v>
      </c>
      <c r="V14" s="61">
        <f t="shared" si="4"/>
        <v>103.01560402135117</v>
      </c>
      <c r="W14" s="62">
        <f t="shared" si="15"/>
        <v>1.9843959786488341</v>
      </c>
      <c r="Y14" s="24" t="s">
        <v>7</v>
      </c>
      <c r="Z14" s="24">
        <v>19.151712763070933</v>
      </c>
      <c r="AA14" s="24"/>
      <c r="AB14" s="24"/>
      <c r="AC14" s="24"/>
      <c r="AD14" s="24"/>
      <c r="AE14" s="24"/>
      <c r="AF14" s="24"/>
      <c r="AG14" s="24"/>
    </row>
    <row r="15" spans="2:33" ht="17" thickBot="1" x14ac:dyDescent="0.25">
      <c r="B15" s="94"/>
      <c r="C15" s="94" t="s">
        <v>201</v>
      </c>
      <c r="D15" s="93">
        <v>70</v>
      </c>
      <c r="E15" s="62">
        <f t="shared" si="5"/>
        <v>85.469400000000022</v>
      </c>
      <c r="F15" s="62">
        <f t="shared" si="6"/>
        <v>6.7810750000000048</v>
      </c>
      <c r="G15" s="61">
        <f t="shared" si="7"/>
        <v>89.336750000000023</v>
      </c>
      <c r="H15" s="62">
        <f t="shared" si="8"/>
        <v>19.336750000000023</v>
      </c>
      <c r="J15" s="60">
        <f t="shared" si="16"/>
        <v>7</v>
      </c>
      <c r="K15" s="62">
        <f t="shared" si="9"/>
        <v>83.460428919929186</v>
      </c>
      <c r="L15" s="62">
        <f t="shared" si="10"/>
        <v>6.8418068512689345</v>
      </c>
      <c r="M15" s="62">
        <f t="shared" si="11"/>
        <v>0.83266013474493339</v>
      </c>
      <c r="N15" s="61">
        <f t="shared" si="12"/>
        <v>67.892383293075696</v>
      </c>
      <c r="O15" s="62">
        <f t="shared" si="13"/>
        <v>2.1076167069243041</v>
      </c>
      <c r="Q15" s="60">
        <f t="shared" si="14"/>
        <v>7</v>
      </c>
      <c r="R15" s="65"/>
      <c r="S15" s="62">
        <v>0.77108433734939763</v>
      </c>
      <c r="T15" s="61">
        <f t="shared" si="2"/>
        <v>90.78125</v>
      </c>
      <c r="U15" s="61">
        <f t="shared" si="3"/>
        <v>94.209991692188098</v>
      </c>
      <c r="V15" s="61">
        <f t="shared" si="4"/>
        <v>72.643849015663122</v>
      </c>
      <c r="W15" s="62">
        <f t="shared" si="15"/>
        <v>2.6438490156631218</v>
      </c>
      <c r="Y15" s="104" t="s">
        <v>8</v>
      </c>
      <c r="Z15" s="104">
        <v>28</v>
      </c>
      <c r="AA15" s="24"/>
      <c r="AB15" s="24"/>
      <c r="AC15" s="24"/>
      <c r="AD15" s="24"/>
      <c r="AE15" s="24"/>
      <c r="AF15" s="24"/>
      <c r="AG15" s="24"/>
    </row>
    <row r="16" spans="2:33" x14ac:dyDescent="0.2">
      <c r="B16" s="94"/>
      <c r="C16" s="94" t="s">
        <v>202</v>
      </c>
      <c r="D16" s="93">
        <v>120</v>
      </c>
      <c r="E16" s="62">
        <f t="shared" si="5"/>
        <v>97.800380000000018</v>
      </c>
      <c r="F16" s="62">
        <f t="shared" si="6"/>
        <v>9.5560275000000008</v>
      </c>
      <c r="G16" s="61">
        <f t="shared" si="7"/>
        <v>92.250475000000023</v>
      </c>
      <c r="H16" s="62">
        <f t="shared" si="8"/>
        <v>27.749524999999977</v>
      </c>
      <c r="J16" s="60">
        <f t="shared" si="16"/>
        <v>8</v>
      </c>
      <c r="K16" s="62">
        <f t="shared" si="9"/>
        <v>90.431634091572192</v>
      </c>
      <c r="L16" s="62">
        <f t="shared" si="10"/>
        <v>6.9065060114559707</v>
      </c>
      <c r="M16" s="62">
        <f t="shared" si="11"/>
        <v>1.3247037357791887</v>
      </c>
      <c r="N16" s="61">
        <f t="shared" si="12"/>
        <v>119.14634797384295</v>
      </c>
      <c r="O16" s="62">
        <f t="shared" si="13"/>
        <v>0.85365202615705016</v>
      </c>
      <c r="Q16" s="60">
        <f t="shared" si="14"/>
        <v>8</v>
      </c>
      <c r="R16" s="65"/>
      <c r="S16" s="62">
        <v>1.2530120481927711</v>
      </c>
      <c r="T16" s="61">
        <f t="shared" si="2"/>
        <v>95.769230769230759</v>
      </c>
      <c r="U16" s="61">
        <f t="shared" si="3"/>
        <v>95.481992799896361</v>
      </c>
      <c r="V16" s="61">
        <f t="shared" si="4"/>
        <v>119.64008736372557</v>
      </c>
      <c r="W16" s="62">
        <f t="shared" si="15"/>
        <v>0.35991263627443004</v>
      </c>
      <c r="Y16" s="24"/>
      <c r="Z16" s="24"/>
      <c r="AA16" s="24"/>
      <c r="AB16" s="24"/>
      <c r="AC16" s="24"/>
      <c r="AD16" s="24"/>
      <c r="AE16" s="24"/>
      <c r="AF16" s="24"/>
      <c r="AG16" s="24"/>
    </row>
    <row r="17" spans="2:33" ht="17" thickBot="1" x14ac:dyDescent="0.25">
      <c r="B17" s="94" t="s">
        <v>205</v>
      </c>
      <c r="C17" s="94" t="s">
        <v>198</v>
      </c>
      <c r="D17" s="93">
        <v>100</v>
      </c>
      <c r="E17" s="62">
        <f t="shared" si="5"/>
        <v>105.88512600000001</v>
      </c>
      <c r="F17" s="62">
        <f t="shared" si="6"/>
        <v>8.8203867499999973</v>
      </c>
      <c r="G17" s="61">
        <f t="shared" si="7"/>
        <v>107.35640750000002</v>
      </c>
      <c r="H17" s="62">
        <f t="shared" si="8"/>
        <v>7.3564075000000173</v>
      </c>
      <c r="J17" s="60">
        <f t="shared" si="16"/>
        <v>9</v>
      </c>
      <c r="K17" s="62">
        <f t="shared" si="9"/>
        <v>95.836021226934534</v>
      </c>
      <c r="L17" s="62">
        <f t="shared" si="10"/>
        <v>6.1554465734091561</v>
      </c>
      <c r="M17" s="62">
        <f t="shared" si="11"/>
        <v>1.0643875753683905</v>
      </c>
      <c r="N17" s="61">
        <f t="shared" si="12"/>
        <v>108.36112611121015</v>
      </c>
      <c r="O17" s="62">
        <f t="shared" si="13"/>
        <v>8.3611261112101545</v>
      </c>
      <c r="Q17" s="60">
        <f t="shared" si="14"/>
        <v>9</v>
      </c>
      <c r="R17" s="65"/>
      <c r="S17" s="62">
        <v>0.86746987951807231</v>
      </c>
      <c r="T17" s="61">
        <f t="shared" si="2"/>
        <v>115.27777777777777</v>
      </c>
      <c r="U17" s="61">
        <f t="shared" si="3"/>
        <v>96.75399390760461</v>
      </c>
      <c r="V17" s="61">
        <f t="shared" si="4"/>
        <v>83.931175437922079</v>
      </c>
      <c r="W17" s="62">
        <f t="shared" si="15"/>
        <v>16.068824562077921</v>
      </c>
      <c r="Y17" s="24" t="s">
        <v>9</v>
      </c>
      <c r="Z17" s="24"/>
      <c r="AA17" s="24"/>
      <c r="AB17" s="24"/>
      <c r="AC17" s="24"/>
      <c r="AD17" s="24"/>
      <c r="AE17" s="24"/>
      <c r="AF17" s="24"/>
      <c r="AG17" s="24"/>
    </row>
    <row r="18" spans="2:33" x14ac:dyDescent="0.2">
      <c r="B18" s="94"/>
      <c r="C18" s="94" t="s">
        <v>200</v>
      </c>
      <c r="D18" s="93">
        <v>125</v>
      </c>
      <c r="E18" s="62">
        <f t="shared" si="5"/>
        <v>116.76441020000001</v>
      </c>
      <c r="F18" s="62">
        <f t="shared" si="6"/>
        <v>9.849835474999999</v>
      </c>
      <c r="G18" s="61">
        <f t="shared" si="7"/>
        <v>114.70551275000001</v>
      </c>
      <c r="H18" s="62">
        <f t="shared" si="8"/>
        <v>10.294487249999989</v>
      </c>
      <c r="J18" s="60">
        <f t="shared" si="16"/>
        <v>10</v>
      </c>
      <c r="K18" s="62">
        <f t="shared" si="9"/>
        <v>100.26528508138905</v>
      </c>
      <c r="L18" s="62">
        <f t="shared" si="10"/>
        <v>5.2923552139318373</v>
      </c>
      <c r="M18" s="62">
        <f t="shared" si="11"/>
        <v>1.2743534639238245</v>
      </c>
      <c r="N18" s="61">
        <f t="shared" si="12"/>
        <v>136.55588897824128</v>
      </c>
      <c r="O18" s="62">
        <f t="shared" si="13"/>
        <v>11.555888978241285</v>
      </c>
      <c r="Q18" s="60">
        <f t="shared" si="14"/>
        <v>10</v>
      </c>
      <c r="R18" s="65"/>
      <c r="S18" s="62">
        <v>1.1084337349397591</v>
      </c>
      <c r="T18" s="61">
        <f t="shared" si="2"/>
        <v>112.77173913043478</v>
      </c>
      <c r="U18" s="61">
        <f t="shared" si="3"/>
        <v>98.025995015312873</v>
      </c>
      <c r="V18" s="61">
        <f t="shared" si="4"/>
        <v>108.65531977600945</v>
      </c>
      <c r="W18" s="62">
        <f t="shared" si="15"/>
        <v>16.344680223990551</v>
      </c>
      <c r="Y18" s="105"/>
      <c r="Z18" s="105" t="s">
        <v>14</v>
      </c>
      <c r="AA18" s="105" t="s">
        <v>15</v>
      </c>
      <c r="AB18" s="105" t="s">
        <v>16</v>
      </c>
      <c r="AC18" s="105" t="s">
        <v>17</v>
      </c>
      <c r="AD18" s="105" t="s">
        <v>18</v>
      </c>
      <c r="AE18" s="24"/>
      <c r="AF18" s="24"/>
      <c r="AG18" s="24"/>
    </row>
    <row r="19" spans="2:33" x14ac:dyDescent="0.2">
      <c r="B19" s="94"/>
      <c r="C19" s="94" t="s">
        <v>201</v>
      </c>
      <c r="D19" s="93">
        <v>90</v>
      </c>
      <c r="E19" s="62">
        <f t="shared" si="5"/>
        <v>119.29139654000001</v>
      </c>
      <c r="F19" s="62">
        <f t="shared" si="6"/>
        <v>6.1884109074999962</v>
      </c>
      <c r="G19" s="61">
        <f t="shared" si="7"/>
        <v>126.61424567500001</v>
      </c>
      <c r="H19" s="62">
        <f t="shared" si="8"/>
        <v>36.614245675000006</v>
      </c>
      <c r="J19" s="60">
        <f t="shared" si="16"/>
        <v>11</v>
      </c>
      <c r="K19" s="62">
        <f t="shared" si="9"/>
        <v>106.06357565128367</v>
      </c>
      <c r="L19" s="62">
        <f t="shared" si="10"/>
        <v>5.5453228919132282</v>
      </c>
      <c r="M19" s="62">
        <f t="shared" si="11"/>
        <v>0.84378140948442604</v>
      </c>
      <c r="N19" s="61">
        <f t="shared" si="12"/>
        <v>87.893638991659103</v>
      </c>
      <c r="O19" s="62">
        <f t="shared" si="13"/>
        <v>2.1063610083408975</v>
      </c>
      <c r="Q19" s="60">
        <f t="shared" si="14"/>
        <v>11</v>
      </c>
      <c r="R19" s="65"/>
      <c r="S19" s="62">
        <v>0.77108433734939763</v>
      </c>
      <c r="T19" s="61">
        <f t="shared" si="2"/>
        <v>116.71875</v>
      </c>
      <c r="U19" s="61">
        <f t="shared" si="3"/>
        <v>99.297996123021122</v>
      </c>
      <c r="V19" s="61">
        <f t="shared" si="4"/>
        <v>76.567129540642796</v>
      </c>
      <c r="W19" s="62">
        <f t="shared" si="15"/>
        <v>13.432870459357204</v>
      </c>
      <c r="Y19" s="24" t="s">
        <v>10</v>
      </c>
      <c r="Z19" s="24">
        <v>1</v>
      </c>
      <c r="AA19" s="24">
        <v>2956.0619165061435</v>
      </c>
      <c r="AB19" s="24">
        <v>2956.0619165061435</v>
      </c>
      <c r="AC19" s="24">
        <v>8.059317906792506</v>
      </c>
      <c r="AD19" s="24">
        <v>8.6701786894369855E-3</v>
      </c>
      <c r="AE19" s="24"/>
      <c r="AF19" s="24"/>
      <c r="AG19" s="24"/>
    </row>
    <row r="20" spans="2:33" x14ac:dyDescent="0.2">
      <c r="B20" s="94"/>
      <c r="C20" s="94" t="s">
        <v>202</v>
      </c>
      <c r="D20" s="93">
        <v>140</v>
      </c>
      <c r="E20" s="62">
        <f t="shared" si="5"/>
        <v>128.38384595799999</v>
      </c>
      <c r="F20" s="62">
        <f t="shared" si="6"/>
        <v>7.6404301627499915</v>
      </c>
      <c r="G20" s="61">
        <f t="shared" si="7"/>
        <v>125.47980744750001</v>
      </c>
      <c r="H20" s="62">
        <f t="shared" si="8"/>
        <v>14.520192552499992</v>
      </c>
      <c r="J20" s="60">
        <f t="shared" si="16"/>
        <v>12</v>
      </c>
      <c r="K20" s="62">
        <f t="shared" si="9"/>
        <v>110.42392040289496</v>
      </c>
      <c r="L20" s="62">
        <f t="shared" si="10"/>
        <v>4.9528338217622609</v>
      </c>
      <c r="M20" s="62">
        <f t="shared" si="11"/>
        <v>1.2848999876607341</v>
      </c>
      <c r="N20" s="61">
        <f t="shared" si="12"/>
        <v>147.84872484637339</v>
      </c>
      <c r="O20" s="62">
        <f t="shared" si="13"/>
        <v>7.8487248463733863</v>
      </c>
      <c r="Q20" s="60">
        <f t="shared" si="14"/>
        <v>12</v>
      </c>
      <c r="R20" s="65"/>
      <c r="S20" s="62">
        <v>1.2530120481927711</v>
      </c>
      <c r="T20" s="61">
        <f t="shared" si="2"/>
        <v>111.73076923076923</v>
      </c>
      <c r="U20" s="61">
        <f t="shared" si="3"/>
        <v>100.56999723072937</v>
      </c>
      <c r="V20" s="61">
        <f t="shared" si="4"/>
        <v>126.01541821681752</v>
      </c>
      <c r="W20" s="62">
        <f t="shared" si="15"/>
        <v>13.984581783182477</v>
      </c>
      <c r="Y20" s="24" t="s">
        <v>11</v>
      </c>
      <c r="Z20" s="24">
        <v>26</v>
      </c>
      <c r="AA20" s="24">
        <v>9536.4906457385259</v>
      </c>
      <c r="AB20" s="24">
        <v>366.78810175917408</v>
      </c>
      <c r="AC20" s="24"/>
      <c r="AD20" s="24"/>
      <c r="AE20" s="24"/>
      <c r="AF20" s="24"/>
      <c r="AG20" s="24"/>
    </row>
    <row r="21" spans="2:33" ht="17" thickBot="1" x14ac:dyDescent="0.25">
      <c r="B21" s="94" t="s">
        <v>207</v>
      </c>
      <c r="C21" s="94" t="s">
        <v>198</v>
      </c>
      <c r="D21" s="93">
        <v>110</v>
      </c>
      <c r="E21" s="62">
        <f t="shared" si="5"/>
        <v>130.81942089659998</v>
      </c>
      <c r="F21" s="62">
        <f t="shared" si="6"/>
        <v>5.0380025506749879</v>
      </c>
      <c r="G21" s="61">
        <f t="shared" si="7"/>
        <v>136.02427612074999</v>
      </c>
      <c r="H21" s="62">
        <f t="shared" si="8"/>
        <v>26.024276120749988</v>
      </c>
      <c r="J21" s="60">
        <f t="shared" si="16"/>
        <v>13</v>
      </c>
      <c r="K21" s="62">
        <f t="shared" si="9"/>
        <v>112.97056610683266</v>
      </c>
      <c r="L21" s="62">
        <f t="shared" si="10"/>
        <v>3.74973976284998</v>
      </c>
      <c r="M21" s="62">
        <f t="shared" si="11"/>
        <v>1.0009097411887269</v>
      </c>
      <c r="N21" s="61">
        <f t="shared" si="12"/>
        <v>122.80558368305759</v>
      </c>
      <c r="O21" s="62">
        <f t="shared" si="13"/>
        <v>12.805583683057591</v>
      </c>
      <c r="Q21" s="60">
        <f t="shared" si="14"/>
        <v>13</v>
      </c>
      <c r="R21" s="65"/>
      <c r="S21" s="62">
        <v>0.86746987951807231</v>
      </c>
      <c r="T21" s="61">
        <f t="shared" si="2"/>
        <v>126.80555555555556</v>
      </c>
      <c r="U21" s="61">
        <f t="shared" si="3"/>
        <v>101.84199833843763</v>
      </c>
      <c r="V21" s="61">
        <f t="shared" si="4"/>
        <v>88.344866028524208</v>
      </c>
      <c r="W21" s="62">
        <f t="shared" si="15"/>
        <v>21.655133971475792</v>
      </c>
      <c r="Y21" s="104" t="s">
        <v>12</v>
      </c>
      <c r="Z21" s="104">
        <v>27</v>
      </c>
      <c r="AA21" s="104">
        <v>12492.552562244669</v>
      </c>
      <c r="AB21" s="104"/>
      <c r="AC21" s="104"/>
      <c r="AD21" s="104"/>
      <c r="AE21" s="24"/>
      <c r="AF21" s="24"/>
      <c r="AG21" s="24"/>
    </row>
    <row r="22" spans="2:33" ht="17" thickBot="1" x14ac:dyDescent="0.25">
      <c r="B22" s="94"/>
      <c r="C22" s="94" t="s">
        <v>200</v>
      </c>
      <c r="D22" s="93">
        <v>135</v>
      </c>
      <c r="E22" s="62">
        <f t="shared" si="5"/>
        <v>135.68593875781997</v>
      </c>
      <c r="F22" s="62">
        <f t="shared" si="6"/>
        <v>4.9522602059474892</v>
      </c>
      <c r="G22" s="61">
        <f t="shared" si="7"/>
        <v>135.85742344727495</v>
      </c>
      <c r="H22" s="62">
        <f t="shared" si="8"/>
        <v>0.85742344727495379</v>
      </c>
      <c r="J22" s="60">
        <f t="shared" si="16"/>
        <v>14</v>
      </c>
      <c r="K22" s="62">
        <f t="shared" si="9"/>
        <v>114.56345904745753</v>
      </c>
      <c r="L22" s="62">
        <f t="shared" si="10"/>
        <v>2.6713163517374223</v>
      </c>
      <c r="M22" s="62">
        <f t="shared" si="11"/>
        <v>1.2071763842743017</v>
      </c>
      <c r="N22" s="61">
        <f t="shared" si="12"/>
        <v>148.74292609527839</v>
      </c>
      <c r="O22" s="62">
        <f t="shared" si="13"/>
        <v>13.742926095278392</v>
      </c>
      <c r="Q22" s="60">
        <f t="shared" si="14"/>
        <v>14</v>
      </c>
      <c r="R22" s="65"/>
      <c r="S22" s="62">
        <v>1.1084337349397591</v>
      </c>
      <c r="T22" s="61">
        <f t="shared" si="2"/>
        <v>121.79347826086956</v>
      </c>
      <c r="U22" s="61">
        <f t="shared" si="3"/>
        <v>103.11399944614588</v>
      </c>
      <c r="V22" s="61">
        <f t="shared" si="4"/>
        <v>114.29503553066773</v>
      </c>
      <c r="W22" s="62">
        <f t="shared" si="15"/>
        <v>20.704964469332268</v>
      </c>
      <c r="Y22" s="24"/>
      <c r="Z22" s="24"/>
      <c r="AA22" s="24"/>
      <c r="AB22" s="24"/>
      <c r="AC22" s="24"/>
      <c r="AD22" s="24"/>
      <c r="AE22" s="24"/>
      <c r="AF22" s="24"/>
      <c r="AG22" s="24"/>
    </row>
    <row r="23" spans="2:33" x14ac:dyDescent="0.2">
      <c r="B23" s="94"/>
      <c r="C23" s="94" t="s">
        <v>201</v>
      </c>
      <c r="D23" s="93">
        <v>100</v>
      </c>
      <c r="E23" s="62">
        <f t="shared" si="5"/>
        <v>132.51055917101397</v>
      </c>
      <c r="F23" s="62">
        <f t="shared" si="6"/>
        <v>0.88844030957074338</v>
      </c>
      <c r="G23" s="61">
        <f t="shared" si="7"/>
        <v>140.63819896376745</v>
      </c>
      <c r="H23" s="62">
        <f t="shared" si="8"/>
        <v>40.638198963767451</v>
      </c>
      <c r="J23" s="60">
        <f t="shared" si="16"/>
        <v>15</v>
      </c>
      <c r="K23" s="62">
        <f t="shared" si="9"/>
        <v>117.49064166051416</v>
      </c>
      <c r="L23" s="62">
        <f t="shared" si="10"/>
        <v>2.799249482397026</v>
      </c>
      <c r="M23" s="62">
        <f t="shared" si="11"/>
        <v>0.84892655582442067</v>
      </c>
      <c r="N23" s="61">
        <f t="shared" si="12"/>
        <v>98.92052402692282</v>
      </c>
      <c r="O23" s="62">
        <f t="shared" si="13"/>
        <v>1.0794759730771801</v>
      </c>
      <c r="Q23" s="60">
        <f t="shared" si="14"/>
        <v>15</v>
      </c>
      <c r="R23" s="65"/>
      <c r="S23" s="62">
        <v>0.77108433734939763</v>
      </c>
      <c r="T23" s="61">
        <f t="shared" si="2"/>
        <v>129.6875</v>
      </c>
      <c r="U23" s="61">
        <f t="shared" si="3"/>
        <v>104.38600055385413</v>
      </c>
      <c r="V23" s="61">
        <f t="shared" si="4"/>
        <v>80.49041006562247</v>
      </c>
      <c r="W23" s="62">
        <f t="shared" si="15"/>
        <v>19.50958993437753</v>
      </c>
      <c r="Y23" s="105"/>
      <c r="Z23" s="105" t="s">
        <v>19</v>
      </c>
      <c r="AA23" s="105" t="s">
        <v>7</v>
      </c>
      <c r="AB23" s="105" t="s">
        <v>20</v>
      </c>
      <c r="AC23" s="105" t="s">
        <v>21</v>
      </c>
      <c r="AD23" s="105" t="s">
        <v>22</v>
      </c>
      <c r="AE23" s="105" t="s">
        <v>23</v>
      </c>
      <c r="AF23" s="105" t="s">
        <v>24</v>
      </c>
      <c r="AG23" s="105" t="s">
        <v>25</v>
      </c>
    </row>
    <row r="24" spans="2:33" x14ac:dyDescent="0.2">
      <c r="B24" s="94"/>
      <c r="C24" s="94" t="s">
        <v>202</v>
      </c>
      <c r="D24" s="93">
        <v>150</v>
      </c>
      <c r="E24" s="62">
        <f t="shared" si="5"/>
        <v>136.71919958446779</v>
      </c>
      <c r="F24" s="62">
        <f t="shared" si="6"/>
        <v>2.5485403615122824</v>
      </c>
      <c r="G24" s="61">
        <f t="shared" si="7"/>
        <v>133.39899948058471</v>
      </c>
      <c r="H24" s="62">
        <f t="shared" si="8"/>
        <v>16.601000519415294</v>
      </c>
      <c r="J24" s="60">
        <f t="shared" si="16"/>
        <v>16</v>
      </c>
      <c r="K24" s="62">
        <f t="shared" si="9"/>
        <v>119.58003361484937</v>
      </c>
      <c r="L24" s="62">
        <f t="shared" si="10"/>
        <v>2.4443207183661193</v>
      </c>
      <c r="M24" s="62">
        <f t="shared" si="11"/>
        <v>1.2635430058625958</v>
      </c>
      <c r="N24" s="61">
        <f t="shared" si="12"/>
        <v>154.56047964523762</v>
      </c>
      <c r="O24" s="62">
        <f t="shared" si="13"/>
        <v>4.5604796452376206</v>
      </c>
      <c r="Q24" s="60">
        <f t="shared" si="14"/>
        <v>16</v>
      </c>
      <c r="R24" s="65"/>
      <c r="S24" s="62">
        <v>1.2530120481927711</v>
      </c>
      <c r="T24" s="61">
        <f t="shared" si="2"/>
        <v>119.71153846153845</v>
      </c>
      <c r="U24" s="61">
        <f t="shared" si="3"/>
        <v>105.65800166156239</v>
      </c>
      <c r="V24" s="61">
        <f t="shared" si="4"/>
        <v>132.3907490699095</v>
      </c>
      <c r="W24" s="62">
        <f t="shared" si="15"/>
        <v>17.609250930090496</v>
      </c>
      <c r="Y24" s="24" t="s">
        <v>13</v>
      </c>
      <c r="Z24" s="24">
        <v>85.305983938230312</v>
      </c>
      <c r="AA24" s="24">
        <v>7.437023391918232</v>
      </c>
      <c r="AB24" s="24">
        <v>11.470447172578723</v>
      </c>
      <c r="AC24" s="24">
        <v>1.1320766806272562E-11</v>
      </c>
      <c r="AD24" s="24">
        <v>70.018963420266715</v>
      </c>
      <c r="AE24" s="24">
        <v>100.59300445619391</v>
      </c>
      <c r="AF24" s="24">
        <v>70.018963420266715</v>
      </c>
      <c r="AG24" s="24">
        <v>100.59300445619391</v>
      </c>
    </row>
    <row r="25" spans="2:33" ht="17" thickBot="1" x14ac:dyDescent="0.25">
      <c r="B25" s="94" t="s">
        <v>199</v>
      </c>
      <c r="C25" s="94" t="s">
        <v>198</v>
      </c>
      <c r="D25" s="93">
        <v>110</v>
      </c>
      <c r="E25" s="62">
        <f t="shared" si="5"/>
        <v>133.41419195678407</v>
      </c>
      <c r="F25" s="62">
        <f t="shared" si="6"/>
        <v>-0.37823363308571967</v>
      </c>
      <c r="G25" s="61">
        <f t="shared" si="7"/>
        <v>139.26773994598008</v>
      </c>
      <c r="H25" s="62">
        <f t="shared" si="8"/>
        <v>29.267739945980082</v>
      </c>
      <c r="J25" s="60">
        <f t="shared" si="16"/>
        <v>17</v>
      </c>
      <c r="K25" s="62">
        <f t="shared" si="9"/>
        <v>119.59948735170971</v>
      </c>
      <c r="L25" s="62">
        <f t="shared" si="10"/>
        <v>1.2318872276132307</v>
      </c>
      <c r="M25" s="62">
        <f t="shared" si="11"/>
        <v>0.94408839100962205</v>
      </c>
      <c r="N25" s="61">
        <f t="shared" si="12"/>
        <v>122.13536491438022</v>
      </c>
      <c r="O25" s="62">
        <f t="shared" si="13"/>
        <v>12.135364914380219</v>
      </c>
      <c r="Q25" s="60">
        <f t="shared" si="14"/>
        <v>17</v>
      </c>
      <c r="R25" s="65"/>
      <c r="S25" s="62">
        <v>0.86746987951807231</v>
      </c>
      <c r="T25" s="61">
        <f t="shared" si="2"/>
        <v>126.80555555555556</v>
      </c>
      <c r="U25" s="61">
        <f t="shared" si="3"/>
        <v>106.93000276927064</v>
      </c>
      <c r="V25" s="61">
        <f t="shared" si="4"/>
        <v>92.758556619126338</v>
      </c>
      <c r="W25" s="62">
        <f t="shared" si="15"/>
        <v>17.241443380873662</v>
      </c>
      <c r="Y25" s="104" t="s">
        <v>193</v>
      </c>
      <c r="Z25" s="104">
        <v>1.2720011077082543</v>
      </c>
      <c r="AA25" s="104">
        <v>0.44806224018301116</v>
      </c>
      <c r="AB25" s="104">
        <v>2.8388937822314708</v>
      </c>
      <c r="AC25" s="104">
        <v>8.670178689436989E-3</v>
      </c>
      <c r="AD25" s="104">
        <v>0.35099598266780113</v>
      </c>
      <c r="AE25" s="104">
        <v>2.1930062327487074</v>
      </c>
      <c r="AF25" s="104">
        <v>0.35099598266780113</v>
      </c>
      <c r="AG25" s="104">
        <v>2.1930062327487074</v>
      </c>
    </row>
    <row r="26" spans="2:33" x14ac:dyDescent="0.2">
      <c r="B26" s="94"/>
      <c r="C26" s="94" t="s">
        <v>200</v>
      </c>
      <c r="D26" s="93">
        <v>135</v>
      </c>
      <c r="E26" s="62">
        <f t="shared" si="5"/>
        <v>133.42876665895869</v>
      </c>
      <c r="F26" s="62">
        <f t="shared" si="6"/>
        <v>-0.18182946545554612</v>
      </c>
      <c r="G26" s="61">
        <f t="shared" si="7"/>
        <v>133.03595832369834</v>
      </c>
      <c r="H26" s="62">
        <f t="shared" si="8"/>
        <v>1.9640416763016617</v>
      </c>
      <c r="J26" s="60">
        <f t="shared" si="16"/>
        <v>18</v>
      </c>
      <c r="K26" s="62">
        <f t="shared" si="9"/>
        <v>119.0313423697644</v>
      </c>
      <c r="L26" s="62">
        <f t="shared" si="10"/>
        <v>0.3318711228339607</v>
      </c>
      <c r="M26" s="62">
        <f t="shared" si="11"/>
        <v>1.156061461709003</v>
      </c>
      <c r="N26" s="61">
        <f t="shared" si="12"/>
        <v>145.86478187156084</v>
      </c>
      <c r="O26" s="62">
        <f t="shared" si="13"/>
        <v>10.864781871560837</v>
      </c>
      <c r="Q26" s="60">
        <f t="shared" si="14"/>
        <v>18</v>
      </c>
      <c r="R26" s="65"/>
      <c r="S26" s="62">
        <v>1.1084337349397591</v>
      </c>
      <c r="T26" s="61">
        <f t="shared" si="2"/>
        <v>121.79347826086956</v>
      </c>
      <c r="U26" s="61">
        <f t="shared" si="3"/>
        <v>108.20200387697889</v>
      </c>
      <c r="V26" s="61">
        <f t="shared" si="4"/>
        <v>119.934751285326</v>
      </c>
      <c r="W26" s="62">
        <f t="shared" si="15"/>
        <v>15.065248714673999</v>
      </c>
    </row>
    <row r="27" spans="2:33" x14ac:dyDescent="0.2">
      <c r="B27" s="94"/>
      <c r="C27" s="94" t="s">
        <v>201</v>
      </c>
      <c r="D27" s="93">
        <v>100</v>
      </c>
      <c r="E27" s="62">
        <f t="shared" si="5"/>
        <v>126.59754975480253</v>
      </c>
      <c r="F27" s="62">
        <f t="shared" si="6"/>
        <v>-3.5065231848058556</v>
      </c>
      <c r="G27" s="61">
        <f t="shared" si="7"/>
        <v>133.24693719350316</v>
      </c>
      <c r="H27" s="62">
        <f t="shared" si="8"/>
        <v>33.246937193503157</v>
      </c>
      <c r="J27" s="60">
        <f t="shared" si="16"/>
        <v>19</v>
      </c>
      <c r="K27" s="62">
        <f t="shared" si="9"/>
        <v>119.04973484988719</v>
      </c>
      <c r="L27" s="62">
        <f t="shared" si="10"/>
        <v>0.17513180147837265</v>
      </c>
      <c r="M27" s="62">
        <f t="shared" si="11"/>
        <v>0.84266751656249173</v>
      </c>
      <c r="N27" s="61">
        <f t="shared" si="12"/>
        <v>101.33060172240654</v>
      </c>
      <c r="O27" s="62">
        <f t="shared" si="13"/>
        <v>1.3306017224065414</v>
      </c>
      <c r="Q27" s="60">
        <f t="shared" si="14"/>
        <v>19</v>
      </c>
      <c r="R27" s="65"/>
      <c r="S27" s="62">
        <v>0.77108433734939763</v>
      </c>
      <c r="T27" s="61">
        <f t="shared" si="2"/>
        <v>129.6875</v>
      </c>
      <c r="U27" s="61">
        <f t="shared" si="3"/>
        <v>109.47400498468716</v>
      </c>
      <c r="V27" s="61">
        <f t="shared" si="4"/>
        <v>84.413690590602144</v>
      </c>
      <c r="W27" s="62">
        <f t="shared" si="15"/>
        <v>15.586309409397856</v>
      </c>
    </row>
    <row r="28" spans="2:33" x14ac:dyDescent="0.2">
      <c r="B28" s="94"/>
      <c r="C28" s="94" t="s">
        <v>202</v>
      </c>
      <c r="D28" s="93">
        <v>150</v>
      </c>
      <c r="E28" s="62">
        <f t="shared" si="5"/>
        <v>128.47282125599736</v>
      </c>
      <c r="F28" s="62">
        <f t="shared" si="6"/>
        <v>-0.81562584180551223</v>
      </c>
      <c r="G28" s="61">
        <f t="shared" si="7"/>
        <v>123.09102656999667</v>
      </c>
      <c r="H28" s="62">
        <f t="shared" si="8"/>
        <v>26.908973430003329</v>
      </c>
      <c r="J28" s="60">
        <f t="shared" si="16"/>
        <v>20</v>
      </c>
      <c r="K28" s="62">
        <f t="shared" si="9"/>
        <v>119.12265463654099</v>
      </c>
      <c r="L28" s="62">
        <f t="shared" si="10"/>
        <v>0.12402579406608569</v>
      </c>
      <c r="M28" s="62">
        <f t="shared" si="11"/>
        <v>1.2605073282649619</v>
      </c>
      <c r="N28" s="61">
        <f t="shared" si="12"/>
        <v>150.6457463822336</v>
      </c>
      <c r="O28" s="62">
        <f t="shared" si="13"/>
        <v>0.64574638223359671</v>
      </c>
      <c r="Q28" s="60">
        <f t="shared" si="14"/>
        <v>20</v>
      </c>
      <c r="R28" s="65"/>
      <c r="S28" s="62">
        <v>1.2530120481927711</v>
      </c>
      <c r="T28" s="61">
        <f t="shared" si="2"/>
        <v>119.71153846153845</v>
      </c>
      <c r="U28" s="61">
        <f t="shared" si="3"/>
        <v>110.7460060923954</v>
      </c>
      <c r="V28" s="61">
        <f t="shared" si="4"/>
        <v>138.76607992300148</v>
      </c>
      <c r="W28" s="62">
        <f t="shared" si="15"/>
        <v>11.233920076998515</v>
      </c>
    </row>
    <row r="29" spans="2:33" x14ac:dyDescent="0.2">
      <c r="B29" s="94" t="s">
        <v>204</v>
      </c>
      <c r="C29" s="94" t="s">
        <v>198</v>
      </c>
      <c r="D29" s="93">
        <v>100</v>
      </c>
      <c r="E29" s="62">
        <f t="shared" si="5"/>
        <v>122.12575633135349</v>
      </c>
      <c r="F29" s="62">
        <f t="shared" si="6"/>
        <v>-3.5813453832246931</v>
      </c>
      <c r="G29" s="61">
        <f t="shared" si="7"/>
        <v>127.65719541419185</v>
      </c>
      <c r="H29" s="62">
        <f t="shared" si="8"/>
        <v>27.657195414191847</v>
      </c>
      <c r="J29" s="60">
        <f t="shared" si="16"/>
        <v>21</v>
      </c>
      <c r="K29" s="62">
        <f t="shared" si="9"/>
        <v>116.58180142547117</v>
      </c>
      <c r="L29" s="62">
        <f t="shared" si="10"/>
        <v>-1.2084137085018651</v>
      </c>
      <c r="M29" s="62">
        <f t="shared" si="11"/>
        <v>0.8836632848265884</v>
      </c>
      <c r="N29" s="61">
        <f t="shared" si="12"/>
        <v>112.57940666097042</v>
      </c>
      <c r="O29" s="62">
        <f t="shared" si="13"/>
        <v>12.57940666097042</v>
      </c>
      <c r="Q29" s="60">
        <f t="shared" si="14"/>
        <v>21</v>
      </c>
      <c r="R29" s="65"/>
      <c r="S29" s="62">
        <v>0.86746987951807231</v>
      </c>
      <c r="T29" s="61">
        <f t="shared" si="2"/>
        <v>115.27777777777777</v>
      </c>
      <c r="U29" s="61">
        <f t="shared" si="3"/>
        <v>112.01800720010365</v>
      </c>
      <c r="V29" s="61">
        <f t="shared" si="4"/>
        <v>97.172247209728468</v>
      </c>
      <c r="W29" s="62">
        <f t="shared" si="15"/>
        <v>2.827752790271532</v>
      </c>
    </row>
    <row r="30" spans="2:33" x14ac:dyDescent="0.2">
      <c r="B30" s="94"/>
      <c r="C30" s="94" t="s">
        <v>200</v>
      </c>
      <c r="D30" s="93">
        <v>125</v>
      </c>
      <c r="E30" s="62">
        <f t="shared" si="5"/>
        <v>119.83552875850305</v>
      </c>
      <c r="F30" s="62">
        <f t="shared" si="6"/>
        <v>-2.9357864780375671</v>
      </c>
      <c r="G30" s="61">
        <f t="shared" si="7"/>
        <v>118.5444109481288</v>
      </c>
      <c r="H30" s="62">
        <f t="shared" si="8"/>
        <v>6.4555890518712005</v>
      </c>
      <c r="J30" s="60">
        <f t="shared" si="16"/>
        <v>22</v>
      </c>
      <c r="K30" s="62">
        <f t="shared" si="9"/>
        <v>113.92385799490543</v>
      </c>
      <c r="L30" s="62">
        <f t="shared" si="10"/>
        <v>-1.9331785695338013</v>
      </c>
      <c r="M30" s="62">
        <f t="shared" si="11"/>
        <v>1.1148752928014041</v>
      </c>
      <c r="N30" s="61">
        <f t="shared" si="12"/>
        <v>133.37872724639908</v>
      </c>
      <c r="O30" s="62">
        <f t="shared" si="13"/>
        <v>8.3787272463990803</v>
      </c>
      <c r="Q30" s="60">
        <f t="shared" si="14"/>
        <v>22</v>
      </c>
      <c r="R30" s="65"/>
      <c r="S30" s="62">
        <v>1.1084337349397591</v>
      </c>
      <c r="T30" s="61">
        <f t="shared" si="2"/>
        <v>112.77173913043478</v>
      </c>
      <c r="U30" s="61">
        <f t="shared" si="3"/>
        <v>113.29000830781192</v>
      </c>
      <c r="V30" s="61">
        <f t="shared" si="4"/>
        <v>125.5744670399843</v>
      </c>
      <c r="W30" s="62">
        <f t="shared" si="15"/>
        <v>0.57446703998429882</v>
      </c>
    </row>
    <row r="31" spans="2:33" x14ac:dyDescent="0.2">
      <c r="B31" s="94"/>
      <c r="C31" s="94" t="s">
        <v>201</v>
      </c>
      <c r="D31" s="93">
        <v>90</v>
      </c>
      <c r="E31" s="62">
        <f t="shared" si="5"/>
        <v>111.51979382437239</v>
      </c>
      <c r="F31" s="62">
        <f t="shared" si="6"/>
        <v>-5.6257607060841135</v>
      </c>
      <c r="G31" s="61">
        <f t="shared" si="7"/>
        <v>116.89974228046547</v>
      </c>
      <c r="H31" s="62">
        <f t="shared" si="8"/>
        <v>26.899742280465475</v>
      </c>
      <c r="J31" s="60">
        <f t="shared" si="16"/>
        <v>23</v>
      </c>
      <c r="K31" s="62">
        <f t="shared" si="9"/>
        <v>110.95328148997848</v>
      </c>
      <c r="L31" s="62">
        <f t="shared" si="10"/>
        <v>-2.4518775372303772</v>
      </c>
      <c r="M31" s="62">
        <f t="shared" si="11"/>
        <v>0.82060680520304841</v>
      </c>
      <c r="N31" s="61">
        <f t="shared" si="12"/>
        <v>94.370907709524062</v>
      </c>
      <c r="O31" s="62">
        <f t="shared" si="13"/>
        <v>4.3709077095240616</v>
      </c>
      <c r="Q31" s="60">
        <f t="shared" si="14"/>
        <v>23</v>
      </c>
      <c r="R31" s="65"/>
      <c r="S31" s="62">
        <v>0.77108433734939763</v>
      </c>
      <c r="T31" s="61">
        <f t="shared" si="2"/>
        <v>116.71875</v>
      </c>
      <c r="U31" s="61">
        <f t="shared" si="3"/>
        <v>114.56200941552017</v>
      </c>
      <c r="V31" s="61">
        <f t="shared" si="4"/>
        <v>88.336971115581818</v>
      </c>
      <c r="W31" s="62">
        <f t="shared" si="15"/>
        <v>1.663028884418182</v>
      </c>
    </row>
    <row r="32" spans="2:33" x14ac:dyDescent="0.2">
      <c r="B32" s="94"/>
      <c r="C32" s="94" t="s">
        <v>202</v>
      </c>
      <c r="D32" s="93">
        <v>140</v>
      </c>
      <c r="E32" s="62">
        <f t="shared" si="5"/>
        <v>112.71522649463063</v>
      </c>
      <c r="F32" s="62">
        <f t="shared" si="6"/>
        <v>-2.2151640179129357</v>
      </c>
      <c r="G32" s="61">
        <f t="shared" si="7"/>
        <v>105.89403311828828</v>
      </c>
      <c r="H32" s="62">
        <f t="shared" si="8"/>
        <v>34.105966881711723</v>
      </c>
      <c r="J32" s="60">
        <f t="shared" si="16"/>
        <v>24</v>
      </c>
      <c r="K32" s="62">
        <f t="shared" si="9"/>
        <v>109.01440139719367</v>
      </c>
      <c r="L32" s="62">
        <f t="shared" si="10"/>
        <v>-2.1953788150075955</v>
      </c>
      <c r="M32" s="62">
        <f t="shared" si="11"/>
        <v>1.2771159935742054</v>
      </c>
      <c r="N32" s="61">
        <f t="shared" si="12"/>
        <v>136.7668148094759</v>
      </c>
      <c r="O32" s="62">
        <f t="shared" si="13"/>
        <v>3.2331851905240967</v>
      </c>
      <c r="Q32" s="60">
        <f t="shared" si="14"/>
        <v>24</v>
      </c>
      <c r="R32" s="65"/>
      <c r="S32" s="62">
        <v>1.2530120481927711</v>
      </c>
      <c r="T32" s="61">
        <f t="shared" si="2"/>
        <v>111.73076923076923</v>
      </c>
      <c r="U32" s="61">
        <f t="shared" si="3"/>
        <v>115.83401052322841</v>
      </c>
      <c r="V32" s="61">
        <f t="shared" si="4"/>
        <v>145.14141077609344</v>
      </c>
      <c r="W32" s="62">
        <f t="shared" si="15"/>
        <v>5.1414107760934371</v>
      </c>
    </row>
    <row r="33" spans="2:23" x14ac:dyDescent="0.2">
      <c r="B33" s="94" t="s">
        <v>206</v>
      </c>
      <c r="C33" s="94" t="s">
        <v>198</v>
      </c>
      <c r="D33" s="93">
        <v>80</v>
      </c>
      <c r="E33" s="62">
        <f t="shared" si="5"/>
        <v>104.40004998137415</v>
      </c>
      <c r="F33" s="62">
        <f t="shared" si="6"/>
        <v>-5.2651702655847057</v>
      </c>
      <c r="G33" s="61">
        <f t="shared" si="7"/>
        <v>110.50006247671769</v>
      </c>
      <c r="H33" s="62">
        <f t="shared" si="8"/>
        <v>30.500062476717687</v>
      </c>
      <c r="J33" s="60">
        <f t="shared" si="16"/>
        <v>25</v>
      </c>
      <c r="K33" s="62">
        <f t="shared" si="9"/>
        <v>103.56166231293727</v>
      </c>
      <c r="L33" s="62">
        <f t="shared" si="10"/>
        <v>-3.8240589496319943</v>
      </c>
      <c r="M33" s="62">
        <f t="shared" si="11"/>
        <v>0.80583962971054257</v>
      </c>
      <c r="N33" s="61">
        <f t="shared" si="12"/>
        <v>94.392048376940068</v>
      </c>
      <c r="O33" s="62">
        <f t="shared" si="13"/>
        <v>14.392048376940068</v>
      </c>
      <c r="Q33" s="60">
        <f t="shared" si="14"/>
        <v>25</v>
      </c>
      <c r="R33" s="65"/>
      <c r="S33" s="62">
        <v>0.86746987951807231</v>
      </c>
      <c r="T33" s="61">
        <f t="shared" si="2"/>
        <v>92.222222222222214</v>
      </c>
      <c r="U33" s="61">
        <f t="shared" si="3"/>
        <v>117.10601163093668</v>
      </c>
      <c r="V33" s="61">
        <f t="shared" si="4"/>
        <v>101.58593780033061</v>
      </c>
      <c r="W33" s="62">
        <f t="shared" si="15"/>
        <v>21.585937800330612</v>
      </c>
    </row>
    <row r="34" spans="2:23" x14ac:dyDescent="0.2">
      <c r="B34" s="94"/>
      <c r="C34" s="94" t="s">
        <v>200</v>
      </c>
      <c r="D34" s="93">
        <v>105</v>
      </c>
      <c r="E34" s="62">
        <f t="shared" si="5"/>
        <v>100.30790377263156</v>
      </c>
      <c r="F34" s="62">
        <f t="shared" si="6"/>
        <v>-4.6786582371636483</v>
      </c>
      <c r="G34" s="61">
        <f t="shared" si="7"/>
        <v>99.134879715789452</v>
      </c>
      <c r="H34" s="62">
        <f t="shared" si="8"/>
        <v>5.8651202842105477</v>
      </c>
      <c r="J34" s="60">
        <f t="shared" si="16"/>
        <v>26</v>
      </c>
      <c r="K34" s="62">
        <f t="shared" si="9"/>
        <v>98.626270141917118</v>
      </c>
      <c r="L34" s="62">
        <f t="shared" si="10"/>
        <v>-4.3797255603260741</v>
      </c>
      <c r="M34" s="62">
        <f t="shared" si="11"/>
        <v>1.079700138588696</v>
      </c>
      <c r="N34" s="61">
        <f t="shared" si="12"/>
        <v>111.19498975297527</v>
      </c>
      <c r="O34" s="62">
        <f t="shared" si="13"/>
        <v>6.1949897529752747</v>
      </c>
      <c r="Q34" s="60">
        <f t="shared" si="14"/>
        <v>26</v>
      </c>
      <c r="R34" s="65"/>
      <c r="S34" s="62">
        <v>1.1084337349397591</v>
      </c>
      <c r="T34" s="61">
        <f t="shared" si="2"/>
        <v>94.728260869565219</v>
      </c>
      <c r="U34" s="61">
        <f t="shared" si="3"/>
        <v>118.37801273864493</v>
      </c>
      <c r="V34" s="61">
        <f t="shared" si="4"/>
        <v>131.21418279464257</v>
      </c>
      <c r="W34" s="62">
        <f t="shared" si="15"/>
        <v>26.214182794642568</v>
      </c>
    </row>
    <row r="35" spans="2:23" x14ac:dyDescent="0.2">
      <c r="B35" s="94"/>
      <c r="C35" s="94" t="s">
        <v>201</v>
      </c>
      <c r="D35" s="93">
        <v>70</v>
      </c>
      <c r="E35" s="62">
        <f t="shared" si="5"/>
        <v>90.50339642837433</v>
      </c>
      <c r="F35" s="62">
        <f t="shared" si="6"/>
        <v>-7.2415827907104404</v>
      </c>
      <c r="G35" s="61">
        <f t="shared" si="7"/>
        <v>95.629245535467916</v>
      </c>
      <c r="H35" s="62">
        <f t="shared" si="8"/>
        <v>25.629245535467916</v>
      </c>
      <c r="J35" s="60">
        <f t="shared" si="16"/>
        <v>27</v>
      </c>
      <c r="K35" s="62">
        <f t="shared" si="9"/>
        <v>92.457781484821425</v>
      </c>
      <c r="L35" s="62">
        <f t="shared" si="10"/>
        <v>-5.2741071087108837</v>
      </c>
      <c r="M35" s="62">
        <f t="shared" si="11"/>
        <v>0.77615365901795053</v>
      </c>
      <c r="N35" s="61">
        <f t="shared" si="12"/>
        <v>77.33935585052609</v>
      </c>
      <c r="O35" s="62">
        <f t="shared" si="13"/>
        <v>7.3393558505260899</v>
      </c>
      <c r="Q35" s="60">
        <f t="shared" si="14"/>
        <v>27</v>
      </c>
      <c r="R35" s="65"/>
      <c r="S35" s="62">
        <v>0.77108433734939763</v>
      </c>
      <c r="T35" s="61">
        <f t="shared" si="2"/>
        <v>90.78125</v>
      </c>
      <c r="U35" s="61">
        <f t="shared" si="3"/>
        <v>119.65001384635318</v>
      </c>
      <c r="V35" s="61">
        <f t="shared" si="4"/>
        <v>92.260251640561492</v>
      </c>
      <c r="W35" s="62">
        <f t="shared" si="15"/>
        <v>22.260251640561492</v>
      </c>
    </row>
    <row r="36" spans="2:23" x14ac:dyDescent="0.2">
      <c r="B36" s="94"/>
      <c r="C36" s="94" t="s">
        <v>202</v>
      </c>
      <c r="D36" s="93">
        <v>120</v>
      </c>
      <c r="E36" s="62">
        <f t="shared" si="5"/>
        <v>90.609450910131116</v>
      </c>
      <c r="F36" s="62">
        <f t="shared" si="6"/>
        <v>-3.5677641544768273</v>
      </c>
      <c r="G36" s="61">
        <f t="shared" si="7"/>
        <v>83.261813637663892</v>
      </c>
      <c r="H36" s="62">
        <f t="shared" si="8"/>
        <v>36.738186362336108</v>
      </c>
      <c r="J36" s="60">
        <f t="shared" si="16"/>
        <v>28</v>
      </c>
      <c r="K36" s="62">
        <f t="shared" si="9"/>
        <v>88.539281089871537</v>
      </c>
      <c r="L36" s="62">
        <f t="shared" si="10"/>
        <v>-4.5963037518303853</v>
      </c>
      <c r="M36" s="62">
        <f t="shared" si="11"/>
        <v>1.3318662420822489</v>
      </c>
      <c r="N36" s="61">
        <f t="shared" si="12"/>
        <v>111.34366492429641</v>
      </c>
      <c r="O36" s="62">
        <f t="shared" si="13"/>
        <v>8.6563350757035948</v>
      </c>
      <c r="Q36" s="60">
        <f t="shared" si="14"/>
        <v>28</v>
      </c>
      <c r="R36" s="65"/>
      <c r="S36" s="62">
        <v>1.2530120481927711</v>
      </c>
      <c r="T36" s="61">
        <f t="shared" si="2"/>
        <v>95.769230769230759</v>
      </c>
      <c r="U36" s="61">
        <f t="shared" si="3"/>
        <v>120.92201495406144</v>
      </c>
      <c r="V36" s="61">
        <f t="shared" si="4"/>
        <v>151.51674162918542</v>
      </c>
      <c r="W36" s="62">
        <f t="shared" si="15"/>
        <v>31.516741629185418</v>
      </c>
    </row>
    <row r="37" spans="2:23" x14ac:dyDescent="0.2">
      <c r="B37" s="95" t="s">
        <v>208</v>
      </c>
      <c r="C37" s="95" t="s">
        <v>198</v>
      </c>
      <c r="D37" s="93"/>
      <c r="G37" s="63">
        <f>$E$36+(1*$F$36)</f>
        <v>87.041686755654283</v>
      </c>
      <c r="N37" s="63">
        <f>(K33+(4*L33))*M33</f>
        <v>71.127778618614698</v>
      </c>
      <c r="Q37" s="60">
        <v>29</v>
      </c>
      <c r="S37" s="62">
        <v>0.86746987951807231</v>
      </c>
      <c r="U37" s="61">
        <f t="shared" si="3"/>
        <v>122.19401606176969</v>
      </c>
      <c r="V37" s="63">
        <f t="shared" si="4"/>
        <v>105.99962839093274</v>
      </c>
    </row>
    <row r="38" spans="2:23" x14ac:dyDescent="0.2">
      <c r="B38" s="94"/>
      <c r="C38" s="95" t="s">
        <v>200</v>
      </c>
      <c r="D38" s="93"/>
      <c r="G38" s="63">
        <f>$E$36+(2*$F$36)</f>
        <v>83.473922601177463</v>
      </c>
      <c r="N38" s="63">
        <f>(K34+(4*L34))*M34</f>
        <v>87.571636362856012</v>
      </c>
      <c r="Q38" s="60">
        <v>30</v>
      </c>
      <c r="S38" s="62">
        <v>1.1084337349397591</v>
      </c>
      <c r="U38" s="61">
        <f t="shared" si="3"/>
        <v>123.46601716947794</v>
      </c>
      <c r="V38" s="63">
        <f t="shared" si="4"/>
        <v>136.85389854930085</v>
      </c>
    </row>
    <row r="39" spans="2:23" x14ac:dyDescent="0.2">
      <c r="B39" s="94"/>
      <c r="C39" s="95" t="s">
        <v>201</v>
      </c>
      <c r="D39" s="93"/>
      <c r="G39" s="63">
        <f>$E$36+(3*$F$36)</f>
        <v>79.90615844670063</v>
      </c>
      <c r="N39" s="63">
        <f>(K35+(4*L35))*M35</f>
        <v>55.387375282212126</v>
      </c>
      <c r="Q39" s="60">
        <v>31</v>
      </c>
      <c r="S39" s="62">
        <v>0.77108433734939763</v>
      </c>
      <c r="U39" s="61">
        <f t="shared" si="3"/>
        <v>124.7380182771862</v>
      </c>
      <c r="V39" s="63">
        <f t="shared" si="4"/>
        <v>96.183532165541166</v>
      </c>
    </row>
    <row r="40" spans="2:23" x14ac:dyDescent="0.2">
      <c r="B40" s="94"/>
      <c r="C40" s="95" t="s">
        <v>202</v>
      </c>
      <c r="D40" s="93"/>
      <c r="G40" s="63">
        <f>$E$36+(4*$F$36)</f>
        <v>76.338394292223811</v>
      </c>
      <c r="N40" s="63">
        <f>(K36+(4*L36))*M36</f>
        <v>93.435832360155629</v>
      </c>
      <c r="Q40" s="60">
        <v>32</v>
      </c>
      <c r="S40" s="62">
        <v>1.2530120481927711</v>
      </c>
      <c r="U40" s="61">
        <f t="shared" si="3"/>
        <v>126.01001938489445</v>
      </c>
      <c r="V40" s="63">
        <f t="shared" si="4"/>
        <v>157.8920724822774</v>
      </c>
    </row>
    <row r="42" spans="2:23" x14ac:dyDescent="0.2">
      <c r="H42" s="55">
        <f>SUM(H10:H36)</f>
        <v>607.37880756146842</v>
      </c>
      <c r="O42" s="55">
        <f>SUM(O10:O36)</f>
        <v>258.3201494644054</v>
      </c>
      <c r="W42" s="55">
        <f>SUM(W10:W36)</f>
        <v>390.05247732259215</v>
      </c>
    </row>
    <row r="44" spans="2:23" x14ac:dyDescent="0.2">
      <c r="C44" s="98" t="s">
        <v>209</v>
      </c>
      <c r="D44" s="63">
        <f>AVERAGE(D9:D36)</f>
        <v>103.75</v>
      </c>
    </row>
    <row r="46" spans="2:23" ht="17" thickBot="1" x14ac:dyDescent="0.25"/>
    <row r="47" spans="2:23" x14ac:dyDescent="0.2">
      <c r="C47" s="274" t="s">
        <v>211</v>
      </c>
      <c r="D47" s="275"/>
      <c r="E47" s="275"/>
      <c r="F47" s="275"/>
      <c r="G47" s="275"/>
      <c r="H47" s="276"/>
    </row>
    <row r="48" spans="2:23" x14ac:dyDescent="0.2">
      <c r="C48" s="277"/>
      <c r="D48" s="278"/>
      <c r="E48" s="278"/>
      <c r="F48" s="278"/>
      <c r="G48" s="278"/>
      <c r="H48" s="279"/>
    </row>
    <row r="49" spans="3:8" x14ac:dyDescent="0.2">
      <c r="C49" s="277"/>
      <c r="D49" s="278"/>
      <c r="E49" s="278"/>
      <c r="F49" s="278"/>
      <c r="G49" s="278"/>
      <c r="H49" s="279"/>
    </row>
    <row r="50" spans="3:8" ht="17" thickBot="1" x14ac:dyDescent="0.25">
      <c r="C50" s="280"/>
      <c r="D50" s="281"/>
      <c r="E50" s="281"/>
      <c r="F50" s="281"/>
      <c r="G50" s="281"/>
      <c r="H50" s="282"/>
    </row>
  </sheetData>
  <mergeCells count="5">
    <mergeCell ref="E7:H7"/>
    <mergeCell ref="J4:O4"/>
    <mergeCell ref="Q7:W7"/>
    <mergeCell ref="AA11:AA12"/>
    <mergeCell ref="C47:H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León</dc:creator>
  <cp:lastModifiedBy>Enrique León</cp:lastModifiedBy>
  <dcterms:created xsi:type="dcterms:W3CDTF">2024-03-20T00:02:10Z</dcterms:created>
  <dcterms:modified xsi:type="dcterms:W3CDTF">2024-05-06T19:38:22Z</dcterms:modified>
</cp:coreProperties>
</file>