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enrique/Desktop/"/>
    </mc:Choice>
  </mc:AlternateContent>
  <xr:revisionPtr revIDLastSave="0" documentId="8_{76F8774A-DB41-2842-B4C8-F1AF51C39DE7}" xr6:coauthVersionLast="47" xr6:coauthVersionMax="47" xr10:uidLastSave="{00000000-0000-0000-0000-000000000000}"/>
  <bookViews>
    <workbookView xWindow="1020" yWindow="760" windowWidth="32940" windowHeight="19460" tabRatio="1000" xr2:uid="{00000000-000D-0000-FFFF-FFFF00000000}"/>
  </bookViews>
  <sheets>
    <sheet name="2" sheetId="2" r:id="rId1"/>
    <sheet name="3" sheetId="3" r:id="rId2"/>
    <sheet name="4" sheetId="1" r:id="rId3"/>
    <sheet name="5" sheetId="4" r:id="rId4"/>
    <sheet name="6" sheetId="20" r:id="rId5"/>
    <sheet name="7" sheetId="45" r:id="rId6"/>
    <sheet name="8" sheetId="46" r:id="rId7"/>
    <sheet name="9" sheetId="47" r:id="rId8"/>
    <sheet name="10" sheetId="48" r:id="rId9"/>
    <sheet name="11." sheetId="40" r:id="rId10"/>
    <sheet name="12." sheetId="12" r:id="rId11"/>
    <sheet name="13." sheetId="8" r:id="rId12"/>
    <sheet name="14." sheetId="41" r:id="rId13"/>
    <sheet name="15." sheetId="42" r:id="rId14"/>
    <sheet name="16." sheetId="49" r:id="rId15"/>
    <sheet name="17." sheetId="50" r:id="rId16"/>
    <sheet name="18." sheetId="14" r:id="rId17"/>
    <sheet name="19." sheetId="15" r:id="rId18"/>
    <sheet name="20." sheetId="16" r:id="rId19"/>
    <sheet name="21." sheetId="17" r:id="rId20"/>
    <sheet name="22." sheetId="18" r:id="rId21"/>
    <sheet name="23." sheetId="19" r:id="rId22"/>
    <sheet name="24." sheetId="44" r:id="rId23"/>
    <sheet name="25" sheetId="21" r:id="rId24"/>
    <sheet name="26" sheetId="22" r:id="rId25"/>
    <sheet name="27" sheetId="23" r:id="rId26"/>
    <sheet name="28" sheetId="24" r:id="rId27"/>
    <sheet name="29" sheetId="51" r:id="rId28"/>
    <sheet name="30" sheetId="53" r:id="rId29"/>
  </sheets>
  <externalReferences>
    <externalReference r:id="rId30"/>
  </externalReferences>
  <definedNames>
    <definedName name="MinimizeCosts">FALSE</definedName>
    <definedName name="TreeDiagBase" localSheetId="8">'[1]Pregunta 1'!#REF!</definedName>
    <definedName name="TreeDiagBase" localSheetId="19">'[1]Pregunta 1'!#REF!</definedName>
    <definedName name="TreeDiagBase" localSheetId="22">'[1]Pregunta 1'!#REF!</definedName>
    <definedName name="TreeDiagBase" localSheetId="23">'[1]Pregunta 1'!#REF!</definedName>
    <definedName name="TreeDiagBase" localSheetId="24">'[1]Pregunta 1'!#REF!</definedName>
    <definedName name="TreeDiagBase" localSheetId="25">'[1]Pregunta 1'!#REF!</definedName>
    <definedName name="TreeDiagBase" localSheetId="26">'[1]Pregunta 1'!#REF!</definedName>
    <definedName name="TreeDiagBase" localSheetId="7">'[1]Pregunta 1'!#REF!</definedName>
    <definedName name="TreeDiagBase">'[1]Pregunta 1'!#REF!</definedName>
    <definedName name="TreeDiagram" localSheetId="8">'[1]Pregunta 1'!#REF!</definedName>
    <definedName name="TreeDiagram" localSheetId="19">'[1]Pregunta 1'!#REF!</definedName>
    <definedName name="TreeDiagram" localSheetId="22">'[1]Pregunta 1'!#REF!</definedName>
    <definedName name="TreeDiagram" localSheetId="23">'[1]Pregunta 1'!#REF!</definedName>
    <definedName name="TreeDiagram" localSheetId="24">'[1]Pregunta 1'!#REF!</definedName>
    <definedName name="TreeDiagram" localSheetId="25">'[1]Pregunta 1'!#REF!</definedName>
    <definedName name="TreeDiagram" localSheetId="26">'[1]Pregunta 1'!#REF!</definedName>
    <definedName name="TreeDiagram" localSheetId="7">'[1]Pregunta 1'!#REF!</definedName>
    <definedName name="TreeDiagram">'[1]Pregunta 1'!#REF!</definedName>
    <definedName name="UseExpUtility">FALSE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7" i="53" l="1"/>
  <c r="H16" i="53"/>
  <c r="H15" i="53"/>
  <c r="H14" i="53"/>
  <c r="H13" i="53"/>
  <c r="H12" i="53"/>
  <c r="C14" i="51"/>
  <c r="O12" i="51"/>
  <c r="D15" i="51" s="1"/>
  <c r="D16" i="51" s="1"/>
  <c r="C12" i="51"/>
  <c r="C11" i="51"/>
  <c r="B6" i="50"/>
  <c r="B7" i="50" s="1"/>
  <c r="B8" i="50" s="1"/>
  <c r="B9" i="50" s="1"/>
  <c r="B10" i="50" s="1"/>
  <c r="B11" i="50" s="1"/>
  <c r="B12" i="50" s="1"/>
  <c r="B13" i="50" s="1"/>
  <c r="B14" i="50" s="1"/>
  <c r="B15" i="50" s="1"/>
  <c r="B16" i="50" s="1"/>
  <c r="B5" i="50"/>
  <c r="H36" i="49"/>
  <c r="F36" i="49"/>
  <c r="C36" i="49"/>
  <c r="J36" i="49" s="1"/>
  <c r="D27" i="48"/>
  <c r="D26" i="48"/>
  <c r="I25" i="48"/>
  <c r="D25" i="48"/>
  <c r="E25" i="48" s="1"/>
  <c r="J21" i="48"/>
  <c r="L22" i="48" s="1"/>
  <c r="C18" i="48"/>
  <c r="E13" i="48"/>
  <c r="D13" i="48"/>
  <c r="C13" i="48"/>
  <c r="F13" i="48" s="1"/>
  <c r="F12" i="48"/>
  <c r="E12" i="48"/>
  <c r="D12" i="48"/>
  <c r="C12" i="48"/>
  <c r="F11" i="48"/>
  <c r="E11" i="48"/>
  <c r="D11" i="48"/>
  <c r="C11" i="48"/>
  <c r="F7" i="48"/>
  <c r="H6" i="48"/>
  <c r="F6" i="48"/>
  <c r="C17" i="48" s="1"/>
  <c r="F5" i="48"/>
  <c r="C16" i="48" s="1"/>
  <c r="T30" i="47"/>
  <c r="S30" i="47"/>
  <c r="R30" i="47"/>
  <c r="O30" i="47"/>
  <c r="N30" i="47"/>
  <c r="M30" i="47"/>
  <c r="J30" i="47"/>
  <c r="I30" i="47"/>
  <c r="H30" i="47"/>
  <c r="T28" i="47"/>
  <c r="S28" i="47"/>
  <c r="R28" i="47"/>
  <c r="O28" i="47"/>
  <c r="N28" i="47"/>
  <c r="M28" i="47"/>
  <c r="J28" i="47"/>
  <c r="I28" i="47"/>
  <c r="H28" i="47"/>
  <c r="R20" i="47"/>
  <c r="S20" i="47" s="1"/>
  <c r="M20" i="47"/>
  <c r="N20" i="47" s="1"/>
  <c r="I20" i="47"/>
  <c r="J27" i="47" s="1"/>
  <c r="H20" i="47"/>
  <c r="R19" i="47"/>
  <c r="S19" i="47" s="1"/>
  <c r="M19" i="47"/>
  <c r="N19" i="47" s="1"/>
  <c r="H19" i="47"/>
  <c r="I19" i="47" s="1"/>
  <c r="R18" i="47"/>
  <c r="S18" i="47" s="1"/>
  <c r="M18" i="47"/>
  <c r="N18" i="47" s="1"/>
  <c r="I18" i="47"/>
  <c r="H25" i="47" s="1"/>
  <c r="H18" i="47"/>
  <c r="E13" i="47"/>
  <c r="D13" i="47"/>
  <c r="C13" i="47"/>
  <c r="E12" i="47"/>
  <c r="D12" i="47"/>
  <c r="C12" i="47"/>
  <c r="E11" i="47"/>
  <c r="D11" i="47"/>
  <c r="C11" i="47"/>
  <c r="F7" i="47"/>
  <c r="C18" i="47" s="1"/>
  <c r="C42" i="47" s="1"/>
  <c r="F6" i="47"/>
  <c r="C17" i="47" s="1"/>
  <c r="C41" i="47" s="1"/>
  <c r="F5" i="47"/>
  <c r="C16" i="47" s="1"/>
  <c r="C40" i="47" s="1"/>
  <c r="C13" i="51" l="1"/>
  <c r="I26" i="48"/>
  <c r="I15" i="48"/>
  <c r="I14" i="48"/>
  <c r="I13" i="48"/>
  <c r="I16" i="48" s="1"/>
  <c r="L17" i="48" s="1"/>
  <c r="M20" i="48"/>
  <c r="S23" i="47"/>
  <c r="S26" i="47"/>
  <c r="S24" i="47"/>
  <c r="S25" i="47"/>
  <c r="S27" i="47"/>
  <c r="O24" i="47"/>
  <c r="O27" i="47"/>
  <c r="O23" i="47"/>
  <c r="O25" i="47"/>
  <c r="O26" i="47"/>
  <c r="T25" i="47"/>
  <c r="T26" i="47"/>
  <c r="T24" i="47"/>
  <c r="T27" i="47"/>
  <c r="T23" i="47"/>
  <c r="N24" i="47"/>
  <c r="N27" i="47"/>
  <c r="N23" i="47"/>
  <c r="N25" i="47"/>
  <c r="N26" i="47"/>
  <c r="R27" i="47"/>
  <c r="R23" i="47"/>
  <c r="R24" i="47"/>
  <c r="R25" i="47"/>
  <c r="R26" i="47"/>
  <c r="M26" i="47"/>
  <c r="M27" i="47"/>
  <c r="M25" i="47"/>
  <c r="M23" i="47"/>
  <c r="M24" i="47"/>
  <c r="I27" i="47"/>
  <c r="I23" i="47"/>
  <c r="I24" i="47"/>
  <c r="I25" i="47"/>
  <c r="I26" i="47"/>
  <c r="H24" i="47"/>
  <c r="J26" i="47"/>
  <c r="J25" i="47"/>
  <c r="J24" i="47"/>
  <c r="H23" i="47"/>
  <c r="H27" i="47"/>
  <c r="J23" i="47"/>
  <c r="J29" i="47" s="1"/>
  <c r="H26" i="47"/>
  <c r="L30" i="48" l="1"/>
  <c r="L27" i="48"/>
  <c r="H29" i="47"/>
  <c r="T29" i="47"/>
  <c r="T31" i="47" s="1"/>
  <c r="H37" i="47"/>
  <c r="J31" i="47"/>
  <c r="O29" i="47"/>
  <c r="O31" i="47" s="1"/>
  <c r="R29" i="47"/>
  <c r="R31" i="47" s="1"/>
  <c r="M29" i="47"/>
  <c r="M31" i="47" s="1"/>
  <c r="N29" i="47"/>
  <c r="N31" i="47" s="1"/>
  <c r="I29" i="47"/>
  <c r="S29" i="47"/>
  <c r="S31" i="47" s="1"/>
  <c r="H36" i="47" l="1"/>
  <c r="I31" i="47"/>
  <c r="H42" i="47" s="1"/>
  <c r="H43" i="47"/>
  <c r="H31" i="47"/>
  <c r="H41" i="47" s="1"/>
  <c r="H35" i="47"/>
  <c r="H44" i="47" l="1"/>
  <c r="P34" i="46"/>
  <c r="S27" i="46"/>
  <c r="P28" i="46" s="1"/>
  <c r="D26" i="46"/>
  <c r="J21" i="46"/>
  <c r="R17" i="46"/>
  <c r="Q17" i="46"/>
  <c r="P17" i="46"/>
  <c r="S17" i="46" s="1"/>
  <c r="L17" i="46"/>
  <c r="K17" i="46"/>
  <c r="J17" i="46"/>
  <c r="M17" i="46" s="1"/>
  <c r="M16" i="46"/>
  <c r="L16" i="46"/>
  <c r="K16" i="46"/>
  <c r="J16" i="46"/>
  <c r="R15" i="46"/>
  <c r="Q15" i="46"/>
  <c r="P15" i="46"/>
  <c r="S15" i="46" s="1"/>
  <c r="L15" i="46"/>
  <c r="K15" i="46"/>
  <c r="J15" i="46"/>
  <c r="M15" i="46" s="1"/>
  <c r="M11" i="46"/>
  <c r="J22" i="46" s="1"/>
  <c r="S10" i="46"/>
  <c r="P33" i="46" s="1"/>
  <c r="M10" i="46"/>
  <c r="M9" i="46"/>
  <c r="D29" i="46" s="1"/>
  <c r="D38" i="46" s="1"/>
  <c r="S8" i="46"/>
  <c r="D30" i="46" s="1"/>
  <c r="D39" i="46" s="1"/>
  <c r="P35" i="46" l="1"/>
  <c r="Q33" i="46" s="1"/>
  <c r="Q34" i="46"/>
  <c r="P21" i="46"/>
  <c r="R28" i="46"/>
  <c r="Q28" i="46"/>
  <c r="P30" i="46" s="1"/>
  <c r="J20" i="46"/>
  <c r="J24" i="46" s="1"/>
  <c r="P20" i="46"/>
  <c r="P23" i="46" s="1"/>
  <c r="P37" i="46" s="1"/>
  <c r="E35" i="46" s="1"/>
  <c r="E34" i="46" s="1"/>
  <c r="E36" i="46" s="1"/>
  <c r="T32" i="45" l="1"/>
  <c r="T30" i="45"/>
  <c r="T28" i="45"/>
  <c r="T33" i="45" s="1"/>
  <c r="F21" i="45" s="1"/>
  <c r="F23" i="45" s="1"/>
  <c r="F26" i="45"/>
  <c r="C26" i="45"/>
  <c r="T24" i="45"/>
  <c r="F24" i="45"/>
  <c r="F25" i="45" s="1"/>
  <c r="C24" i="45"/>
  <c r="T22" i="45"/>
  <c r="F22" i="45"/>
  <c r="C22" i="45"/>
  <c r="T20" i="45"/>
  <c r="T25" i="45" s="1"/>
  <c r="C13" i="45" s="1"/>
  <c r="C15" i="45" s="1"/>
  <c r="F18" i="45"/>
  <c r="C18" i="45"/>
  <c r="T16" i="45"/>
  <c r="C16" i="45"/>
  <c r="T14" i="45"/>
  <c r="F14" i="45"/>
  <c r="C14" i="45"/>
  <c r="T12" i="45"/>
  <c r="T17" i="45" s="1"/>
  <c r="F13" i="45" s="1"/>
  <c r="F15" i="45" s="1"/>
  <c r="T8" i="45"/>
  <c r="T6" i="45"/>
  <c r="T4" i="45"/>
  <c r="T9" i="45" s="1"/>
  <c r="C21" i="45" s="1"/>
  <c r="C23" i="45" s="1"/>
  <c r="C25" i="45" l="1"/>
  <c r="C17" i="45"/>
  <c r="F16" i="45"/>
  <c r="F17" i="45" s="1"/>
  <c r="E64" i="44" l="1"/>
  <c r="E63" i="44"/>
  <c r="E62" i="44"/>
  <c r="E61" i="44"/>
  <c r="E60" i="44"/>
  <c r="E59" i="44"/>
  <c r="E55" i="44"/>
  <c r="E54" i="44"/>
  <c r="E53" i="44"/>
  <c r="E52" i="44"/>
  <c r="E51" i="44"/>
  <c r="E50" i="44"/>
  <c r="E46" i="44"/>
  <c r="E45" i="44"/>
  <c r="E44" i="44"/>
  <c r="E43" i="44"/>
  <c r="E42" i="44"/>
  <c r="E41" i="44"/>
  <c r="E37" i="44"/>
  <c r="E36" i="44"/>
  <c r="E35" i="44"/>
  <c r="E34" i="44"/>
  <c r="E33" i="44"/>
  <c r="E32" i="44"/>
  <c r="E28" i="44"/>
  <c r="E27" i="44"/>
  <c r="E26" i="44"/>
  <c r="H25" i="44"/>
  <c r="E25" i="44"/>
  <c r="H24" i="44"/>
  <c r="E24" i="44"/>
  <c r="H23" i="44"/>
  <c r="E23" i="44"/>
  <c r="C10" i="44"/>
  <c r="D6" i="44"/>
  <c r="B5" i="44" s="1"/>
  <c r="C5" i="44" s="1"/>
  <c r="C6" i="44" s="1"/>
  <c r="C12" i="44" s="1"/>
  <c r="D12" i="44" s="1"/>
  <c r="D5" i="44"/>
  <c r="I25" i="24"/>
  <c r="I26" i="24"/>
  <c r="I27" i="24"/>
  <c r="I31" i="24" s="1"/>
  <c r="I28" i="24"/>
  <c r="I29" i="24"/>
  <c r="I30" i="24"/>
  <c r="F25" i="24"/>
  <c r="F26" i="24"/>
  <c r="F27" i="24"/>
  <c r="F28" i="24"/>
  <c r="F31" i="24" s="1"/>
  <c r="F29" i="24"/>
  <c r="F30" i="24"/>
  <c r="C25" i="24"/>
  <c r="C26" i="24"/>
  <c r="C27" i="24"/>
  <c r="C28" i="24"/>
  <c r="C29" i="24"/>
  <c r="C30" i="24"/>
  <c r="C31" i="24"/>
  <c r="I9" i="24"/>
  <c r="I10" i="24"/>
  <c r="I11" i="24"/>
  <c r="I12" i="24"/>
  <c r="I13" i="24"/>
  <c r="I14" i="24"/>
  <c r="I15" i="24"/>
  <c r="F9" i="24"/>
  <c r="F15" i="24" s="1"/>
  <c r="F10" i="24"/>
  <c r="F11" i="24"/>
  <c r="F12" i="24"/>
  <c r="F13" i="24"/>
  <c r="F14" i="24"/>
  <c r="C9" i="24"/>
  <c r="C15" i="24" s="1"/>
  <c r="C10" i="24"/>
  <c r="C11" i="24"/>
  <c r="C12" i="24"/>
  <c r="C13" i="24"/>
  <c r="C14" i="24"/>
  <c r="L4" i="23"/>
  <c r="L18" i="23" s="1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F4" i="23"/>
  <c r="F5" i="23"/>
  <c r="F18" i="23" s="1"/>
  <c r="F6" i="23"/>
  <c r="F7" i="23"/>
  <c r="F8" i="23"/>
  <c r="F9" i="23"/>
  <c r="F10" i="23"/>
  <c r="F11" i="23"/>
  <c r="F12" i="23"/>
  <c r="F13" i="23"/>
  <c r="F14" i="23"/>
  <c r="F15" i="23"/>
  <c r="F16" i="23"/>
  <c r="F17" i="23"/>
  <c r="D28" i="22"/>
  <c r="G17" i="22"/>
  <c r="D26" i="21"/>
  <c r="E26" i="21" s="1"/>
  <c r="F26" i="21" s="1"/>
  <c r="D27" i="21" s="1"/>
  <c r="D25" i="21"/>
  <c r="M3" i="21" s="1"/>
  <c r="M4" i="21" s="1"/>
  <c r="M5" i="21" s="1"/>
  <c r="M11" i="21" s="1"/>
  <c r="M6" i="21"/>
  <c r="M7" i="21"/>
  <c r="M8" i="21" s="1"/>
  <c r="M9" i="21" s="1"/>
  <c r="M10" i="21" s="1"/>
  <c r="F14" i="20"/>
  <c r="F15" i="20" s="1"/>
  <c r="G10" i="20"/>
  <c r="F9" i="20"/>
  <c r="G9" i="20" s="1"/>
  <c r="G11" i="20" s="1"/>
  <c r="E22" i="15"/>
  <c r="U14" i="19"/>
  <c r="X9" i="19" s="1"/>
  <c r="X11" i="19" s="1"/>
  <c r="U13" i="19"/>
  <c r="X7" i="19" s="1"/>
  <c r="X8" i="19" s="1"/>
  <c r="U12" i="19"/>
  <c r="X10" i="19"/>
  <c r="U5" i="19"/>
  <c r="U9" i="19"/>
  <c r="U10" i="19"/>
  <c r="X5" i="19" s="1"/>
  <c r="D39" i="18"/>
  <c r="D38" i="18"/>
  <c r="D37" i="18"/>
  <c r="D36" i="18"/>
  <c r="C5" i="18"/>
  <c r="C6" i="18" s="1"/>
  <c r="C12" i="18" s="1"/>
  <c r="D12" i="18" s="1"/>
  <c r="C10" i="18"/>
  <c r="C29" i="17"/>
  <c r="C15" i="17"/>
  <c r="D15" i="17"/>
  <c r="E15" i="17"/>
  <c r="F15" i="17"/>
  <c r="I15" i="17"/>
  <c r="C16" i="17"/>
  <c r="D16" i="17"/>
  <c r="E16" i="17"/>
  <c r="F16" i="17"/>
  <c r="I16" i="17"/>
  <c r="C17" i="17"/>
  <c r="I17" i="17" s="1"/>
  <c r="D17" i="17"/>
  <c r="E17" i="17"/>
  <c r="F17" i="17"/>
  <c r="C18" i="17"/>
  <c r="D18" i="17"/>
  <c r="E18" i="17"/>
  <c r="I18" i="17" s="1"/>
  <c r="F18" i="17"/>
  <c r="C19" i="17"/>
  <c r="I19" i="17" s="1"/>
  <c r="D19" i="17"/>
  <c r="E19" i="17"/>
  <c r="F19" i="17"/>
  <c r="G26" i="16"/>
  <c r="G29" i="16" s="1"/>
  <c r="G31" i="16" s="1"/>
  <c r="G25" i="16"/>
  <c r="H24" i="16"/>
  <c r="F22" i="16"/>
  <c r="F21" i="16"/>
  <c r="F20" i="16"/>
  <c r="F19" i="16"/>
  <c r="F18" i="16"/>
  <c r="F17" i="16"/>
  <c r="F16" i="16"/>
  <c r="D19" i="15"/>
  <c r="E19" i="15"/>
  <c r="F19" i="15" s="1"/>
  <c r="C18" i="15"/>
  <c r="H13" i="15"/>
  <c r="H14" i="15" s="1"/>
  <c r="H15" i="15" s="1"/>
  <c r="C13" i="15"/>
  <c r="D13" i="15"/>
  <c r="E13" i="15"/>
  <c r="F13" i="15"/>
  <c r="G13" i="15"/>
  <c r="I13" i="15" s="1"/>
  <c r="D9" i="14"/>
  <c r="E9" i="14" s="1"/>
  <c r="F9" i="14" s="1"/>
  <c r="I3" i="14"/>
  <c r="J3" i="14"/>
  <c r="K3" i="14" s="1"/>
  <c r="K7" i="14" s="1"/>
  <c r="I4" i="14"/>
  <c r="J4" i="14"/>
  <c r="K4" i="14" s="1"/>
  <c r="I5" i="14"/>
  <c r="J5" i="14" s="1"/>
  <c r="K5" i="14" s="1"/>
  <c r="I6" i="14"/>
  <c r="J6" i="14" s="1"/>
  <c r="K6" i="14" s="1"/>
  <c r="C19" i="12"/>
  <c r="C10" i="12"/>
  <c r="D5" i="8"/>
  <c r="E5" i="8" s="1"/>
  <c r="F5" i="8" s="1"/>
  <c r="F13" i="8" s="1"/>
  <c r="D7" i="8"/>
  <c r="E7" i="8" s="1"/>
  <c r="F12" i="8" s="1"/>
  <c r="D6" i="8"/>
  <c r="F11" i="8" s="1"/>
  <c r="D9" i="8"/>
  <c r="E9" i="8" s="1"/>
  <c r="F9" i="8" s="1"/>
  <c r="D8" i="8"/>
  <c r="E8" i="8" s="1"/>
  <c r="F8" i="8" s="1"/>
  <c r="D4" i="8"/>
  <c r="E4" i="8" s="1"/>
  <c r="F4" i="8" s="1"/>
  <c r="D17" i="4"/>
  <c r="D20" i="4" s="1"/>
  <c r="B22" i="4" s="1"/>
  <c r="C22" i="4" s="1"/>
  <c r="D18" i="4"/>
  <c r="D19" i="4"/>
  <c r="B9" i="4"/>
  <c r="D3" i="4"/>
  <c r="D4" i="4"/>
  <c r="D5" i="4"/>
  <c r="D6" i="4" s="1"/>
  <c r="B11" i="4" s="1"/>
  <c r="C11" i="4" s="1"/>
  <c r="F10" i="3"/>
  <c r="C10" i="3"/>
  <c r="F9" i="3"/>
  <c r="C9" i="3"/>
  <c r="I8" i="2"/>
  <c r="I9" i="2"/>
  <c r="I10" i="2" s="1"/>
  <c r="F8" i="2"/>
  <c r="F9" i="2"/>
  <c r="F10" i="2"/>
  <c r="F11" i="2"/>
  <c r="F12" i="2" s="1"/>
  <c r="C8" i="2"/>
  <c r="C9" i="2"/>
  <c r="C11" i="2" s="1"/>
  <c r="C10" i="2"/>
  <c r="C12" i="2" s="1"/>
  <c r="I23" i="44" l="1"/>
  <c r="H27" i="44" s="1"/>
  <c r="H28" i="44" s="1"/>
  <c r="H26" i="44"/>
  <c r="M3" i="14"/>
  <c r="M6" i="14"/>
  <c r="M5" i="14"/>
  <c r="M4" i="14"/>
  <c r="H16" i="15"/>
  <c r="E16" i="15"/>
  <c r="F14" i="15"/>
  <c r="F15" i="15" s="1"/>
  <c r="F16" i="15" s="1"/>
  <c r="C14" i="15"/>
  <c r="C15" i="15" s="1"/>
  <c r="C16" i="15" s="1"/>
  <c r="E14" i="15"/>
  <c r="E15" i="15" s="1"/>
  <c r="D14" i="15"/>
  <c r="D15" i="15" s="1"/>
  <c r="D16" i="15" s="1"/>
  <c r="F16" i="20"/>
  <c r="I20" i="17"/>
  <c r="I23" i="17" s="1"/>
  <c r="C31" i="17" s="1"/>
  <c r="G14" i="15"/>
  <c r="G15" i="15" s="1"/>
  <c r="G16" i="15" s="1"/>
  <c r="I11" i="2"/>
  <c r="I12" i="2" s="1"/>
  <c r="E6" i="8"/>
  <c r="F6" i="8" s="1"/>
  <c r="F7" i="8"/>
</calcChain>
</file>

<file path=xl/sharedStrings.xml><?xml version="1.0" encoding="utf-8"?>
<sst xmlns="http://schemas.openxmlformats.org/spreadsheetml/2006/main" count="1570" uniqueCount="691">
  <si>
    <t>Mano de obra</t>
  </si>
  <si>
    <t>Capital</t>
  </si>
  <si>
    <t>Producto A</t>
  </si>
  <si>
    <t>Producto B</t>
  </si>
  <si>
    <t>Producto C</t>
  </si>
  <si>
    <t>T disponible</t>
  </si>
  <si>
    <t>Producción</t>
  </si>
  <si>
    <t>Salidas</t>
  </si>
  <si>
    <t>Entradas</t>
  </si>
  <si>
    <t>Productividad Total</t>
  </si>
  <si>
    <t>Stator Inc.</t>
  </si>
  <si>
    <t>Rotor Corporation</t>
  </si>
  <si>
    <t>Trabajadores</t>
  </si>
  <si>
    <t>Equipo</t>
  </si>
  <si>
    <t>Producción en unds.</t>
  </si>
  <si>
    <t xml:space="preserve">Salario </t>
  </si>
  <si>
    <t>Salario</t>
  </si>
  <si>
    <t>Precio de Venta</t>
  </si>
  <si>
    <t>Productividad de la Mano de Obra</t>
  </si>
  <si>
    <t>Productividad de los Capitales</t>
  </si>
  <si>
    <t>a)</t>
  </si>
  <si>
    <t>Hamburguesa normal</t>
  </si>
  <si>
    <t>Hamburguesa con queso</t>
  </si>
  <si>
    <t>Sandwich de pollo</t>
  </si>
  <si>
    <t>Recursos</t>
  </si>
  <si>
    <t>Empleados</t>
  </si>
  <si>
    <t>Horas</t>
  </si>
  <si>
    <t>Hamburguesas por hora hombre</t>
  </si>
  <si>
    <t>Hamburguesas por hora</t>
  </si>
  <si>
    <t>Productividad</t>
  </si>
  <si>
    <t>b)</t>
  </si>
  <si>
    <t>c)</t>
  </si>
  <si>
    <t>Actividad</t>
  </si>
  <si>
    <t>Demanda</t>
  </si>
  <si>
    <t>Tiempos del Proceso de Renovación de Licencias Estatales de Conducir</t>
  </si>
  <si>
    <t>Trabajo</t>
  </si>
  <si>
    <t>Tiempo promedio para el desempeño (segundos)</t>
  </si>
  <si>
    <t>Por hora</t>
  </si>
  <si>
    <t>1. Revisión de la solicitud de renovación para verificar si es correcta</t>
  </si>
  <si>
    <t>2. Pago del proceso y registro</t>
  </si>
  <si>
    <t>3. Verificación del expediente en busca de violaciones y restricciones</t>
  </si>
  <si>
    <t>4. Examen de la vista</t>
  </si>
  <si>
    <t>5. Fotografía del solicitante</t>
  </si>
  <si>
    <t>6. Expedición de una licencia temporal</t>
  </si>
  <si>
    <t>A</t>
  </si>
  <si>
    <t>B</t>
  </si>
  <si>
    <t>d)</t>
  </si>
  <si>
    <t>C</t>
  </si>
  <si>
    <t>PREGUNTA III</t>
  </si>
  <si>
    <t>PARTE A</t>
  </si>
  <si>
    <t>PROCESO DE VACIADO</t>
  </si>
  <si>
    <t>OBSERVACIONES</t>
  </si>
  <si>
    <t>TIEMPO (min)</t>
  </si>
  <si>
    <t>Entrega de llaves</t>
  </si>
  <si>
    <t>Por máquina</t>
  </si>
  <si>
    <t>Retiro e identificación de recipiente</t>
  </si>
  <si>
    <t>Llenar carrito con 20 recipientes</t>
  </si>
  <si>
    <t>Transporte a sala de conteo</t>
  </si>
  <si>
    <t>Recepción y almacenamiento</t>
  </si>
  <si>
    <t>El dato que se da es total, 30 min para 20 recipientes</t>
  </si>
  <si>
    <t>Almacenamiento</t>
  </si>
  <si>
    <t>Tiempo total</t>
  </si>
  <si>
    <t>PARTE B</t>
  </si>
  <si>
    <t>PROCESO DE CONTEO</t>
  </si>
  <si>
    <t>Comprobar báscula</t>
  </si>
  <si>
    <t>Comparar resultados</t>
  </si>
  <si>
    <t>Pesar y registrar (¢750 en plata)</t>
  </si>
  <si>
    <t>Transporte a máquina de envolver</t>
  </si>
  <si>
    <t>Envolver plata (30 rollos)</t>
  </si>
  <si>
    <t>Un minuto en cada 10 rollos y son 30 rollos</t>
  </si>
  <si>
    <t>Transporte a proceso de envasado</t>
  </si>
  <si>
    <t>PARTE C</t>
  </si>
  <si>
    <t>La operación de envolver monedas NO es el cuello de botella del proceso, por lo que comprar otra máquina de envolver monedas NO hace que el proceso</t>
  </si>
  <si>
    <t>sea más rápido.  Comprarla sería un espejismo, ya que no agrega valor al proceso.</t>
  </si>
  <si>
    <t>Consideraciones para la revisión de exámenes</t>
  </si>
  <si>
    <t>En el caso se presentaban tres procesos:  vaciado, conteo y envasado; solo se pedia vaciado y conteo.</t>
  </si>
  <si>
    <t>Tomé como bueno cursograma ó diagramas de flujo, lo importante es que presentaran los símbolos.</t>
  </si>
  <si>
    <t>Parte A:  Cursograma bueno (10), cursograma malo pero tiempos buenos (5), cursograma bueno pero tiempos malos (5)</t>
  </si>
  <si>
    <t>Parte B: Cursograma bueno (10), cursograma malo pero tiempos buenos (5), cursograma bueno pero tiempos malos (5)</t>
  </si>
  <si>
    <t>Parte C:  En el caso de que no expongan la respuesta correcta (5) pero casi todos fue (10) o (0)</t>
  </si>
  <si>
    <t>Elemento</t>
  </si>
  <si>
    <t>Tasa de Desempeño</t>
  </si>
  <si>
    <t>Tiempo de Ciclo</t>
  </si>
  <si>
    <t>Tiempo Normal</t>
  </si>
  <si>
    <t>Tiempo STD</t>
  </si>
  <si>
    <t>s</t>
  </si>
  <si>
    <t>n</t>
  </si>
  <si>
    <t>Asir y colocar el costal</t>
  </si>
  <si>
    <t>Llenar el costal</t>
  </si>
  <si>
    <t>112*</t>
  </si>
  <si>
    <t>Sellar el costal</t>
  </si>
  <si>
    <t>Colocar el costal en la banda transportadora</t>
  </si>
  <si>
    <t>30**</t>
  </si>
  <si>
    <t>35**</t>
  </si>
  <si>
    <t>Factor de concesión</t>
  </si>
  <si>
    <t>Nivel de confianza</t>
  </si>
  <si>
    <t>Exactitud</t>
  </si>
  <si>
    <t>Día</t>
  </si>
  <si>
    <t>Venta de estampilla</t>
  </si>
  <si>
    <t>Correo urgente</t>
  </si>
  <si>
    <t>Venta de estampillas especiales</t>
  </si>
  <si>
    <t>Venta de camisetas</t>
  </si>
  <si>
    <t>Pasaportes</t>
  </si>
  <si>
    <t>Otros</t>
  </si>
  <si>
    <t>Sumatorias</t>
  </si>
  <si>
    <t>1-p</t>
  </si>
  <si>
    <t>p</t>
  </si>
  <si>
    <t>h</t>
  </si>
  <si>
    <t>1-α</t>
  </si>
  <si>
    <t>analizando créditos</t>
  </si>
  <si>
    <t>otros</t>
  </si>
  <si>
    <t>Tabla de Números Aleatorios</t>
  </si>
  <si>
    <t>Tiempo</t>
  </si>
  <si>
    <t>Número asignado</t>
  </si>
  <si>
    <t>7:00 - 7:59 am</t>
  </si>
  <si>
    <t>100 - 159</t>
  </si>
  <si>
    <t>11:00 - 11:59 am</t>
  </si>
  <si>
    <t>500 - 559</t>
  </si>
  <si>
    <t>8:00 - 8:59 am</t>
  </si>
  <si>
    <t>200 - 259</t>
  </si>
  <si>
    <t>12:00 - 12:59 am</t>
  </si>
  <si>
    <t>600 - 659</t>
  </si>
  <si>
    <t>9:00 - 9:59 am</t>
  </si>
  <si>
    <t>300 - 359</t>
  </si>
  <si>
    <t>1:00 - 1:59 pm</t>
  </si>
  <si>
    <t>700 - 759</t>
  </si>
  <si>
    <t>10:00 - 10:59 am</t>
  </si>
  <si>
    <t>400 - 459</t>
  </si>
  <si>
    <t>2:00 - 2:59 pm</t>
  </si>
  <si>
    <t>800 - 859</t>
  </si>
  <si>
    <t>Número aleatorios</t>
  </si>
  <si>
    <t>Tiempo correspondiente de la lista</t>
  </si>
  <si>
    <t xml:space="preserve">Observación </t>
  </si>
  <si>
    <t>Tiempo del Horario</t>
  </si>
  <si>
    <t>Analizando créditos</t>
  </si>
  <si>
    <t>No hay</t>
  </si>
  <si>
    <t>q</t>
  </si>
  <si>
    <t>Tiempo total del estudio en min.</t>
  </si>
  <si>
    <t>Evaluación del desempeño</t>
  </si>
  <si>
    <t>Número de casos resueltos</t>
  </si>
  <si>
    <t>Tiempo normal</t>
  </si>
  <si>
    <t>Tiempo estándar en min.</t>
  </si>
  <si>
    <t>Descripción del elemento</t>
  </si>
  <si>
    <t>Ciclos</t>
  </si>
  <si>
    <t>F.V.</t>
  </si>
  <si>
    <t>Toma bolsa</t>
  </si>
  <si>
    <t>Abre bolsa</t>
  </si>
  <si>
    <t>Toma frascos</t>
  </si>
  <si>
    <t>Coloca frascos</t>
  </si>
  <si>
    <t>Cierra bolsa</t>
  </si>
  <si>
    <t>Promedio</t>
  </si>
  <si>
    <t>Suma</t>
  </si>
  <si>
    <t>a) Se debe aplicar 4% de suplementos por descanso, 3% de necesidades personales</t>
  </si>
  <si>
    <t>Tiempo estándar:</t>
  </si>
  <si>
    <t>Minutos</t>
  </si>
  <si>
    <t>b) La empresa trabaja de 8:00 am a 5:00 pm, con 1/2 hora de almuerzo, 15 de café en la mañana, y 15 de café en la tarde</t>
  </si>
  <si>
    <t>Cuántos empaques se realizan durante un día normal</t>
  </si>
  <si>
    <t>Horas efectivas</t>
  </si>
  <si>
    <t>Minutos efectivos</t>
  </si>
  <si>
    <t>Empaques diarios</t>
  </si>
  <si>
    <t>Nivel de Confianza</t>
  </si>
  <si>
    <t>Lo que están haciendo los empleados</t>
  </si>
  <si>
    <t>α = 7%</t>
  </si>
  <si>
    <t>Zt</t>
  </si>
  <si>
    <t>Día 1</t>
  </si>
  <si>
    <t>Día 2</t>
  </si>
  <si>
    <t>Día 3</t>
  </si>
  <si>
    <t>Día 4</t>
  </si>
  <si>
    <t>Día 5</t>
  </si>
  <si>
    <t>Día 6</t>
  </si>
  <si>
    <t>Día 7</t>
  </si>
  <si>
    <t>Día 8</t>
  </si>
  <si>
    <t>Día 9</t>
  </si>
  <si>
    <t>Día 10</t>
  </si>
  <si>
    <t>Ocioso otras causas</t>
  </si>
  <si>
    <t>Tiempo del estudio</t>
  </si>
  <si>
    <t>Semanas</t>
  </si>
  <si>
    <t>Trabajando</t>
  </si>
  <si>
    <t>Demora Inevitable</t>
  </si>
  <si>
    <t>Tiempo Ocioso</t>
  </si>
  <si>
    <t>Tabla de Número Aleatorios</t>
  </si>
  <si>
    <t>Hora</t>
  </si>
  <si>
    <t>10:00 - 10:59</t>
  </si>
  <si>
    <t>3:00 - 3:59 pm</t>
  </si>
  <si>
    <t>Observación</t>
  </si>
  <si>
    <t>No aleatorio 1</t>
  </si>
  <si>
    <t>No aleatorio 2</t>
  </si>
  <si>
    <t>Hora de planificación</t>
  </si>
  <si>
    <t>Demora inevitable</t>
  </si>
  <si>
    <t>Ocioso por otras causas</t>
  </si>
  <si>
    <t>X</t>
  </si>
  <si>
    <t>Hora de Almuerzo</t>
  </si>
  <si>
    <t>Estados</t>
  </si>
  <si>
    <t>Observaciones</t>
  </si>
  <si>
    <t>Porcentajes</t>
  </si>
  <si>
    <t>Total</t>
  </si>
  <si>
    <t xml:space="preserve"> --</t>
  </si>
  <si>
    <t>FV</t>
  </si>
  <si>
    <t>FC</t>
  </si>
  <si>
    <t>n=</t>
  </si>
  <si>
    <t>10 ptos</t>
  </si>
  <si>
    <t>HR</t>
  </si>
  <si>
    <t>Si es adecuado el tamaño de la muestra, de hecho es superior al necesario</t>
  </si>
  <si>
    <t>5 ptos</t>
  </si>
  <si>
    <t>HP</t>
  </si>
  <si>
    <t>T normal =</t>
  </si>
  <si>
    <t>Salario/hr</t>
  </si>
  <si>
    <t>T std =</t>
  </si>
  <si>
    <t>Costo diario</t>
  </si>
  <si>
    <t>Costo unitario</t>
  </si>
  <si>
    <t>Dstd</t>
  </si>
  <si>
    <t>Media</t>
  </si>
  <si>
    <t>Ventas de estampillas especiales</t>
  </si>
  <si>
    <t>Valor de la máquina</t>
  </si>
  <si>
    <t>Si valdría la pena</t>
  </si>
  <si>
    <t>Horas std</t>
  </si>
  <si>
    <t>Pedido</t>
  </si>
  <si>
    <t>Fabricado</t>
  </si>
  <si>
    <t>en</t>
  </si>
  <si>
    <t>Lo que ya se hizo</t>
  </si>
  <si>
    <t>Eficiencia deseada =</t>
  </si>
  <si>
    <t>Productividad debería de ser =</t>
  </si>
  <si>
    <t>Unidades por hora</t>
  </si>
  <si>
    <t>Horas requeridas</t>
  </si>
  <si>
    <t>Productividad es =</t>
  </si>
  <si>
    <t>Diferencia =</t>
  </si>
  <si>
    <t>No se es eficaz ya que se está fabricando 0.136 unidades por hora menos a lo requerido</t>
  </si>
  <si>
    <t>Horas requeridas al 90% =</t>
  </si>
  <si>
    <t>Aumento debe de ser =</t>
  </si>
  <si>
    <t>Resuelto en el punto anterior</t>
  </si>
  <si>
    <t>Jornada</t>
  </si>
  <si>
    <t>Tarea</t>
  </si>
  <si>
    <t>Tiempo (minutos)</t>
  </si>
  <si>
    <t>Descripción</t>
  </si>
  <si>
    <t>Predecesores</t>
  </si>
  <si>
    <t>Estación</t>
  </si>
  <si>
    <t>Tareas por asignar</t>
  </si>
  <si>
    <t>ti</t>
  </si>
  <si>
    <t>Tarea asignada</t>
  </si>
  <si>
    <t>to</t>
  </si>
  <si>
    <t>Montar marco</t>
  </si>
  <si>
    <t>- -</t>
  </si>
  <si>
    <t>A-C</t>
  </si>
  <si>
    <t>2-3.25</t>
  </si>
  <si>
    <t>Montar interruptor</t>
  </si>
  <si>
    <t>Armar cubierta del motor</t>
  </si>
  <si>
    <t>G</t>
  </si>
  <si>
    <t>D</t>
  </si>
  <si>
    <t>Montar cubierta en marco</t>
  </si>
  <si>
    <t>A, C</t>
  </si>
  <si>
    <t>E</t>
  </si>
  <si>
    <t>Colocar aspas</t>
  </si>
  <si>
    <t>F</t>
  </si>
  <si>
    <t>Colocar parrilla de seguridad</t>
  </si>
  <si>
    <t>Poner cable de corriente</t>
  </si>
  <si>
    <t>H</t>
  </si>
  <si>
    <t>Probar</t>
  </si>
  <si>
    <t>F, G</t>
  </si>
  <si>
    <t>Tiempo de ciclo =</t>
  </si>
  <si>
    <t>Número de estaciones =</t>
  </si>
  <si>
    <t>Tiempo ocioso =</t>
  </si>
  <si>
    <t>Tiempo de ciclo de la estación de trabajo=</t>
  </si>
  <si>
    <t>Estación de Trabajo</t>
  </si>
  <si>
    <t>Ti</t>
  </si>
  <si>
    <t>T ocioso</t>
  </si>
  <si>
    <t>Eficiencia=</t>
  </si>
  <si>
    <t>Distribución #1</t>
  </si>
  <si>
    <t>Distribución #2</t>
  </si>
  <si>
    <t>De</t>
  </si>
  <si>
    <t>Viajes</t>
  </si>
  <si>
    <t>Recorrido</t>
  </si>
  <si>
    <t>Refrigeradora</t>
  </si>
  <si>
    <t>Mesa</t>
  </si>
  <si>
    <t>Fregadero</t>
  </si>
  <si>
    <t>Alacena</t>
  </si>
  <si>
    <t>Estufa</t>
  </si>
  <si>
    <t>S2</t>
  </si>
  <si>
    <t>S3</t>
  </si>
  <si>
    <t>S1</t>
  </si>
  <si>
    <t>Posición 231</t>
  </si>
  <si>
    <t>Posición 123</t>
  </si>
  <si>
    <t>Posición 312</t>
  </si>
  <si>
    <t>C23-12</t>
  </si>
  <si>
    <t>C12-12</t>
  </si>
  <si>
    <t>C31-12</t>
  </si>
  <si>
    <t>C21-13</t>
  </si>
  <si>
    <t>C13-13</t>
  </si>
  <si>
    <t>C32-13</t>
  </si>
  <si>
    <t>C32-21</t>
  </si>
  <si>
    <t>C21-21</t>
  </si>
  <si>
    <t>C13-21</t>
  </si>
  <si>
    <t>C31-23</t>
  </si>
  <si>
    <t>C23-23</t>
  </si>
  <si>
    <t>C12-23</t>
  </si>
  <si>
    <t>C12-31</t>
  </si>
  <si>
    <t>C31-31</t>
  </si>
  <si>
    <t>C23-31</t>
  </si>
  <si>
    <t>C13-32</t>
  </si>
  <si>
    <t>C32-32</t>
  </si>
  <si>
    <t>C21-32</t>
  </si>
  <si>
    <t>Costo total</t>
  </si>
  <si>
    <t>Posición 213</t>
  </si>
  <si>
    <t>Posición 132</t>
  </si>
  <si>
    <t>Posición 321</t>
  </si>
  <si>
    <t>C21-12</t>
  </si>
  <si>
    <t>C13-12</t>
  </si>
  <si>
    <t>C32-12</t>
  </si>
  <si>
    <t>C23-13</t>
  </si>
  <si>
    <t>C12-13</t>
  </si>
  <si>
    <t>C31-13</t>
  </si>
  <si>
    <t>C12-21</t>
  </si>
  <si>
    <t>C31-21</t>
  </si>
  <si>
    <t>C23-21</t>
  </si>
  <si>
    <t>C13-23</t>
  </si>
  <si>
    <t>C32-23</t>
  </si>
  <si>
    <t>C21-23</t>
  </si>
  <si>
    <t>C32-31</t>
  </si>
  <si>
    <t>C21-31</t>
  </si>
  <si>
    <t>C13-31</t>
  </si>
  <si>
    <t>C31-32</t>
  </si>
  <si>
    <t>C23-32</t>
  </si>
  <si>
    <t>C12-32</t>
  </si>
  <si>
    <t>Recibir orden de pedido</t>
  </si>
  <si>
    <t>Evaluar orden de pedido</t>
  </si>
  <si>
    <t>Programar tiempos de producción</t>
  </si>
  <si>
    <t>Calcular materia prima</t>
  </si>
  <si>
    <t>Alistar materia prima</t>
  </si>
  <si>
    <t>Verificar cantidades</t>
  </si>
  <si>
    <t>Preparar el producto</t>
  </si>
  <si>
    <t>Elaborar boleta informativa</t>
  </si>
  <si>
    <t>Preparar pedido del cliente</t>
  </si>
  <si>
    <t>Entregar productos</t>
  </si>
  <si>
    <t>Seleccionar la materia prima</t>
  </si>
  <si>
    <t>Prelavar por inmersión</t>
  </si>
  <si>
    <t>Lavar por asperción</t>
  </si>
  <si>
    <t>Preenfriar producto</t>
  </si>
  <si>
    <t>Descorazonar</t>
  </si>
  <si>
    <t>Realizar corte final</t>
  </si>
  <si>
    <t>Prelavar productos cortados</t>
  </si>
  <si>
    <t>Inspeccionar y seleccionar productos</t>
  </si>
  <si>
    <t>Lavar por inmersión</t>
  </si>
  <si>
    <t>Aplicar centrifugado</t>
  </si>
  <si>
    <t>Inspeccionar productos</t>
  </si>
  <si>
    <t>Mezclar productos</t>
  </si>
  <si>
    <t>Empacar productos</t>
  </si>
  <si>
    <t>Distribuir productos</t>
  </si>
  <si>
    <t>Realizar merchandising del producto</t>
  </si>
  <si>
    <t>Cantidad</t>
  </si>
  <si>
    <t>Distancia (m)</t>
  </si>
  <si>
    <t>Tiempo (min.)</t>
  </si>
  <si>
    <t>Símbolo</t>
  </si>
  <si>
    <t>2. ¿Cuál es el número máximo de solicitudes por hora que puede manejarse con la configuración actual del proceso?</t>
  </si>
  <si>
    <t>3. ¿Cuántas solicitudes pueden procesarse por hora si se añade un segundo empleado a la verificación de violaciones?</t>
  </si>
  <si>
    <t>4. Suponiendo la adición de un empleado, ¿cuál es el número máximo de solicitudes que puede manejar el proceso?</t>
  </si>
  <si>
    <t>5. ¿Cómo sugeriría usted que se modificara el proceso con el fin de atender 120 solicitudes por hora?</t>
  </si>
  <si>
    <t>1.Cursograma Analítico del proceso</t>
  </si>
  <si>
    <t>✓</t>
  </si>
  <si>
    <t>Nivel de significancia</t>
  </si>
  <si>
    <t>Lo que está haciendo el empleado</t>
  </si>
  <si>
    <t xml:space="preserve">1-α </t>
  </si>
  <si>
    <t>Vasijas</t>
  </si>
  <si>
    <t>Jarrones</t>
  </si>
  <si>
    <t>Platos</t>
  </si>
  <si>
    <t>100-159</t>
  </si>
  <si>
    <t>500-559</t>
  </si>
  <si>
    <t>200-259</t>
  </si>
  <si>
    <t>600-659</t>
  </si>
  <si>
    <t>300-359</t>
  </si>
  <si>
    <t>700-759</t>
  </si>
  <si>
    <t>400-459</t>
  </si>
  <si>
    <t>800-859</t>
  </si>
  <si>
    <t>Hora de visita</t>
  </si>
  <si>
    <t>Conteo</t>
  </si>
  <si>
    <t>% del tiempo que trabajó</t>
  </si>
  <si>
    <t>Tiempo normal =</t>
  </si>
  <si>
    <t>Tiempo estándar =</t>
  </si>
  <si>
    <t>Estándar para la fabricación de 1 galón del Acondicionador</t>
  </si>
  <si>
    <t>Boletas de Producción mes de Agosto Alcohol Cetilico en onzas</t>
  </si>
  <si>
    <t>Materias primas</t>
  </si>
  <si>
    <t>Onzas</t>
  </si>
  <si>
    <t>Costo/empaque</t>
  </si>
  <si>
    <t>Alcohol cetilico</t>
  </si>
  <si>
    <t>$7/500 grs</t>
  </si>
  <si>
    <t>Lanolina</t>
  </si>
  <si>
    <t>$6/200 grs</t>
  </si>
  <si>
    <t>Consumo</t>
  </si>
  <si>
    <t>Dehyquart</t>
  </si>
  <si>
    <t>$4/kilo</t>
  </si>
  <si>
    <t>Aceite de coco</t>
  </si>
  <si>
    <t>$64/3,5 kg</t>
  </si>
  <si>
    <t>Vaselina solida</t>
  </si>
  <si>
    <t>$5/kilo</t>
  </si>
  <si>
    <t>Agua</t>
  </si>
  <si>
    <t>3 (litros)</t>
  </si>
  <si>
    <t>$1,3/m3</t>
  </si>
  <si>
    <t>Vaselina líquida</t>
  </si>
  <si>
    <t>$2/100 grs</t>
  </si>
  <si>
    <t>Bronidox L</t>
  </si>
  <si>
    <t>$30,56/500ml</t>
  </si>
  <si>
    <t>Proceso 1</t>
  </si>
  <si>
    <t>Aceite de almendras</t>
  </si>
  <si>
    <t>$10/litro</t>
  </si>
  <si>
    <t>Fragancia</t>
  </si>
  <si>
    <t>$3/20 ml</t>
  </si>
  <si>
    <t>Productividad obtenida</t>
  </si>
  <si>
    <t>{3:NUMERICAL:=13,84:0,1~%40%13,84:1}</t>
  </si>
  <si>
    <t>De acercurdo al Estándar</t>
  </si>
  <si>
    <t>{3:NUMERICAL:=15,45:0,1~%40%15,45:1}</t>
  </si>
  <si>
    <t>Precio costo por galón</t>
  </si>
  <si>
    <t>Boletas de Producción mes de Agosto Dehyquart en onzas</t>
  </si>
  <si>
    <t>El resultado es :</t>
  </si>
  <si>
    <t>{1:MULTICHOICE:~Satisfactorio~=Insatisfactorio}</t>
  </si>
  <si>
    <t>Proceso 2</t>
  </si>
  <si>
    <t>Onzas de Bronidox L</t>
  </si>
  <si>
    <t>Onzas de Dehyquart</t>
  </si>
  <si>
    <t>{3:NUMERICAL:=109,84:0,1~%40%109,84:10}</t>
  </si>
  <si>
    <t>Costo por onza</t>
  </si>
  <si>
    <t>{3:NUMERICAL:=123,07:0,1~%40%123,07:10}</t>
  </si>
  <si>
    <t>Entrada</t>
  </si>
  <si>
    <t>Salida</t>
  </si>
  <si>
    <t>Productividad =</t>
  </si>
  <si>
    <t>Proceso 3</t>
  </si>
  <si>
    <t>Esperado Std =</t>
  </si>
  <si>
    <t>Boletas de Producción mes de Agosto Bronidox L en onzas</t>
  </si>
  <si>
    <t>{3:NUMERICAL:=20,19:0,1~%40%20,19:2}</t>
  </si>
  <si>
    <t>{3:NUMERICAL:=23,45:0,1~%40%23,45:2}</t>
  </si>
  <si>
    <t>Proceso 4</t>
  </si>
  <si>
    <t>Onzas de Alcohol</t>
  </si>
  <si>
    <t>Onzas de Fragancia</t>
  </si>
  <si>
    <t>{3:NUMERICAL:=24,17:0,1~%40%24,17:2}</t>
  </si>
  <si>
    <t>{3:NUMERICAL:=25,31:0,1~%40%25,31:2}</t>
  </si>
  <si>
    <t>Boletas de Producción mes de Agosto Fragancia en onzas</t>
  </si>
  <si>
    <t>Hoja de Verificación Petición de Información</t>
  </si>
  <si>
    <t>Hoja de Verificación Otras Peticiones</t>
  </si>
  <si>
    <t>Productividad Atención a Clientes</t>
  </si>
  <si>
    <t>{6:NUMERICAL:=5957:1~%40%5957:500}</t>
  </si>
  <si>
    <t>Tiempo en minutos por solicitud</t>
  </si>
  <si>
    <t>Tiempo en minutos</t>
  </si>
  <si>
    <t>Productividad Ingeniería de Procesos</t>
  </si>
  <si>
    <t>{6:NUMERICAL:=488:1~%40%488:50}</t>
  </si>
  <si>
    <t>Solución conocida</t>
  </si>
  <si>
    <t>IIIII</t>
  </si>
  <si>
    <t>IIIIIIIIII</t>
  </si>
  <si>
    <t>III</t>
  </si>
  <si>
    <t>Productividad Centro de Atención a Clientes</t>
  </si>
  <si>
    <t>{6:NUMERICAL:=6445:1~%40%6445:600}</t>
  </si>
  <si>
    <t>Básica</t>
  </si>
  <si>
    <t>IIIIIIIIIIIIIII</t>
  </si>
  <si>
    <t>IIII</t>
  </si>
  <si>
    <t>I</t>
  </si>
  <si>
    <t>¿Se podrían atender las 3000 solicitudes?</t>
  </si>
  <si>
    <t>{3:MULTICHOICE:~SÍ~=NO}</t>
  </si>
  <si>
    <t>IIIIIIIII</t>
  </si>
  <si>
    <t>Buscar solución</t>
  </si>
  <si>
    <t>IIIIIIIIIIIIIIIIII</t>
  </si>
  <si>
    <t>IIIIIIIIIIII</t>
  </si>
  <si>
    <t>IIIIIII</t>
  </si>
  <si>
    <t>¿Qué se debe contratar?</t>
  </si>
  <si>
    <t>{4:MULTICHOICE:~Ejecutivos de cuenta~=Analístas}</t>
  </si>
  <si>
    <t>Compleja</t>
  </si>
  <si>
    <t>II</t>
  </si>
  <si>
    <t>IIIIII</t>
  </si>
  <si>
    <t>Calculo de tiempo promedio por petición de información</t>
  </si>
  <si>
    <t>Calculo de tiempo promedio por otras peticiones</t>
  </si>
  <si>
    <t>T promedio</t>
  </si>
  <si>
    <t>Cálculo demanda estimada de tipo de información al mes</t>
  </si>
  <si>
    <t>T promedio otros</t>
  </si>
  <si>
    <t>Hoja de Verificación Quejas</t>
  </si>
  <si>
    <t>Tiempo disponible:</t>
  </si>
  <si>
    <t xml:space="preserve">Re envío de propuestas </t>
  </si>
  <si>
    <t>Quejas</t>
  </si>
  <si>
    <t>IIIIIIIIIIIIIIII</t>
  </si>
  <si>
    <t>Proproción de la demanda de trabajo</t>
  </si>
  <si>
    <t>Procentajes</t>
  </si>
  <si>
    <t>Atención a Clientes</t>
  </si>
  <si>
    <t>Ingeniería de Procesos</t>
  </si>
  <si>
    <t>T promedio quejas</t>
  </si>
  <si>
    <t>Cantidad de Ejecutivos</t>
  </si>
  <si>
    <t>Cálculo % por tipo, queja u otros</t>
  </si>
  <si>
    <t>Cantidad de Analistas</t>
  </si>
  <si>
    <t>por mes</t>
  </si>
  <si>
    <t>Queja</t>
  </si>
  <si>
    <t>Llegan:</t>
  </si>
  <si>
    <t>T promedio general</t>
  </si>
  <si>
    <t>minutos/solicitud</t>
  </si>
  <si>
    <t>A Atención de clientes irían:</t>
  </si>
  <si>
    <t>A Ingeniería de Procesos irián:</t>
  </si>
  <si>
    <t>No habría capacidad para atender la totalidad de las solicitudes</t>
  </si>
  <si>
    <t>e)</t>
  </si>
  <si>
    <t>Contrataría analistas porque la capacidad actual no puede atender la demanda requerida por este tipo de solicitudes que representan el 63%</t>
  </si>
  <si>
    <t>Hoja de Verificación Ventas Mensuales</t>
  </si>
  <si>
    <t>Composición de un ladrillo</t>
  </si>
  <si>
    <t>Costo/Kg</t>
  </si>
  <si>
    <t>Arena gruesa</t>
  </si>
  <si>
    <t>Tipo de Ladrillo</t>
  </si>
  <si>
    <t>Q = 90 ladrillos</t>
  </si>
  <si>
    <t>Q = 120 ladrillo</t>
  </si>
  <si>
    <t>Q = 150 ladrillos</t>
  </si>
  <si>
    <t>Cemento</t>
  </si>
  <si>
    <t>Pequeño</t>
  </si>
  <si>
    <t xml:space="preserve">Piedra </t>
  </si>
  <si>
    <t>Mediano</t>
  </si>
  <si>
    <t>Grande</t>
  </si>
  <si>
    <t>Proporción de lotes</t>
  </si>
  <si>
    <t>90 bloques</t>
  </si>
  <si>
    <t>120 bloques</t>
  </si>
  <si>
    <t>150 bloques</t>
  </si>
  <si>
    <t>Cálculo cantidad estimada de tipo de ladrillo</t>
  </si>
  <si>
    <t>Con Lotes de</t>
  </si>
  <si>
    <t>ladrillos</t>
  </si>
  <si>
    <t>Lote</t>
  </si>
  <si>
    <t>Peso venta en kg</t>
  </si>
  <si>
    <t>Peso materiales en kg</t>
  </si>
  <si>
    <t>Ladrillo pequeño</t>
  </si>
  <si>
    <t>Ladrillo mediano</t>
  </si>
  <si>
    <t>Datos</t>
  </si>
  <si>
    <t>Ladrillo grande</t>
  </si>
  <si>
    <t>Peso en kg</t>
  </si>
  <si>
    <t>Precio Venta</t>
  </si>
  <si>
    <t>Costos de producción</t>
  </si>
  <si>
    <t>Arena</t>
  </si>
  <si>
    <t>Piedra</t>
  </si>
  <si>
    <t>Perdida de material</t>
  </si>
  <si>
    <t>Mezclado</t>
  </si>
  <si>
    <t>Proceso</t>
  </si>
  <si>
    <t>Moldeado</t>
  </si>
  <si>
    <t>Total costos</t>
  </si>
  <si>
    <t>Costo de producción</t>
  </si>
  <si>
    <t>Ingresos</t>
  </si>
  <si>
    <t>$/kg</t>
  </si>
  <si>
    <t>Ganancia</t>
  </si>
  <si>
    <t>$/hr</t>
  </si>
  <si>
    <t>Ladrillo consume</t>
  </si>
  <si>
    <t>horas por ladrillo</t>
  </si>
  <si>
    <t>Calculo de la productividad por tipo de ladrillo en dólares</t>
  </si>
  <si>
    <t>Para lotes de 90 ladrillos</t>
  </si>
  <si>
    <t>Ventas</t>
  </si>
  <si>
    <t>$/$</t>
  </si>
  <si>
    <t>Si se pronostican ventas globales:</t>
  </si>
  <si>
    <t>lotes</t>
  </si>
  <si>
    <t>Ventas esperadas en lotes</t>
  </si>
  <si>
    <t>Calculo de la ganancia esperada en el mes</t>
  </si>
  <si>
    <t>Ganancia total</t>
  </si>
  <si>
    <t>Productividad Total por tipo de ladrillo en dóalres</t>
  </si>
  <si>
    <t>{5:NUMERICAL:=1,83:0,01~%40%1,83:0,5}</t>
  </si>
  <si>
    <t>{5:NUMERICAL:=1,75:0,01~%40%1,75:0,5}</t>
  </si>
  <si>
    <t>{5:NUMERICAL:=1,86:0,01~%40%1,86:0,5}</t>
  </si>
  <si>
    <t>Ganancia Anual</t>
  </si>
  <si>
    <t>{5:NUMERICAL:=87921:1~%40%87921:5000}</t>
  </si>
  <si>
    <t>{5:NUMERICAL:=136570:1~%40%136570:5000}</t>
  </si>
  <si>
    <t>{5:NUMERICAL:=130188:1~%40%130188:5000}</t>
  </si>
  <si>
    <t>Ganancia Total</t>
  </si>
  <si>
    <t>{5:NUMERICAL:=354679:1~%40%354679:5000}</t>
  </si>
  <si>
    <t>Hoja de Verificación Mostrador</t>
  </si>
  <si>
    <t>Departamento de Ingeniería</t>
  </si>
  <si>
    <t>Departamento de Cuadrillas</t>
  </si>
  <si>
    <t>Tiempo en minutos por queja</t>
  </si>
  <si>
    <t xml:space="preserve">Tiempos </t>
  </si>
  <si>
    <t>Tiempos</t>
  </si>
  <si>
    <t>Tipo de Queja</t>
  </si>
  <si>
    <t>Clasificación</t>
  </si>
  <si>
    <t>min.</t>
  </si>
  <si>
    <t>Asignación</t>
  </si>
  <si>
    <t>min</t>
  </si>
  <si>
    <t>Tipo A</t>
  </si>
  <si>
    <t>Reparto</t>
  </si>
  <si>
    <t>Atención de queja con reparación</t>
  </si>
  <si>
    <t>hrs</t>
  </si>
  <si>
    <t>Tipo B</t>
  </si>
  <si>
    <t>Aprobación</t>
  </si>
  <si>
    <t>expedientes por día</t>
  </si>
  <si>
    <t>Atención de queja sin reparación</t>
  </si>
  <si>
    <t>hr</t>
  </si>
  <si>
    <t>Tipo C</t>
  </si>
  <si>
    <t>Elaboración de reporte</t>
  </si>
  <si>
    <t>Calculo de tiempo promedio por expediente en mostrador</t>
  </si>
  <si>
    <t>Respuesta:</t>
  </si>
  <si>
    <t>Productividad Mostrador</t>
  </si>
  <si>
    <t>Productividad de la Mano de Obra en expedientes por persona por mes</t>
  </si>
  <si>
    <t>Expedientes por mes</t>
  </si>
  <si>
    <t>Mostrador</t>
  </si>
  <si>
    <t>{5:NUMERICAL:=185:1~%40%185:20}</t>
  </si>
  <si>
    <t>{5:NUMERICAL:=48:1~%40%48:10}</t>
  </si>
  <si>
    <t>{5:NUMERICAL:=13:1~%40%13:10}</t>
  </si>
  <si>
    <t>Cálculo cantidad estimada de tipo de queja al mes</t>
  </si>
  <si>
    <t>Del Proceso</t>
  </si>
  <si>
    <t>{5:NUMERICAL:=7:1~%40%7:10}</t>
  </si>
  <si>
    <t>Productividad Mano de Obra</t>
  </si>
  <si>
    <t>expedientes por persona por mes</t>
  </si>
  <si>
    <t>¿Cuántos expedientes logra cerrar Motrinsa?</t>
  </si>
  <si>
    <t>{5:NUMERICAL:=120:0~%40%120:20}</t>
  </si>
  <si>
    <t>Productividad Departamento de Ingeniería</t>
  </si>
  <si>
    <t>¿Cuántos clientes logra atender Motrinsa?</t>
  </si>
  <si>
    <t>{5:NUMERICAL:=125:1~%40%125:20}</t>
  </si>
  <si>
    <t>Personal</t>
  </si>
  <si>
    <t>Reportes para depto de cuadrillas</t>
  </si>
  <si>
    <t>Aprobaciones</t>
  </si>
  <si>
    <t>¿Cuántas quejas más se logran solucionar?</t>
  </si>
  <si>
    <t>{5:MULTICHOICE:~=0~5~10~20}</t>
  </si>
  <si>
    <t>Ingeniería</t>
  </si>
  <si>
    <t>Cuadrillas</t>
  </si>
  <si>
    <t>Jefe cuadrillas</t>
  </si>
  <si>
    <t>Productividad Departamento de Cuadrillas</t>
  </si>
  <si>
    <t>Tiempo disponible</t>
  </si>
  <si>
    <t>Jefatura</t>
  </si>
  <si>
    <t>Jornada en hrs</t>
  </si>
  <si>
    <t>expedientes por mes</t>
  </si>
  <si>
    <t>Almuerzo en hrs</t>
  </si>
  <si>
    <t>Café en min</t>
  </si>
  <si>
    <t>Trabaja 24 días al mes</t>
  </si>
  <si>
    <t>Productividad del Proceso</t>
  </si>
  <si>
    <t>Históricamente</t>
  </si>
  <si>
    <t>Con reparación</t>
  </si>
  <si>
    <t>Sin reparación</t>
  </si>
  <si>
    <t>Respuesta</t>
  </si>
  <si>
    <t>Cursograma Analítico Fabricación de Galletas</t>
  </si>
  <si>
    <t>Símbolos</t>
  </si>
  <si>
    <t>#</t>
  </si>
  <si>
    <t>Preparación de ingredientes.  Todos los ingredientes deben cumplir con las especificaciones que se comprueban por el departamento de calidad</t>
  </si>
  <si>
    <t>Es incorrecto el diagrama porque deja por fuera la inspección por parte de Calidad</t>
  </si>
  <si>
    <t>Traslado a línea de producción</t>
  </si>
  <si>
    <t>Proceso de amasado</t>
  </si>
  <si>
    <t>Laminado</t>
  </si>
  <si>
    <t>Troquelado</t>
  </si>
  <si>
    <t>Cocción</t>
  </si>
  <si>
    <t>Bañado</t>
  </si>
  <si>
    <t>Traslado a bodega de producto en proceso</t>
  </si>
  <si>
    <t>Producto se deja enfriar por 8 horas</t>
  </si>
  <si>
    <t>Control de calidad</t>
  </si>
  <si>
    <t>Empaquetado</t>
  </si>
  <si>
    <t>Traslado a bodega de producto terminado</t>
  </si>
  <si>
    <t>Almacenamiento en bodega de producto terminado</t>
  </si>
  <si>
    <t>NOTA: HAY QUE HACER 9 TABLAS ADICIONALES A ESTA ANTERIOR, UNA POR DÍA DURANTE 10 DÍAS, 10 MUESTRAS POR DÍA PARA UN TOTAL DE 100 OBSERVACIONES</t>
  </si>
  <si>
    <t>1-</t>
  </si>
  <si>
    <t>Predecesora inmediata</t>
  </si>
  <si>
    <t>Tiempo (min)</t>
  </si>
  <si>
    <t>Colocar ruedas</t>
  </si>
  <si>
    <t>-</t>
  </si>
  <si>
    <t>Acoplar tapa al motor</t>
  </si>
  <si>
    <t>Colocar batería</t>
  </si>
  <si>
    <t>Asegurar</t>
  </si>
  <si>
    <t>Acoplar filtros</t>
  </si>
  <si>
    <t>Acoplar tapa</t>
  </si>
  <si>
    <t>A, E</t>
  </si>
  <si>
    <t>Ensamblar componentes</t>
  </si>
  <si>
    <t>Pruebas</t>
  </si>
  <si>
    <t>D, F, G</t>
  </si>
  <si>
    <t xml:space="preserve">Jornada = </t>
  </si>
  <si>
    <t>horas</t>
  </si>
  <si>
    <t>Inspección final</t>
  </si>
  <si>
    <t>Producción=</t>
  </si>
  <si>
    <t>unidades/hora</t>
  </si>
  <si>
    <t>J</t>
  </si>
  <si>
    <t>Empaque</t>
  </si>
  <si>
    <t>TC=</t>
  </si>
  <si>
    <t>min/unidad</t>
  </si>
  <si>
    <t>N° mín. est.=</t>
  </si>
  <si>
    <t>estaciones</t>
  </si>
  <si>
    <t>Tiempo Oci.=</t>
  </si>
  <si>
    <t>minuto</t>
  </si>
  <si>
    <t>Retraso=</t>
  </si>
  <si>
    <t xml:space="preserve">Estación </t>
  </si>
  <si>
    <t>Tareas x asignar</t>
  </si>
  <si>
    <t>Tarea Asignada</t>
  </si>
  <si>
    <t xml:space="preserve"> To estación</t>
  </si>
  <si>
    <t>A, G, B</t>
  </si>
  <si>
    <t>5, 3, 1.5</t>
  </si>
  <si>
    <t>G, B</t>
  </si>
  <si>
    <t>3, 1.5</t>
  </si>
  <si>
    <t>C, D, E</t>
  </si>
  <si>
    <t>3, 4, 3</t>
  </si>
  <si>
    <t>D, E</t>
  </si>
  <si>
    <t>4, 3</t>
  </si>
  <si>
    <t>F, H, I, J</t>
  </si>
  <si>
    <t>2, 3.5, 2, 2</t>
  </si>
  <si>
    <t>H, I, J</t>
  </si>
  <si>
    <t>3.5, 2, 2</t>
  </si>
  <si>
    <t>I, J</t>
  </si>
  <si>
    <t>2, 2</t>
  </si>
  <si>
    <t>2- Se tendría que asignar trabajo a las estaciones 1 y 3, de forma tal que aprovechen el tiempo disponible, quizás con tareas complementarias. De esta forma se alcanzaría el 100% de eficiencia en el sistema.</t>
  </si>
  <si>
    <t>Desde\Hacia</t>
  </si>
  <si>
    <t>DISTANCIA</t>
  </si>
  <si>
    <t>TOTAL</t>
  </si>
  <si>
    <t>Zonas</t>
  </si>
  <si>
    <t>Posición 1</t>
  </si>
  <si>
    <t>Óptimo</t>
  </si>
  <si>
    <t>Posición 2</t>
  </si>
  <si>
    <t>Posición 3</t>
  </si>
  <si>
    <t>Posición 4</t>
  </si>
  <si>
    <t>Posición 5</t>
  </si>
  <si>
    <t>Posición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</si>
</sst>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-[$$-409]* #,##0.00_ ;_-[$$-409]* \-#,##0.00\ ;_-[$$-409]* &quot;-&quot;??_ ;_-@_ "/>
    <numFmt numFmtId="165" formatCode="0.000"/>
    <numFmt numFmtId="166" formatCode="0.0000"/>
    <numFmt numFmtId="167" formatCode="0.000%"/>
    <numFmt numFmtId="168" formatCode="[$-F400]h:mm:ss\ AM/PM"/>
    <numFmt numFmtId="169" formatCode="0.0%"/>
    <numFmt numFmtId="170" formatCode="0.00000"/>
    <numFmt numFmtId="171" formatCode="_-[$$-409]* #,##0.000_ ;_-[$$-409]* \-#,##0.000\ ;_-[$$-409]* &quot;-&quot;???_ ;_-@_ "/>
    <numFmt numFmtId="172" formatCode="_(&quot;C&quot;* #,##0.00_);_(&quot;C&quot;* \(#,##0.00\);_(&quot;C&quot;* &quot;-&quot;??_);_(@_)"/>
    <numFmt numFmtId="173" formatCode="[$$-409]#,##0.00"/>
    <numFmt numFmtId="174" formatCode="[$$-409]#,##0"/>
    <numFmt numFmtId="175" formatCode="0.0"/>
  </numFmts>
  <fonts count="5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rgb="FFFF0000"/>
      <name val="Calibri"/>
      <family val="2"/>
      <scheme val="minor"/>
    </font>
    <font>
      <b/>
      <sz val="10"/>
      <name val="Arial"/>
      <family val="2"/>
    </font>
    <font>
      <sz val="36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Times New Roman"/>
      <family val="1"/>
    </font>
    <font>
      <sz val="16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Arial Unicode MS"/>
      <family val="2"/>
    </font>
    <font>
      <sz val="12"/>
      <color theme="1"/>
      <name val="Calibri (Body)"/>
    </font>
    <font>
      <sz val="12"/>
      <name val="Verdana"/>
      <family val="2"/>
    </font>
    <font>
      <sz val="12"/>
      <color theme="1"/>
      <name val="Verdana"/>
      <family val="2"/>
    </font>
    <font>
      <sz val="20"/>
      <color theme="0"/>
      <name val="Calibri"/>
      <family val="2"/>
      <scheme val="minor"/>
    </font>
    <font>
      <sz val="20"/>
      <color theme="1"/>
      <name val="Calibri (Body)"/>
    </font>
    <font>
      <b/>
      <sz val="20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63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</borders>
  <cellStyleXfs count="27">
    <xf numFmtId="0" fontId="0" fillId="0" borderId="0"/>
    <xf numFmtId="0" fontId="7" fillId="0" borderId="0"/>
    <xf numFmtId="43" fontId="5" fillId="0" borderId="0" applyFont="0" applyFill="0" applyBorder="0" applyAlignment="0" applyProtection="0"/>
    <xf numFmtId="0" fontId="1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/>
    <xf numFmtId="9" fontId="3" fillId="0" borderId="0" applyFont="0" applyFill="0" applyBorder="0" applyAlignment="0" applyProtection="0"/>
    <xf numFmtId="0" fontId="7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2" fontId="13" fillId="0" borderId="0" applyFont="0" applyFill="0" applyBorder="0" applyAlignment="0" applyProtection="0"/>
    <xf numFmtId="0" fontId="2" fillId="0" borderId="0"/>
    <xf numFmtId="0" fontId="1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" fillId="0" borderId="0"/>
    <xf numFmtId="0" fontId="1" fillId="0" borderId="0"/>
    <xf numFmtId="0" fontId="13" fillId="0" borderId="0"/>
    <xf numFmtId="0" fontId="1" fillId="0" borderId="0"/>
    <xf numFmtId="9" fontId="14" fillId="0" borderId="0" applyFont="0" applyFill="0" applyBorder="0" applyAlignment="0" applyProtection="0"/>
  </cellStyleXfs>
  <cellXfs count="365">
    <xf numFmtId="0" fontId="0" fillId="0" borderId="0" xfId="0"/>
    <xf numFmtId="164" fontId="0" fillId="0" borderId="0" xfId="0" applyNumberFormat="1"/>
    <xf numFmtId="0" fontId="0" fillId="0" borderId="3" xfId="0" applyBorder="1"/>
    <xf numFmtId="0" fontId="0" fillId="0" borderId="4" xfId="0" applyBorder="1"/>
    <xf numFmtId="164" fontId="0" fillId="0" borderId="4" xfId="0" applyNumberFormat="1" applyBorder="1"/>
    <xf numFmtId="0" fontId="0" fillId="0" borderId="5" xfId="0" applyBorder="1" applyAlignment="1">
      <alignment wrapText="1"/>
    </xf>
    <xf numFmtId="164" fontId="0" fillId="0" borderId="6" xfId="0" applyNumberFormat="1" applyBorder="1"/>
    <xf numFmtId="164" fontId="0" fillId="0" borderId="3" xfId="0" applyNumberFormat="1" applyBorder="1"/>
    <xf numFmtId="0" fontId="0" fillId="0" borderId="3" xfId="0" applyBorder="1" applyAlignment="1">
      <alignment wrapText="1"/>
    </xf>
    <xf numFmtId="0" fontId="8" fillId="0" borderId="0" xfId="1" applyFont="1"/>
    <xf numFmtId="0" fontId="7" fillId="0" borderId="0" xfId="1"/>
    <xf numFmtId="0" fontId="7" fillId="0" borderId="0" xfId="1" applyAlignment="1">
      <alignment horizontal="center" wrapText="1"/>
    </xf>
    <xf numFmtId="0" fontId="9" fillId="0" borderId="0" xfId="1" applyFont="1"/>
    <xf numFmtId="2" fontId="9" fillId="0" borderId="0" xfId="1" applyNumberFormat="1" applyFont="1"/>
    <xf numFmtId="9" fontId="0" fillId="0" borderId="0" xfId="0" applyNumberFormat="1"/>
    <xf numFmtId="0" fontId="0" fillId="0" borderId="7" xfId="0" applyBorder="1"/>
    <xf numFmtId="0" fontId="0" fillId="0" borderId="9" xfId="0" applyBorder="1"/>
    <xf numFmtId="0" fontId="10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justify" vertical="center" wrapText="1"/>
    </xf>
    <xf numFmtId="0" fontId="11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justify" vertical="center" wrapText="1"/>
    </xf>
    <xf numFmtId="0" fontId="11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15" fillId="0" borderId="0" xfId="7" applyFont="1"/>
    <xf numFmtId="0" fontId="14" fillId="0" borderId="0" xfId="7" applyAlignment="1">
      <alignment horizontal="center"/>
    </xf>
    <xf numFmtId="0" fontId="14" fillId="0" borderId="0" xfId="7"/>
    <xf numFmtId="0" fontId="16" fillId="0" borderId="0" xfId="7" applyFont="1"/>
    <xf numFmtId="0" fontId="17" fillId="0" borderId="10" xfId="7" applyFont="1" applyBorder="1" applyAlignment="1">
      <alignment vertical="center"/>
    </xf>
    <xf numFmtId="0" fontId="17" fillId="0" borderId="10" xfId="7" applyFont="1" applyBorder="1" applyAlignment="1">
      <alignment horizontal="center" vertical="center"/>
    </xf>
    <xf numFmtId="0" fontId="14" fillId="0" borderId="10" xfId="7" applyBorder="1"/>
    <xf numFmtId="0" fontId="14" fillId="0" borderId="10" xfId="7" applyBorder="1" applyAlignment="1">
      <alignment horizontal="center"/>
    </xf>
    <xf numFmtId="0" fontId="17" fillId="0" borderId="10" xfId="7" applyFont="1" applyBorder="1"/>
    <xf numFmtId="0" fontId="17" fillId="0" borderId="0" xfId="7" applyFont="1" applyAlignment="1">
      <alignment horizontal="center"/>
    </xf>
    <xf numFmtId="0" fontId="17" fillId="0" borderId="10" xfId="7" applyFont="1" applyBorder="1" applyAlignment="1">
      <alignment horizontal="center"/>
    </xf>
    <xf numFmtId="0" fontId="17" fillId="0" borderId="0" xfId="7" applyFont="1"/>
    <xf numFmtId="0" fontId="17" fillId="0" borderId="18" xfId="7" applyFont="1" applyBorder="1" applyAlignment="1">
      <alignment horizontal="center"/>
    </xf>
    <xf numFmtId="0" fontId="17" fillId="0" borderId="10" xfId="7" applyFont="1" applyBorder="1" applyAlignment="1">
      <alignment horizontal="left" vertical="center"/>
    </xf>
    <xf numFmtId="0" fontId="16" fillId="0" borderId="18" xfId="7" applyFont="1" applyBorder="1"/>
    <xf numFmtId="0" fontId="18" fillId="0" borderId="0" xfId="7" applyFont="1"/>
    <xf numFmtId="0" fontId="19" fillId="0" borderId="0" xfId="7" applyFont="1"/>
    <xf numFmtId="0" fontId="6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9" fontId="0" fillId="0" borderId="17" xfId="0" applyNumberFormat="1" applyBorder="1" applyAlignment="1">
      <alignment horizontal="center" vertical="center"/>
    </xf>
    <xf numFmtId="2" fontId="0" fillId="0" borderId="3" xfId="0" applyNumberFormat="1" applyBorder="1"/>
    <xf numFmtId="2" fontId="0" fillId="0" borderId="10" xfId="0" applyNumberFormat="1" applyBorder="1"/>
    <xf numFmtId="0" fontId="0" fillId="0" borderId="10" xfId="0" applyBorder="1"/>
    <xf numFmtId="1" fontId="20" fillId="0" borderId="4" xfId="0" applyNumberFormat="1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9" fontId="0" fillId="0" borderId="20" xfId="0" applyNumberFormat="1" applyBorder="1" applyAlignment="1">
      <alignment horizontal="center" vertical="center"/>
    </xf>
    <xf numFmtId="2" fontId="0" fillId="0" borderId="5" xfId="0" applyNumberFormat="1" applyBorder="1" applyAlignment="1">
      <alignment vertical="center"/>
    </xf>
    <xf numFmtId="2" fontId="0" fillId="0" borderId="16" xfId="0" applyNumberFormat="1" applyBorder="1" applyAlignment="1">
      <alignment vertical="center"/>
    </xf>
    <xf numFmtId="0" fontId="0" fillId="0" borderId="16" xfId="0" applyBorder="1" applyAlignment="1">
      <alignment vertical="center"/>
    </xf>
    <xf numFmtId="1" fontId="20" fillId="0" borderId="6" xfId="0" applyNumberFormat="1" applyFont="1" applyBorder="1" applyAlignment="1">
      <alignment horizontal="center" vertical="center"/>
    </xf>
    <xf numFmtId="2" fontId="20" fillId="0" borderId="12" xfId="0" applyNumberFormat="1" applyFont="1" applyBorder="1" applyAlignment="1">
      <alignment horizontal="center"/>
    </xf>
    <xf numFmtId="9" fontId="0" fillId="0" borderId="0" xfId="6" applyFont="1" applyFill="1" applyBorder="1" applyAlignment="1">
      <alignment horizontal="center" vertical="center"/>
    </xf>
    <xf numFmtId="10" fontId="0" fillId="0" borderId="0" xfId="6" applyNumberFormat="1" applyFont="1"/>
    <xf numFmtId="10" fontId="0" fillId="0" borderId="0" xfId="0" applyNumberFormat="1"/>
    <xf numFmtId="165" fontId="0" fillId="0" borderId="0" xfId="0" applyNumberFormat="1"/>
    <xf numFmtId="0" fontId="10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9" fontId="0" fillId="0" borderId="10" xfId="6" applyFont="1" applyBorder="1" applyAlignment="1">
      <alignment horizontal="center"/>
    </xf>
    <xf numFmtId="9" fontId="0" fillId="0" borderId="10" xfId="0" applyNumberFormat="1" applyBorder="1" applyAlignment="1">
      <alignment horizontal="center"/>
    </xf>
    <xf numFmtId="0" fontId="6" fillId="0" borderId="10" xfId="0" applyFont="1" applyBorder="1" applyAlignment="1">
      <alignment horizontal="center"/>
    </xf>
    <xf numFmtId="1" fontId="6" fillId="0" borderId="10" xfId="0" applyNumberFormat="1" applyFont="1" applyBorder="1" applyAlignment="1">
      <alignment horizontal="center"/>
    </xf>
    <xf numFmtId="167" fontId="0" fillId="0" borderId="0" xfId="0" applyNumberFormat="1"/>
    <xf numFmtId="168" fontId="6" fillId="0" borderId="10" xfId="0" applyNumberFormat="1" applyFont="1" applyBorder="1" applyAlignment="1">
      <alignment horizontal="center"/>
    </xf>
    <xf numFmtId="0" fontId="0" fillId="3" borderId="0" xfId="0" applyFill="1"/>
    <xf numFmtId="0" fontId="0" fillId="0" borderId="10" xfId="0" applyBorder="1" applyAlignment="1">
      <alignment horizontal="center" wrapText="1"/>
    </xf>
    <xf numFmtId="18" fontId="0" fillId="0" borderId="10" xfId="0" applyNumberFormat="1" applyBorder="1"/>
    <xf numFmtId="18" fontId="0" fillId="0" borderId="10" xfId="0" applyNumberFormat="1" applyBorder="1" applyAlignment="1">
      <alignment horizontal="center"/>
    </xf>
    <xf numFmtId="169" fontId="0" fillId="0" borderId="10" xfId="6" applyNumberFormat="1" applyFont="1" applyBorder="1" applyAlignment="1">
      <alignment horizontal="center"/>
    </xf>
    <xf numFmtId="0" fontId="7" fillId="0" borderId="0" xfId="9"/>
    <xf numFmtId="0" fontId="18" fillId="0" borderId="10" xfId="9" applyFont="1" applyBorder="1" applyAlignment="1">
      <alignment horizontal="center"/>
    </xf>
    <xf numFmtId="0" fontId="7" fillId="0" borderId="10" xfId="9" applyBorder="1"/>
    <xf numFmtId="166" fontId="7" fillId="0" borderId="10" xfId="9" applyNumberFormat="1" applyBorder="1"/>
    <xf numFmtId="0" fontId="18" fillId="0" borderId="0" xfId="9" applyFont="1"/>
    <xf numFmtId="0" fontId="17" fillId="0" borderId="3" xfId="9" applyFont="1" applyBorder="1" applyAlignment="1">
      <alignment horizontal="center"/>
    </xf>
    <xf numFmtId="0" fontId="17" fillId="0" borderId="10" xfId="9" applyFont="1" applyBorder="1" applyAlignment="1">
      <alignment horizontal="center"/>
    </xf>
    <xf numFmtId="0" fontId="17" fillId="0" borderId="4" xfId="9" applyFont="1" applyBorder="1" applyAlignment="1">
      <alignment horizontal="center"/>
    </xf>
    <xf numFmtId="0" fontId="17" fillId="0" borderId="0" xfId="9" applyFont="1" applyAlignment="1">
      <alignment horizontal="center"/>
    </xf>
    <xf numFmtId="0" fontId="21" fillId="0" borderId="0" xfId="9" applyFont="1"/>
    <xf numFmtId="0" fontId="7" fillId="0" borderId="27" xfId="9" applyBorder="1"/>
    <xf numFmtId="166" fontId="7" fillId="0" borderId="3" xfId="9" applyNumberFormat="1" applyBorder="1"/>
    <xf numFmtId="166" fontId="7" fillId="0" borderId="4" xfId="9" applyNumberFormat="1" applyBorder="1"/>
    <xf numFmtId="166" fontId="7" fillId="0" borderId="0" xfId="9" applyNumberFormat="1"/>
    <xf numFmtId="0" fontId="7" fillId="0" borderId="28" xfId="9" applyBorder="1"/>
    <xf numFmtId="166" fontId="7" fillId="0" borderId="5" xfId="9" applyNumberFormat="1" applyBorder="1"/>
    <xf numFmtId="166" fontId="7" fillId="0" borderId="16" xfId="9" applyNumberFormat="1" applyBorder="1"/>
    <xf numFmtId="166" fontId="7" fillId="0" borderId="6" xfId="9" applyNumberFormat="1" applyBorder="1"/>
    <xf numFmtId="0" fontId="18" fillId="0" borderId="0" xfId="9" applyFont="1" applyAlignment="1">
      <alignment horizontal="right"/>
    </xf>
    <xf numFmtId="166" fontId="21" fillId="0" borderId="0" xfId="9" applyNumberFormat="1" applyFont="1"/>
    <xf numFmtId="165" fontId="21" fillId="0" borderId="8" xfId="9" applyNumberFormat="1" applyFont="1" applyBorder="1" applyAlignment="1">
      <alignment horizontal="center"/>
    </xf>
    <xf numFmtId="0" fontId="21" fillId="0" borderId="11" xfId="9" applyFont="1" applyBorder="1"/>
    <xf numFmtId="0" fontId="21" fillId="0" borderId="0" xfId="9" applyFont="1" applyAlignment="1">
      <alignment horizontal="center"/>
    </xf>
    <xf numFmtId="2" fontId="21" fillId="0" borderId="13" xfId="9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" xfId="0" applyBorder="1" applyAlignment="1">
      <alignment horizontal="center"/>
    </xf>
    <xf numFmtId="10" fontId="0" fillId="0" borderId="2" xfId="6" applyNumberFormat="1" applyFont="1" applyBorder="1" applyAlignment="1">
      <alignment horizontal="center"/>
    </xf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33" xfId="0" applyBorder="1" applyAlignment="1">
      <alignment horizontal="center"/>
    </xf>
    <xf numFmtId="9" fontId="0" fillId="0" borderId="34" xfId="6" applyFont="1" applyBorder="1" applyAlignment="1">
      <alignment horizontal="center"/>
    </xf>
    <xf numFmtId="0" fontId="0" fillId="0" borderId="35" xfId="0" applyBorder="1" applyAlignment="1">
      <alignment horizontal="center"/>
    </xf>
    <xf numFmtId="2" fontId="0" fillId="0" borderId="36" xfId="0" applyNumberFormat="1" applyBorder="1" applyAlignment="1">
      <alignment horizontal="center"/>
    </xf>
    <xf numFmtId="2" fontId="0" fillId="2" borderId="37" xfId="0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20" fontId="0" fillId="0" borderId="10" xfId="0" applyNumberFormat="1" applyBorder="1" applyAlignment="1">
      <alignment horizont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9" fontId="23" fillId="0" borderId="0" xfId="6" applyFont="1" applyFill="1" applyBorder="1" applyAlignment="1">
      <alignment horizontal="right" vertical="center" wrapText="1"/>
    </xf>
    <xf numFmtId="0" fontId="11" fillId="0" borderId="0" xfId="0" applyFont="1"/>
    <xf numFmtId="9" fontId="11" fillId="0" borderId="0" xfId="6" applyFont="1" applyAlignment="1">
      <alignment horizontal="right"/>
    </xf>
    <xf numFmtId="0" fontId="24" fillId="0" borderId="0" xfId="0" applyFont="1" applyAlignment="1">
      <alignment horizontal="right"/>
    </xf>
    <xf numFmtId="1" fontId="11" fillId="0" borderId="0" xfId="0" applyNumberFormat="1" applyFont="1" applyAlignment="1">
      <alignment horizontal="right"/>
    </xf>
    <xf numFmtId="0" fontId="24" fillId="0" borderId="0" xfId="0" applyFont="1" applyAlignment="1">
      <alignment horizontal="center" vertical="center"/>
    </xf>
    <xf numFmtId="0" fontId="11" fillId="0" borderId="0" xfId="0" applyFont="1" applyAlignment="1">
      <alignment horizontal="right"/>
    </xf>
    <xf numFmtId="0" fontId="24" fillId="0" borderId="0" xfId="0" applyFont="1" applyAlignment="1">
      <alignment horizontal="right" vertical="center"/>
    </xf>
    <xf numFmtId="165" fontId="11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wrapText="1"/>
    </xf>
    <xf numFmtId="1" fontId="11" fillId="0" borderId="0" xfId="0" applyNumberFormat="1" applyFont="1" applyAlignment="1">
      <alignment horizontal="right" vertical="center"/>
    </xf>
    <xf numFmtId="170" fontId="11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23" fillId="0" borderId="0" xfId="0" applyFont="1" applyAlignment="1">
      <alignment wrapText="1"/>
    </xf>
    <xf numFmtId="171" fontId="11" fillId="0" borderId="0" xfId="0" applyNumberFormat="1" applyFont="1" applyAlignment="1">
      <alignment horizontal="right" vertical="center"/>
    </xf>
    <xf numFmtId="2" fontId="11" fillId="0" borderId="0" xfId="0" applyNumberFormat="1" applyFont="1" applyAlignment="1">
      <alignment horizontal="right"/>
    </xf>
    <xf numFmtId="2" fontId="0" fillId="0" borderId="0" xfId="0" applyNumberFormat="1"/>
    <xf numFmtId="165" fontId="20" fillId="0" borderId="0" xfId="0" applyNumberFormat="1" applyFont="1"/>
    <xf numFmtId="0" fontId="0" fillId="0" borderId="21" xfId="0" applyBorder="1" applyAlignment="1">
      <alignment horizontal="center"/>
    </xf>
    <xf numFmtId="0" fontId="10" fillId="0" borderId="2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 wrapText="1"/>
    </xf>
    <xf numFmtId="0" fontId="0" fillId="0" borderId="7" xfId="0" applyBorder="1" applyAlignment="1">
      <alignment horizontal="center"/>
    </xf>
    <xf numFmtId="0" fontId="0" fillId="0" borderId="18" xfId="0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164" fontId="0" fillId="2" borderId="6" xfId="0" applyNumberFormat="1" applyFill="1" applyBorder="1"/>
    <xf numFmtId="0" fontId="14" fillId="0" borderId="0" xfId="22"/>
    <xf numFmtId="0" fontId="14" fillId="0" borderId="10" xfId="22" applyBorder="1"/>
    <xf numFmtId="0" fontId="0" fillId="0" borderId="10" xfId="0" applyBorder="1" applyAlignment="1">
      <alignment wrapText="1"/>
    </xf>
    <xf numFmtId="0" fontId="11" fillId="0" borderId="0" xfId="0" applyFont="1" applyAlignment="1">
      <alignment vertical="center"/>
    </xf>
    <xf numFmtId="0" fontId="30" fillId="0" borderId="10" xfId="0" applyFont="1" applyBorder="1" applyAlignment="1">
      <alignment vertical="center"/>
    </xf>
    <xf numFmtId="0" fontId="30" fillId="0" borderId="10" xfId="0" applyFont="1" applyBorder="1"/>
    <xf numFmtId="0" fontId="27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/>
    <xf numFmtId="0" fontId="33" fillId="0" borderId="10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27" xfId="0" applyBorder="1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0" fillId="0" borderId="28" xfId="0" applyBorder="1" applyAlignment="1">
      <alignment horizontal="center"/>
    </xf>
    <xf numFmtId="10" fontId="0" fillId="0" borderId="2" xfId="19" applyNumberFormat="1" applyFont="1" applyBorder="1" applyAlignment="1">
      <alignment horizontal="center"/>
    </xf>
    <xf numFmtId="9" fontId="0" fillId="0" borderId="34" xfId="19" applyFont="1" applyBorder="1" applyAlignment="1">
      <alignment horizontal="center"/>
    </xf>
    <xf numFmtId="168" fontId="6" fillId="0" borderId="10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" fillId="0" borderId="10" xfId="0" applyFont="1" applyBorder="1"/>
    <xf numFmtId="0" fontId="0" fillId="0" borderId="10" xfId="0" applyBorder="1" applyAlignment="1">
      <alignment horizontal="left"/>
    </xf>
    <xf numFmtId="1" fontId="0" fillId="0" borderId="0" xfId="0" applyNumberFormat="1"/>
    <xf numFmtId="0" fontId="0" fillId="0" borderId="10" xfId="0" applyBorder="1" applyAlignment="1">
      <alignment horizontal="right"/>
    </xf>
    <xf numFmtId="2" fontId="0" fillId="0" borderId="0" xfId="0" applyNumberFormat="1" applyAlignment="1">
      <alignment horizontal="center"/>
    </xf>
    <xf numFmtId="0" fontId="38" fillId="0" borderId="10" xfId="0" applyFont="1" applyBorder="1" applyAlignment="1">
      <alignment horizontal="left" vertical="center"/>
    </xf>
    <xf numFmtId="1" fontId="0" fillId="0" borderId="10" xfId="0" applyNumberFormat="1" applyBorder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23"/>
    <xf numFmtId="0" fontId="13" fillId="0" borderId="10" xfId="18" applyBorder="1"/>
    <xf numFmtId="0" fontId="37" fillId="0" borderId="3" xfId="23" applyFont="1" applyBorder="1" applyAlignment="1">
      <alignment horizontal="center"/>
    </xf>
    <xf numFmtId="0" fontId="1" fillId="0" borderId="3" xfId="23" applyBorder="1"/>
    <xf numFmtId="0" fontId="1" fillId="0" borderId="10" xfId="23" applyBorder="1" applyAlignment="1">
      <alignment horizontal="center"/>
    </xf>
    <xf numFmtId="0" fontId="1" fillId="0" borderId="4" xfId="23" applyBorder="1" applyAlignment="1">
      <alignment horizontal="center"/>
    </xf>
    <xf numFmtId="0" fontId="1" fillId="0" borderId="0" xfId="23" applyAlignment="1">
      <alignment horizontal="center"/>
    </xf>
    <xf numFmtId="0" fontId="1" fillId="0" borderId="5" xfId="23" applyBorder="1"/>
    <xf numFmtId="0" fontId="1" fillId="0" borderId="16" xfId="23" applyBorder="1" applyAlignment="1">
      <alignment horizontal="center"/>
    </xf>
    <xf numFmtId="0" fontId="1" fillId="0" borderId="6" xfId="23" applyBorder="1" applyAlignment="1">
      <alignment horizontal="center"/>
    </xf>
    <xf numFmtId="0" fontId="1" fillId="0" borderId="10" xfId="23" applyBorder="1"/>
    <xf numFmtId="2" fontId="1" fillId="0" borderId="10" xfId="23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Alignment="1">
      <alignment horizontal="right"/>
    </xf>
    <xf numFmtId="0" fontId="1" fillId="0" borderId="2" xfId="23" applyBorder="1" applyAlignment="1">
      <alignment horizontal="center"/>
    </xf>
    <xf numFmtId="0" fontId="37" fillId="0" borderId="10" xfId="23" applyFont="1" applyBorder="1" applyAlignment="1">
      <alignment horizontal="center"/>
    </xf>
    <xf numFmtId="0" fontId="1" fillId="0" borderId="3" xfId="23" applyBorder="1" applyAlignment="1">
      <alignment horizontal="left"/>
    </xf>
    <xf numFmtId="9" fontId="0" fillId="0" borderId="10" xfId="20" applyFont="1" applyBorder="1"/>
    <xf numFmtId="173" fontId="1" fillId="0" borderId="4" xfId="23" applyNumberFormat="1" applyBorder="1" applyAlignment="1">
      <alignment horizontal="center"/>
    </xf>
    <xf numFmtId="0" fontId="1" fillId="0" borderId="5" xfId="23" applyBorder="1" applyAlignment="1">
      <alignment horizontal="left"/>
    </xf>
    <xf numFmtId="9" fontId="0" fillId="0" borderId="16" xfId="20" applyFont="1" applyBorder="1"/>
    <xf numFmtId="173" fontId="1" fillId="0" borderId="6" xfId="23" applyNumberFormat="1" applyBorder="1" applyAlignment="1">
      <alignment horizontal="center"/>
    </xf>
    <xf numFmtId="1" fontId="1" fillId="0" borderId="0" xfId="23" applyNumberFormat="1"/>
    <xf numFmtId="173" fontId="1" fillId="0" borderId="10" xfId="23" applyNumberFormat="1" applyBorder="1" applyAlignment="1">
      <alignment horizontal="center"/>
    </xf>
    <xf numFmtId="0" fontId="1" fillId="0" borderId="0" xfId="23" applyAlignment="1">
      <alignment horizontal="center" vertical="center"/>
    </xf>
    <xf numFmtId="173" fontId="1" fillId="0" borderId="0" xfId="23" applyNumberFormat="1" applyAlignment="1">
      <alignment horizontal="center"/>
    </xf>
    <xf numFmtId="9" fontId="0" fillId="0" borderId="0" xfId="20" applyFont="1" applyFill="1" applyBorder="1" applyAlignment="1">
      <alignment horizontal="center"/>
    </xf>
    <xf numFmtId="165" fontId="1" fillId="0" borderId="0" xfId="23" applyNumberFormat="1"/>
    <xf numFmtId="4" fontId="1" fillId="0" borderId="0" xfId="23" applyNumberFormat="1"/>
    <xf numFmtId="174" fontId="1" fillId="0" borderId="0" xfId="23" applyNumberFormat="1"/>
    <xf numFmtId="173" fontId="1" fillId="0" borderId="0" xfId="23" applyNumberFormat="1"/>
    <xf numFmtId="0" fontId="41" fillId="0" borderId="10" xfId="23" applyFont="1" applyBorder="1"/>
    <xf numFmtId="0" fontId="41" fillId="0" borderId="10" xfId="23" applyFont="1" applyBorder="1" applyAlignment="1">
      <alignment horizontal="right"/>
    </xf>
    <xf numFmtId="0" fontId="36" fillId="0" borderId="0" xfId="23" applyFont="1"/>
    <xf numFmtId="0" fontId="42" fillId="0" borderId="10" xfId="23" applyFont="1" applyBorder="1" applyAlignment="1">
      <alignment horizontal="center"/>
    </xf>
    <xf numFmtId="0" fontId="36" fillId="0" borderId="10" xfId="23" applyFont="1" applyBorder="1"/>
    <xf numFmtId="0" fontId="36" fillId="0" borderId="10" xfId="23" applyFont="1" applyBorder="1" applyAlignment="1">
      <alignment horizontal="center"/>
    </xf>
    <xf numFmtId="0" fontId="36" fillId="0" borderId="0" xfId="23" applyFont="1" applyAlignment="1">
      <alignment horizontal="center"/>
    </xf>
    <xf numFmtId="0" fontId="44" fillId="0" borderId="0" xfId="23" applyFont="1"/>
    <xf numFmtId="2" fontId="36" fillId="0" borderId="10" xfId="23" applyNumberFormat="1" applyFont="1" applyBorder="1" applyAlignment="1">
      <alignment horizontal="center"/>
    </xf>
    <xf numFmtId="0" fontId="45" fillId="0" borderId="0" xfId="23" applyFont="1"/>
    <xf numFmtId="0" fontId="40" fillId="0" borderId="10" xfId="24" applyFont="1" applyBorder="1"/>
    <xf numFmtId="0" fontId="1" fillId="0" borderId="10" xfId="23" applyBorder="1" applyAlignment="1">
      <alignment horizontal="right"/>
    </xf>
    <xf numFmtId="1" fontId="36" fillId="0" borderId="0" xfId="23" applyNumberFormat="1" applyFont="1"/>
    <xf numFmtId="0" fontId="46" fillId="0" borderId="0" xfId="23" applyFont="1"/>
    <xf numFmtId="1" fontId="46" fillId="0" borderId="0" xfId="23" applyNumberFormat="1" applyFont="1"/>
    <xf numFmtId="0" fontId="36" fillId="0" borderId="0" xfId="23" applyFont="1" applyAlignment="1">
      <alignment horizontal="left"/>
    </xf>
    <xf numFmtId="0" fontId="1" fillId="0" borderId="0" xfId="23" applyAlignment="1">
      <alignment horizontal="left"/>
    </xf>
    <xf numFmtId="0" fontId="47" fillId="0" borderId="0" xfId="22" applyFont="1"/>
    <xf numFmtId="0" fontId="1" fillId="0" borderId="0" xfId="25"/>
    <xf numFmtId="0" fontId="45" fillId="0" borderId="3" xfId="25" applyFont="1" applyBorder="1" applyAlignment="1">
      <alignment horizontal="center" vertical="center"/>
    </xf>
    <xf numFmtId="0" fontId="45" fillId="0" borderId="10" xfId="25" applyFont="1" applyBorder="1" applyAlignment="1">
      <alignment horizontal="center" vertical="center"/>
    </xf>
    <xf numFmtId="0" fontId="35" fillId="0" borderId="10" xfId="25" applyFont="1" applyBorder="1"/>
    <xf numFmtId="0" fontId="35" fillId="0" borderId="4" xfId="25" applyFont="1" applyBorder="1"/>
    <xf numFmtId="0" fontId="35" fillId="0" borderId="3" xfId="25" applyFont="1" applyBorder="1" applyAlignment="1">
      <alignment horizontal="center" vertical="center"/>
    </xf>
    <xf numFmtId="0" fontId="35" fillId="0" borderId="10" xfId="25" applyFont="1" applyBorder="1" applyAlignment="1">
      <alignment wrapText="1"/>
    </xf>
    <xf numFmtId="0" fontId="35" fillId="0" borderId="5" xfId="25" applyFont="1" applyBorder="1" applyAlignment="1">
      <alignment horizontal="center" vertical="center"/>
    </xf>
    <xf numFmtId="0" fontId="35" fillId="0" borderId="16" xfId="25" applyFont="1" applyBorder="1"/>
    <xf numFmtId="0" fontId="35" fillId="0" borderId="6" xfId="25" applyFont="1" applyBorder="1"/>
    <xf numFmtId="0" fontId="35" fillId="0" borderId="44" xfId="25" applyFont="1" applyBorder="1"/>
    <xf numFmtId="0" fontId="20" fillId="0" borderId="0" xfId="0" applyFont="1"/>
    <xf numFmtId="0" fontId="14" fillId="0" borderId="10" xfId="22" applyBorder="1" applyAlignment="1">
      <alignment horizontal="center"/>
    </xf>
    <xf numFmtId="0" fontId="14" fillId="0" borderId="10" xfId="22" applyBorder="1" applyAlignment="1">
      <alignment horizontal="left"/>
    </xf>
    <xf numFmtId="0" fontId="14" fillId="0" borderId="0" xfId="22" applyAlignment="1">
      <alignment horizontal="center"/>
    </xf>
    <xf numFmtId="175" fontId="14" fillId="0" borderId="0" xfId="22" applyNumberFormat="1"/>
    <xf numFmtId="0" fontId="49" fillId="0" borderId="0" xfId="22" applyFont="1"/>
    <xf numFmtId="10" fontId="0" fillId="0" borderId="0" xfId="26" applyNumberFormat="1" applyFont="1"/>
    <xf numFmtId="10" fontId="14" fillId="0" borderId="0" xfId="22" applyNumberFormat="1"/>
    <xf numFmtId="0" fontId="14" fillId="0" borderId="35" xfId="22" applyBorder="1" applyAlignment="1">
      <alignment horizontal="center" vertical="center" wrapText="1"/>
    </xf>
    <xf numFmtId="0" fontId="14" fillId="0" borderId="36" xfId="22" applyBorder="1" applyAlignment="1">
      <alignment horizontal="center" vertical="center" wrapText="1"/>
    </xf>
    <xf numFmtId="0" fontId="14" fillId="0" borderId="37" xfId="22" applyBorder="1" applyAlignment="1">
      <alignment horizontal="center" vertical="center" wrapText="1"/>
    </xf>
    <xf numFmtId="0" fontId="14" fillId="0" borderId="22" xfId="22" applyBorder="1" applyAlignment="1">
      <alignment horizontal="center" vertical="center"/>
    </xf>
    <xf numFmtId="0" fontId="14" fillId="0" borderId="49" xfId="22" applyBorder="1" applyAlignment="1">
      <alignment horizontal="center" vertical="center"/>
    </xf>
    <xf numFmtId="0" fontId="14" fillId="0" borderId="50" xfId="22" applyBorder="1" applyAlignment="1">
      <alignment horizontal="center" vertical="center"/>
    </xf>
    <xf numFmtId="0" fontId="14" fillId="0" borderId="0" xfId="22" applyAlignment="1">
      <alignment horizontal="center" vertical="center"/>
    </xf>
    <xf numFmtId="0" fontId="14" fillId="0" borderId="12" xfId="22" applyBorder="1" applyAlignment="1">
      <alignment horizontal="center" vertical="center"/>
    </xf>
    <xf numFmtId="0" fontId="14" fillId="0" borderId="9" xfId="22" applyBorder="1" applyAlignment="1">
      <alignment horizontal="center" vertical="center"/>
    </xf>
    <xf numFmtId="0" fontId="6" fillId="3" borderId="42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51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20" fillId="6" borderId="0" xfId="0" applyFont="1" applyFill="1" applyAlignment="1">
      <alignment horizontal="center"/>
    </xf>
    <xf numFmtId="0" fontId="50" fillId="6" borderId="0" xfId="0" applyFont="1" applyFill="1" applyAlignment="1">
      <alignment horizontal="center"/>
    </xf>
    <xf numFmtId="0" fontId="50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left"/>
    </xf>
    <xf numFmtId="0" fontId="6" fillId="0" borderId="17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37" fillId="4" borderId="1" xfId="23" applyFont="1" applyFill="1" applyBorder="1" applyAlignment="1">
      <alignment horizontal="center"/>
    </xf>
    <xf numFmtId="0" fontId="37" fillId="4" borderId="14" xfId="23" applyFont="1" applyFill="1" applyBorder="1" applyAlignment="1">
      <alignment horizontal="center"/>
    </xf>
    <xf numFmtId="0" fontId="37" fillId="4" borderId="2" xfId="23" applyFont="1" applyFill="1" applyBorder="1" applyAlignment="1">
      <alignment horizontal="center"/>
    </xf>
    <xf numFmtId="0" fontId="39" fillId="0" borderId="17" xfId="23" applyFont="1" applyBorder="1" applyAlignment="1">
      <alignment horizontal="center"/>
    </xf>
    <xf numFmtId="0" fontId="37" fillId="0" borderId="21" xfId="23" applyFont="1" applyBorder="1" applyAlignment="1">
      <alignment horizontal="center"/>
    </xf>
    <xf numFmtId="0" fontId="37" fillId="0" borderId="46" xfId="23" applyFont="1" applyBorder="1" applyAlignment="1">
      <alignment horizontal="center"/>
    </xf>
    <xf numFmtId="0" fontId="37" fillId="5" borderId="10" xfId="23" applyFont="1" applyFill="1" applyBorder="1" applyAlignment="1">
      <alignment horizontal="center"/>
    </xf>
    <xf numFmtId="0" fontId="1" fillId="0" borderId="23" xfId="23" applyBorder="1" applyAlignment="1">
      <alignment horizontal="center"/>
    </xf>
    <xf numFmtId="0" fontId="1" fillId="0" borderId="47" xfId="23" applyBorder="1" applyAlignment="1">
      <alignment horizontal="center"/>
    </xf>
    <xf numFmtId="0" fontId="37" fillId="0" borderId="15" xfId="23" applyFont="1" applyBorder="1" applyAlignment="1">
      <alignment horizontal="center"/>
    </xf>
    <xf numFmtId="0" fontId="1" fillId="0" borderId="10" xfId="23" applyBorder="1" applyAlignment="1">
      <alignment horizontal="center"/>
    </xf>
    <xf numFmtId="0" fontId="40" fillId="0" borderId="10" xfId="24" applyFont="1" applyBorder="1" applyAlignment="1">
      <alignment horizontal="center" vertical="center"/>
    </xf>
    <xf numFmtId="0" fontId="42" fillId="5" borderId="10" xfId="23" applyFont="1" applyFill="1" applyBorder="1" applyAlignment="1">
      <alignment horizontal="center"/>
    </xf>
    <xf numFmtId="0" fontId="43" fillId="0" borderId="17" xfId="23" applyFont="1" applyBorder="1" applyAlignment="1">
      <alignment horizontal="center"/>
    </xf>
    <xf numFmtId="0" fontId="42" fillId="0" borderId="21" xfId="23" applyFont="1" applyBorder="1" applyAlignment="1">
      <alignment horizontal="center"/>
    </xf>
    <xf numFmtId="0" fontId="42" fillId="0" borderId="15" xfId="23" applyFont="1" applyBorder="1" applyAlignment="1">
      <alignment horizontal="center"/>
    </xf>
    <xf numFmtId="0" fontId="40" fillId="0" borderId="10" xfId="24" applyFont="1" applyBorder="1" applyAlignment="1">
      <alignment horizontal="left"/>
    </xf>
    <xf numFmtId="0" fontId="30" fillId="0" borderId="1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45" fillId="0" borderId="23" xfId="25" applyFont="1" applyBorder="1" applyAlignment="1">
      <alignment horizontal="center"/>
    </xf>
    <xf numFmtId="0" fontId="45" fillId="0" borderId="47" xfId="25" applyFont="1" applyBorder="1" applyAlignment="1">
      <alignment horizontal="center"/>
    </xf>
    <xf numFmtId="0" fontId="45" fillId="0" borderId="14" xfId="25" applyFont="1" applyBorder="1" applyAlignment="1">
      <alignment horizontal="center"/>
    </xf>
    <xf numFmtId="0" fontId="45" fillId="0" borderId="2" xfId="25" applyFont="1" applyBorder="1" applyAlignment="1">
      <alignment horizontal="center"/>
    </xf>
    <xf numFmtId="0" fontId="48" fillId="0" borderId="48" xfId="25" applyFont="1" applyBorder="1" applyAlignment="1">
      <alignment horizontal="center" wrapText="1"/>
    </xf>
    <xf numFmtId="0" fontId="48" fillId="0" borderId="0" xfId="25" applyFont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1" xfId="0" applyBorder="1" applyAlignment="1">
      <alignment horizontal="center"/>
    </xf>
    <xf numFmtId="9" fontId="0" fillId="0" borderId="17" xfId="6" applyFont="1" applyBorder="1" applyAlignment="1">
      <alignment horizontal="center"/>
    </xf>
    <xf numFmtId="9" fontId="0" fillId="0" borderId="15" xfId="6" applyFont="1" applyBorder="1" applyAlignment="1">
      <alignment horizontal="center"/>
    </xf>
    <xf numFmtId="0" fontId="6" fillId="2" borderId="17" xfId="0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1" fontId="6" fillId="2" borderId="17" xfId="0" applyNumberFormat="1" applyFont="1" applyFill="1" applyBorder="1" applyAlignment="1">
      <alignment horizontal="center"/>
    </xf>
    <xf numFmtId="1" fontId="6" fillId="2" borderId="15" xfId="0" applyNumberFormat="1" applyFont="1" applyFill="1" applyBorder="1" applyAlignment="1">
      <alignment horizontal="center"/>
    </xf>
    <xf numFmtId="0" fontId="18" fillId="0" borderId="22" xfId="9" applyFont="1" applyBorder="1" applyAlignment="1">
      <alignment horizontal="center" vertical="center"/>
    </xf>
    <xf numFmtId="0" fontId="18" fillId="0" borderId="26" xfId="9" applyFont="1" applyBorder="1" applyAlignment="1">
      <alignment horizontal="center" vertical="center"/>
    </xf>
    <xf numFmtId="0" fontId="18" fillId="0" borderId="23" xfId="9" applyFont="1" applyBorder="1" applyAlignment="1">
      <alignment horizontal="center"/>
    </xf>
    <xf numFmtId="0" fontId="18" fillId="0" borderId="24" xfId="9" applyFont="1" applyBorder="1" applyAlignment="1">
      <alignment horizontal="center"/>
    </xf>
    <xf numFmtId="0" fontId="18" fillId="0" borderId="25" xfId="9" applyFont="1" applyBorder="1" applyAlignment="1">
      <alignment horizontal="center"/>
    </xf>
    <xf numFmtId="0" fontId="21" fillId="0" borderId="13" xfId="9" applyFont="1" applyBorder="1" applyAlignment="1">
      <alignment horizontal="center"/>
    </xf>
    <xf numFmtId="0" fontId="21" fillId="0" borderId="8" xfId="9" applyFont="1" applyBorder="1" applyAlignment="1">
      <alignment horizontal="center"/>
    </xf>
    <xf numFmtId="0" fontId="21" fillId="0" borderId="11" xfId="9" applyFont="1" applyBorder="1" applyAlignment="1">
      <alignment horizontal="center"/>
    </xf>
    <xf numFmtId="0" fontId="18" fillId="0" borderId="10" xfId="9" applyFont="1" applyBorder="1" applyAlignment="1">
      <alignment horizontal="center" vertical="center"/>
    </xf>
    <xf numFmtId="0" fontId="18" fillId="0" borderId="10" xfId="9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22" fillId="2" borderId="1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0" fillId="0" borderId="19" xfId="0" applyBorder="1" applyAlignment="1">
      <alignment horizontal="center"/>
    </xf>
    <xf numFmtId="0" fontId="34" fillId="0" borderId="39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40" xfId="0" applyFont="1" applyBorder="1" applyAlignment="1">
      <alignment horizontal="center" vertical="center"/>
    </xf>
    <xf numFmtId="0" fontId="34" fillId="0" borderId="41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36" fillId="2" borderId="10" xfId="0" applyFont="1" applyFill="1" applyBorder="1" applyAlignment="1">
      <alignment horizontal="center" vertical="center"/>
    </xf>
    <xf numFmtId="2" fontId="0" fillId="2" borderId="10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35" fillId="0" borderId="43" xfId="0" applyFont="1" applyBorder="1" applyAlignment="1">
      <alignment horizontal="center" vertical="center" wrapText="1"/>
    </xf>
    <xf numFmtId="0" fontId="35" fillId="0" borderId="45" xfId="0" applyFont="1" applyBorder="1" applyAlignment="1">
      <alignment horizontal="center" vertical="center" wrapText="1"/>
    </xf>
    <xf numFmtId="0" fontId="35" fillId="0" borderId="44" xfId="0" applyFont="1" applyBorder="1" applyAlignment="1">
      <alignment horizontal="center" vertical="center" wrapText="1"/>
    </xf>
    <xf numFmtId="2" fontId="0" fillId="2" borderId="16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</cellXfs>
  <cellStyles count="27">
    <cellStyle name="Comma 2" xfId="2" xr:uid="{00000000-0005-0000-0000-000000000000}"/>
    <cellStyle name="Comma 2 2" xfId="5" xr:uid="{00000000-0005-0000-0000-000001000000}"/>
    <cellStyle name="Comma 3" xfId="4" xr:uid="{00000000-0005-0000-0000-000002000000}"/>
    <cellStyle name="Currency 2" xfId="16" xr:uid="{00000000-0005-0000-0000-000003000000}"/>
    <cellStyle name="Followed Hyperlink" xfId="11" builtinId="9" hidden="1"/>
    <cellStyle name="Followed Hyperlink" xfId="13" builtinId="9" hidden="1"/>
    <cellStyle name="Followed Hyperlink" xfId="15" builtinId="9" hidden="1"/>
    <cellStyle name="Hyperlink" xfId="10" builtinId="8" hidden="1"/>
    <cellStyle name="Hyperlink" xfId="12" builtinId="8" hidden="1"/>
    <cellStyle name="Hyperlink" xfId="14" builtinId="8" hidden="1"/>
    <cellStyle name="Normal" xfId="0" builtinId="0"/>
    <cellStyle name="Normal 2" xfId="1" xr:uid="{00000000-0005-0000-0000-00000B000000}"/>
    <cellStyle name="Normal 2 2" xfId="17" xr:uid="{00000000-0005-0000-0000-00000C000000}"/>
    <cellStyle name="Normal 2 2 2" xfId="24" xr:uid="{99FC6AB4-1531-814C-9B6C-511E17A2F465}"/>
    <cellStyle name="Normal 2 3" xfId="18" xr:uid="{00000000-0005-0000-0000-00000D000000}"/>
    <cellStyle name="Normal 3" xfId="3" xr:uid="{00000000-0005-0000-0000-00000E000000}"/>
    <cellStyle name="Normal 3 2" xfId="9" xr:uid="{00000000-0005-0000-0000-00000F000000}"/>
    <cellStyle name="Normal 3 3" xfId="22" xr:uid="{00000000-0005-0000-0000-000010000000}"/>
    <cellStyle name="Normal 4" xfId="7" xr:uid="{00000000-0005-0000-0000-000011000000}"/>
    <cellStyle name="Normal 4 2" xfId="25" xr:uid="{422E1CE8-168A-6C46-8036-A6581F4DD864}"/>
    <cellStyle name="Normal 5" xfId="23" xr:uid="{7BD425FA-26E9-F34D-86B3-0500D1664D72}"/>
    <cellStyle name="Percent" xfId="6" builtinId="5"/>
    <cellStyle name="Percent 2" xfId="8" xr:uid="{00000000-0005-0000-0000-000013000000}"/>
    <cellStyle name="Percent 2 2" xfId="21" xr:uid="{00000000-0005-0000-0000-000014000000}"/>
    <cellStyle name="Percent 3" xfId="19" xr:uid="{00000000-0005-0000-0000-000015000000}"/>
    <cellStyle name="Percent 4" xfId="20" xr:uid="{00000000-0005-0000-0000-000016000000}"/>
    <cellStyle name="Percent 5" xfId="26" xr:uid="{A9EBA34E-6A96-8548-B1D3-E00B86D7264C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254000</xdr:colOff>
      <xdr:row>49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3500" cy="938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1</xdr:row>
      <xdr:rowOff>0</xdr:rowOff>
    </xdr:from>
    <xdr:to>
      <xdr:col>6</xdr:col>
      <xdr:colOff>259612</xdr:colOff>
      <xdr:row>14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8500" y="190500"/>
          <a:ext cx="3790212" cy="2603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0</xdr:colOff>
      <xdr:row>8</xdr:row>
      <xdr:rowOff>133350</xdr:rowOff>
    </xdr:to>
    <xdr:pic>
      <xdr:nvPicPr>
        <xdr:cNvPr id="2" name="Picture 1" descr="ism_ch09_MS-7">
          <a:extLst>
            <a:ext uri="{FF2B5EF4-FFF2-40B4-BE49-F238E27FC236}">
              <a16:creationId xmlns:a16="http://schemas.microsoft.com/office/drawing/2014/main" id="{6D4D2C3D-F209-1647-BEA0-A5E42B798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0" y="190500"/>
          <a:ext cx="40640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82550</xdr:rowOff>
    </xdr:from>
    <xdr:to>
      <xdr:col>7</xdr:col>
      <xdr:colOff>1044575</xdr:colOff>
      <xdr:row>6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BC218-F2C2-7147-9B40-AD84CE398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4600" y="488950"/>
          <a:ext cx="1044575" cy="89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282040</xdr:colOff>
      <xdr:row>0</xdr:row>
      <xdr:rowOff>139700</xdr:rowOff>
    </xdr:from>
    <xdr:to>
      <xdr:col>6</xdr:col>
      <xdr:colOff>747486</xdr:colOff>
      <xdr:row>23</xdr:row>
      <xdr:rowOff>133295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59B93-90C7-094E-AF36-FEB4C078C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040" y="139700"/>
          <a:ext cx="6269346" cy="47052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146049</xdr:colOff>
      <xdr:row>2</xdr:row>
      <xdr:rowOff>85725</xdr:rowOff>
    </xdr:from>
    <xdr:to>
      <xdr:col>3</xdr:col>
      <xdr:colOff>479838</xdr:colOff>
      <xdr:row>2</xdr:row>
      <xdr:rowOff>285750</xdr:rowOff>
    </xdr:to>
    <xdr:sp macro="" textlink="">
      <xdr:nvSpPr>
        <xdr:cNvPr id="2" name="1 Proces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623049" y="568325"/>
          <a:ext cx="333789" cy="200025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4</xdr:col>
      <xdr:colOff>168274</xdr:colOff>
      <xdr:row>2</xdr:row>
      <xdr:rowOff>47625</xdr:rowOff>
    </xdr:from>
    <xdr:to>
      <xdr:col>4</xdr:col>
      <xdr:colOff>431465</xdr:colOff>
      <xdr:row>2</xdr:row>
      <xdr:rowOff>295275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470774" y="530225"/>
          <a:ext cx="263191" cy="247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206375</xdr:colOff>
      <xdr:row>2</xdr:row>
      <xdr:rowOff>76201</xdr:rowOff>
    </xdr:from>
    <xdr:to>
      <xdr:col>5</xdr:col>
      <xdr:colOff>469566</xdr:colOff>
      <xdr:row>2</xdr:row>
      <xdr:rowOff>273425</xdr:rowOff>
    </xdr:to>
    <xdr:sp macro="" textlink="">
      <xdr:nvSpPr>
        <xdr:cNvPr id="4" name="3 Retras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8334375" y="558801"/>
          <a:ext cx="263191" cy="197224"/>
        </a:xfrm>
        <a:prstGeom prst="flowChartDela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6</xdr:col>
      <xdr:colOff>184150</xdr:colOff>
      <xdr:row>2</xdr:row>
      <xdr:rowOff>66675</xdr:rowOff>
    </xdr:from>
    <xdr:to>
      <xdr:col>6</xdr:col>
      <xdr:colOff>512989</xdr:colOff>
      <xdr:row>2</xdr:row>
      <xdr:rowOff>295275</xdr:rowOff>
    </xdr:to>
    <xdr:sp macro="" textlink="">
      <xdr:nvSpPr>
        <xdr:cNvPr id="5" name="4 Flecha derecha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9137650" y="549275"/>
          <a:ext cx="328839" cy="2286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127000</xdr:colOff>
      <xdr:row>2</xdr:row>
      <xdr:rowOff>85726</xdr:rowOff>
    </xdr:from>
    <xdr:to>
      <xdr:col>7</xdr:col>
      <xdr:colOff>450022</xdr:colOff>
      <xdr:row>2</xdr:row>
      <xdr:rowOff>304800</xdr:rowOff>
    </xdr:to>
    <xdr:sp macro="" textlink="">
      <xdr:nvSpPr>
        <xdr:cNvPr id="6" name="5 Combinar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9906000" y="568326"/>
          <a:ext cx="323022" cy="219074"/>
        </a:xfrm>
        <a:prstGeom prst="flowChartMer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4</xdr:col>
      <xdr:colOff>314324</xdr:colOff>
      <xdr:row>3</xdr:row>
      <xdr:rowOff>66677</xdr:rowOff>
    </xdr:from>
    <xdr:to>
      <xdr:col>4</xdr:col>
      <xdr:colOff>314326</xdr:colOff>
      <xdr:row>4</xdr:row>
      <xdr:rowOff>83114</xdr:rowOff>
    </xdr:to>
    <xdr:cxnSp macro="">
      <xdr:nvCxnSpPr>
        <xdr:cNvPr id="7" name="10 Conector recto de flecha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rot="16200000" flipH="1">
          <a:off x="7519706" y="1027395"/>
          <a:ext cx="194237" cy="2"/>
        </a:xfrm>
        <a:prstGeom prst="straightConnector1">
          <a:avLst/>
        </a:prstGeom>
        <a:ln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314325</xdr:colOff>
      <xdr:row>4</xdr:row>
      <xdr:rowOff>104775</xdr:rowOff>
    </xdr:from>
    <xdr:to>
      <xdr:col>5</xdr:col>
      <xdr:colOff>304800</xdr:colOff>
      <xdr:row>5</xdr:row>
      <xdr:rowOff>83230</xdr:rowOff>
    </xdr:to>
    <xdr:cxnSp macro="">
      <xdr:nvCxnSpPr>
        <xdr:cNvPr id="8" name="24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7616825" y="1146175"/>
          <a:ext cx="815975" cy="156255"/>
        </a:xfrm>
        <a:prstGeom prst="line">
          <a:avLst/>
        </a:prstGeom>
        <a:ln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5</xdr:row>
      <xdr:rowOff>104774</xdr:rowOff>
    </xdr:from>
    <xdr:to>
      <xdr:col>6</xdr:col>
      <xdr:colOff>333375</xdr:colOff>
      <xdr:row>6</xdr:row>
      <xdr:rowOff>104775</xdr:rowOff>
    </xdr:to>
    <xdr:cxnSp macro="">
      <xdr:nvCxnSpPr>
        <xdr:cNvPr id="9" name="25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8442325" y="1323974"/>
          <a:ext cx="844550" cy="177801"/>
        </a:xfrm>
        <a:prstGeom prst="line">
          <a:avLst/>
        </a:prstGeom>
        <a:ln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361951</xdr:colOff>
      <xdr:row>6</xdr:row>
      <xdr:rowOff>101599</xdr:rowOff>
    </xdr:from>
    <xdr:to>
      <xdr:col>7</xdr:col>
      <xdr:colOff>266700</xdr:colOff>
      <xdr:row>7</xdr:row>
      <xdr:rowOff>120653</xdr:rowOff>
    </xdr:to>
    <xdr:cxnSp macro="">
      <xdr:nvCxnSpPr>
        <xdr:cNvPr id="10" name="28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9315451" y="1498599"/>
          <a:ext cx="730249" cy="196854"/>
        </a:xfrm>
        <a:prstGeom prst="line">
          <a:avLst/>
        </a:prstGeom>
        <a:ln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146049</xdr:colOff>
      <xdr:row>11</xdr:row>
      <xdr:rowOff>85725</xdr:rowOff>
    </xdr:from>
    <xdr:to>
      <xdr:col>3</xdr:col>
      <xdr:colOff>479838</xdr:colOff>
      <xdr:row>11</xdr:row>
      <xdr:rowOff>285750</xdr:rowOff>
    </xdr:to>
    <xdr:sp macro="" textlink="">
      <xdr:nvSpPr>
        <xdr:cNvPr id="11" name="34 Proces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6623049" y="2422525"/>
          <a:ext cx="333789" cy="200025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4</xdr:col>
      <xdr:colOff>168274</xdr:colOff>
      <xdr:row>11</xdr:row>
      <xdr:rowOff>47625</xdr:rowOff>
    </xdr:from>
    <xdr:to>
      <xdr:col>4</xdr:col>
      <xdr:colOff>431465</xdr:colOff>
      <xdr:row>11</xdr:row>
      <xdr:rowOff>295275</xdr:rowOff>
    </xdr:to>
    <xdr:sp macro="" textlink="">
      <xdr:nvSpPr>
        <xdr:cNvPr id="12" name="35 Elips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7470774" y="2384425"/>
          <a:ext cx="263191" cy="247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206375</xdr:colOff>
      <xdr:row>11</xdr:row>
      <xdr:rowOff>76201</xdr:rowOff>
    </xdr:from>
    <xdr:to>
      <xdr:col>5</xdr:col>
      <xdr:colOff>469566</xdr:colOff>
      <xdr:row>11</xdr:row>
      <xdr:rowOff>273425</xdr:rowOff>
    </xdr:to>
    <xdr:sp macro="" textlink="">
      <xdr:nvSpPr>
        <xdr:cNvPr id="13" name="36 Retras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8334375" y="2413001"/>
          <a:ext cx="263191" cy="197224"/>
        </a:xfrm>
        <a:prstGeom prst="flowChartDela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6</xdr:col>
      <xdr:colOff>184150</xdr:colOff>
      <xdr:row>11</xdr:row>
      <xdr:rowOff>66675</xdr:rowOff>
    </xdr:from>
    <xdr:to>
      <xdr:col>6</xdr:col>
      <xdr:colOff>512989</xdr:colOff>
      <xdr:row>11</xdr:row>
      <xdr:rowOff>295275</xdr:rowOff>
    </xdr:to>
    <xdr:sp macro="" textlink="">
      <xdr:nvSpPr>
        <xdr:cNvPr id="14" name="37 Flecha derecha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9137650" y="2403475"/>
          <a:ext cx="328839" cy="2286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127000</xdr:colOff>
      <xdr:row>11</xdr:row>
      <xdr:rowOff>85726</xdr:rowOff>
    </xdr:from>
    <xdr:to>
      <xdr:col>7</xdr:col>
      <xdr:colOff>450022</xdr:colOff>
      <xdr:row>11</xdr:row>
      <xdr:rowOff>304800</xdr:rowOff>
    </xdr:to>
    <xdr:sp macro="" textlink="">
      <xdr:nvSpPr>
        <xdr:cNvPr id="15" name="38 Combinar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9906000" y="2422526"/>
          <a:ext cx="323022" cy="219074"/>
        </a:xfrm>
        <a:prstGeom prst="flowChartMer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3</xdr:col>
      <xdr:colOff>273051</xdr:colOff>
      <xdr:row>12</xdr:row>
      <xdr:rowOff>82549</xdr:rowOff>
    </xdr:from>
    <xdr:to>
      <xdr:col>4</xdr:col>
      <xdr:colOff>314392</xdr:colOff>
      <xdr:row>13</xdr:row>
      <xdr:rowOff>76733</xdr:rowOff>
    </xdr:to>
    <xdr:cxnSp macro="">
      <xdr:nvCxnSpPr>
        <xdr:cNvPr id="16" name="39 Conector recto de flecha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 rot="10800000" flipV="1">
          <a:off x="6750051" y="2762249"/>
          <a:ext cx="866841" cy="171984"/>
        </a:xfrm>
        <a:prstGeom prst="straightConnector1">
          <a:avLst/>
        </a:prstGeom>
        <a:ln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263525</xdr:colOff>
      <xdr:row>13</xdr:row>
      <xdr:rowOff>66675</xdr:rowOff>
    </xdr:from>
    <xdr:to>
      <xdr:col>4</xdr:col>
      <xdr:colOff>346324</xdr:colOff>
      <xdr:row>14</xdr:row>
      <xdr:rowOff>83110</xdr:rowOff>
    </xdr:to>
    <xdr:cxnSp macro="">
      <xdr:nvCxnSpPr>
        <xdr:cNvPr id="17" name="43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740525" y="2924175"/>
          <a:ext cx="908299" cy="194235"/>
        </a:xfrm>
        <a:prstGeom prst="line">
          <a:avLst/>
        </a:prstGeom>
        <a:ln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346076</xdr:colOff>
      <xdr:row>14</xdr:row>
      <xdr:rowOff>104776</xdr:rowOff>
    </xdr:from>
    <xdr:to>
      <xdr:col>6</xdr:col>
      <xdr:colOff>362045</xdr:colOff>
      <xdr:row>15</xdr:row>
      <xdr:rowOff>73516</xdr:rowOff>
    </xdr:to>
    <xdr:cxnSp macro="">
      <xdr:nvCxnSpPr>
        <xdr:cNvPr id="18" name="46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7648576" y="3140076"/>
          <a:ext cx="1666969" cy="146540"/>
        </a:xfrm>
        <a:prstGeom prst="line">
          <a:avLst/>
        </a:prstGeom>
        <a:ln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355602</xdr:colOff>
      <xdr:row>15</xdr:row>
      <xdr:rowOff>73028</xdr:rowOff>
    </xdr:from>
    <xdr:to>
      <xdr:col>6</xdr:col>
      <xdr:colOff>362018</xdr:colOff>
      <xdr:row>16</xdr:row>
      <xdr:rowOff>67203</xdr:rowOff>
    </xdr:to>
    <xdr:cxnSp macro="">
      <xdr:nvCxnSpPr>
        <xdr:cNvPr id="19" name="49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/>
      </xdr:nvCxnSpPr>
      <xdr:spPr>
        <a:xfrm rot="10800000" flipV="1">
          <a:off x="7658102" y="3286128"/>
          <a:ext cx="1657416" cy="171975"/>
        </a:xfrm>
        <a:prstGeom prst="line">
          <a:avLst/>
        </a:prstGeom>
        <a:ln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346076</xdr:colOff>
      <xdr:row>16</xdr:row>
      <xdr:rowOff>104776</xdr:rowOff>
    </xdr:from>
    <xdr:to>
      <xdr:col>6</xdr:col>
      <xdr:colOff>362045</xdr:colOff>
      <xdr:row>17</xdr:row>
      <xdr:rowOff>73516</xdr:rowOff>
    </xdr:to>
    <xdr:cxnSp macro="">
      <xdr:nvCxnSpPr>
        <xdr:cNvPr id="20" name="52 Conector recto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7648576" y="3495676"/>
          <a:ext cx="1666969" cy="146540"/>
        </a:xfrm>
        <a:prstGeom prst="line">
          <a:avLst/>
        </a:prstGeom>
        <a:ln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3</xdr:row>
      <xdr:rowOff>130175</xdr:rowOff>
    </xdr:from>
    <xdr:to>
      <xdr:col>11</xdr:col>
      <xdr:colOff>266700</xdr:colOff>
      <xdr:row>3</xdr:row>
      <xdr:rowOff>244475</xdr:rowOff>
    </xdr:to>
    <xdr:sp macro="" textlink="">
      <xdr:nvSpPr>
        <xdr:cNvPr id="2" name="Flowchart: Connector 6">
          <a:extLst>
            <a:ext uri="{FF2B5EF4-FFF2-40B4-BE49-F238E27FC236}">
              <a16:creationId xmlns:a16="http://schemas.microsoft.com/office/drawing/2014/main" id="{4BE477CC-2246-FF4B-AB0B-03D3BF555C00}"/>
            </a:ext>
          </a:extLst>
        </xdr:cNvPr>
        <xdr:cNvSpPr/>
      </xdr:nvSpPr>
      <xdr:spPr>
        <a:xfrm>
          <a:off x="12776200" y="1057275"/>
          <a:ext cx="114300" cy="114300"/>
        </a:xfrm>
        <a:prstGeom prst="flowChartConnector">
          <a:avLst/>
        </a:prstGeom>
        <a:ln w="19050" cmpd="sng">
          <a:solidFill>
            <a:schemeClr val="tx1"/>
          </a:solidFill>
        </a:ln>
        <a:effec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95250</xdr:colOff>
      <xdr:row>3</xdr:row>
      <xdr:rowOff>117475</xdr:rowOff>
    </xdr:from>
    <xdr:to>
      <xdr:col>12</xdr:col>
      <xdr:colOff>276225</xdr:colOff>
      <xdr:row>3</xdr:row>
      <xdr:rowOff>260350</xdr:rowOff>
    </xdr:to>
    <xdr:sp macro="" textlink="">
      <xdr:nvSpPr>
        <xdr:cNvPr id="3" name="Arrow: Right 7">
          <a:extLst>
            <a:ext uri="{FF2B5EF4-FFF2-40B4-BE49-F238E27FC236}">
              <a16:creationId xmlns:a16="http://schemas.microsoft.com/office/drawing/2014/main" id="{8F651A4C-ADEB-EB47-B02B-656465D4673C}"/>
            </a:ext>
          </a:extLst>
        </xdr:cNvPr>
        <xdr:cNvSpPr/>
      </xdr:nvSpPr>
      <xdr:spPr>
        <a:xfrm>
          <a:off x="13214350" y="1044575"/>
          <a:ext cx="180975" cy="142875"/>
        </a:xfrm>
        <a:prstGeom prst="rightArrow">
          <a:avLst/>
        </a:prstGeom>
        <a:ln w="19050" cmpd="sng">
          <a:solidFill>
            <a:srgbClr val="000000"/>
          </a:solidFill>
        </a:ln>
        <a:effec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184150</xdr:colOff>
      <xdr:row>3</xdr:row>
      <xdr:rowOff>120650</xdr:rowOff>
    </xdr:from>
    <xdr:to>
      <xdr:col>13</xdr:col>
      <xdr:colOff>269875</xdr:colOff>
      <xdr:row>3</xdr:row>
      <xdr:rowOff>273050</xdr:rowOff>
    </xdr:to>
    <xdr:sp macro="" textlink="">
      <xdr:nvSpPr>
        <xdr:cNvPr id="4" name="Flowchart: Delay 8">
          <a:extLst>
            <a:ext uri="{FF2B5EF4-FFF2-40B4-BE49-F238E27FC236}">
              <a16:creationId xmlns:a16="http://schemas.microsoft.com/office/drawing/2014/main" id="{AC87F6F5-A14C-6947-92F0-E21311D1F5A0}"/>
            </a:ext>
          </a:extLst>
        </xdr:cNvPr>
        <xdr:cNvSpPr/>
      </xdr:nvSpPr>
      <xdr:spPr>
        <a:xfrm>
          <a:off x="13862050" y="1047750"/>
          <a:ext cx="85725" cy="152400"/>
        </a:xfrm>
        <a:prstGeom prst="flowChartDelay">
          <a:avLst/>
        </a:prstGeom>
        <a:ln w="19050" cmpd="sng">
          <a:solidFill>
            <a:srgbClr val="000000"/>
          </a:solidFill>
        </a:ln>
        <a:effec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152399</xdr:colOff>
      <xdr:row>3</xdr:row>
      <xdr:rowOff>152400</xdr:rowOff>
    </xdr:from>
    <xdr:to>
      <xdr:col>14</xdr:col>
      <xdr:colOff>276224</xdr:colOff>
      <xdr:row>3</xdr:row>
      <xdr:rowOff>257175</xdr:rowOff>
    </xdr:to>
    <xdr:sp macro="" textlink="">
      <xdr:nvSpPr>
        <xdr:cNvPr id="5" name="Flowchart: Process 9">
          <a:extLst>
            <a:ext uri="{FF2B5EF4-FFF2-40B4-BE49-F238E27FC236}">
              <a16:creationId xmlns:a16="http://schemas.microsoft.com/office/drawing/2014/main" id="{349714BA-5F43-7341-ACC3-209317F4AE02}"/>
            </a:ext>
          </a:extLst>
        </xdr:cNvPr>
        <xdr:cNvSpPr/>
      </xdr:nvSpPr>
      <xdr:spPr>
        <a:xfrm>
          <a:off x="14135099" y="1079500"/>
          <a:ext cx="123825" cy="104775"/>
        </a:xfrm>
        <a:prstGeom prst="flowChartProcess">
          <a:avLst/>
        </a:prstGeom>
        <a:ln w="19050" cmpd="sng">
          <a:solidFill>
            <a:schemeClr val="tx1"/>
          </a:solidFill>
        </a:ln>
        <a:effec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152400</xdr:colOff>
      <xdr:row>3</xdr:row>
      <xdr:rowOff>139700</xdr:rowOff>
    </xdr:from>
    <xdr:to>
      <xdr:col>15</xdr:col>
      <xdr:colOff>285750</xdr:colOff>
      <xdr:row>3</xdr:row>
      <xdr:rowOff>263525</xdr:rowOff>
    </xdr:to>
    <xdr:sp macro="" textlink="">
      <xdr:nvSpPr>
        <xdr:cNvPr id="6" name="Flowchart: Merge 10">
          <a:extLst>
            <a:ext uri="{FF2B5EF4-FFF2-40B4-BE49-F238E27FC236}">
              <a16:creationId xmlns:a16="http://schemas.microsoft.com/office/drawing/2014/main" id="{6E64601D-2870-0441-A7CA-71E6717836B9}"/>
            </a:ext>
          </a:extLst>
        </xdr:cNvPr>
        <xdr:cNvSpPr/>
      </xdr:nvSpPr>
      <xdr:spPr>
        <a:xfrm>
          <a:off x="14579600" y="1066800"/>
          <a:ext cx="133350" cy="123825"/>
        </a:xfrm>
        <a:prstGeom prst="flowChartMerge">
          <a:avLst/>
        </a:prstGeom>
        <a:ln w="19050" cmpd="sng">
          <a:solidFill>
            <a:schemeClr val="tx1"/>
          </a:solidFill>
        </a:ln>
        <a:effec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1</xdr:row>
      <xdr:rowOff>28575</xdr:rowOff>
    </xdr:from>
    <xdr:to>
      <xdr:col>2</xdr:col>
      <xdr:colOff>276225</xdr:colOff>
      <xdr:row>2</xdr:row>
      <xdr:rowOff>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086225" y="206375"/>
          <a:ext cx="152400" cy="1492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54769</xdr:colOff>
      <xdr:row>1</xdr:row>
      <xdr:rowOff>4762</xdr:rowOff>
    </xdr:from>
    <xdr:to>
      <xdr:col>3</xdr:col>
      <xdr:colOff>273844</xdr:colOff>
      <xdr:row>2</xdr:row>
      <xdr:rowOff>23812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448969" y="182562"/>
          <a:ext cx="219075" cy="1968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52388</xdr:colOff>
      <xdr:row>1</xdr:row>
      <xdr:rowOff>19050</xdr:rowOff>
    </xdr:from>
    <xdr:to>
      <xdr:col>4</xdr:col>
      <xdr:colOff>242888</xdr:colOff>
      <xdr:row>2</xdr:row>
      <xdr:rowOff>9525</xdr:rowOff>
    </xdr:to>
    <xdr:sp macro="" textlink="">
      <xdr:nvSpPr>
        <xdr:cNvPr id="4" name="Flowchart: Delay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878388" y="196850"/>
          <a:ext cx="190500" cy="168275"/>
        </a:xfrm>
        <a:prstGeom prst="flowChartDela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21432</xdr:colOff>
      <xdr:row>1</xdr:row>
      <xdr:rowOff>19050</xdr:rowOff>
    </xdr:from>
    <xdr:to>
      <xdr:col>5</xdr:col>
      <xdr:colOff>259557</xdr:colOff>
      <xdr:row>2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5279232" y="196850"/>
          <a:ext cx="238125" cy="168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38100</xdr:colOff>
      <xdr:row>1</xdr:row>
      <xdr:rowOff>19050</xdr:rowOff>
    </xdr:from>
    <xdr:to>
      <xdr:col>6</xdr:col>
      <xdr:colOff>276225</xdr:colOff>
      <xdr:row>2</xdr:row>
      <xdr:rowOff>9525</xdr:rowOff>
    </xdr:to>
    <xdr:sp macro="" textlink="">
      <xdr:nvSpPr>
        <xdr:cNvPr id="6" name="Flowchart: Merg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5727700" y="196850"/>
          <a:ext cx="238125" cy="168275"/>
        </a:xfrm>
        <a:prstGeom prst="flowChartMer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180975</xdr:colOff>
      <xdr:row>2</xdr:row>
      <xdr:rowOff>57150</xdr:rowOff>
    </xdr:from>
    <xdr:to>
      <xdr:col>5</xdr:col>
      <xdr:colOff>228600</xdr:colOff>
      <xdr:row>3</xdr:row>
      <xdr:rowOff>85725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CxnSpPr/>
      </xdr:nvCxnSpPr>
      <xdr:spPr>
        <a:xfrm>
          <a:off x="4143375" y="412750"/>
          <a:ext cx="1343025" cy="206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3</xdr:row>
      <xdr:rowOff>95250</xdr:rowOff>
    </xdr:from>
    <xdr:to>
      <xdr:col>5</xdr:col>
      <xdr:colOff>247650</xdr:colOff>
      <xdr:row>4</xdr:row>
      <xdr:rowOff>104775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CxnSpPr/>
      </xdr:nvCxnSpPr>
      <xdr:spPr>
        <a:xfrm flipH="1">
          <a:off x="4143375" y="628650"/>
          <a:ext cx="1362075" cy="1873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4</xdr:row>
      <xdr:rowOff>76200</xdr:rowOff>
    </xdr:from>
    <xdr:to>
      <xdr:col>2</xdr:col>
      <xdr:colOff>180975</xdr:colOff>
      <xdr:row>5</xdr:row>
      <xdr:rowOff>123825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CxnSpPr/>
      </xdr:nvCxnSpPr>
      <xdr:spPr>
        <a:xfrm>
          <a:off x="4143375" y="787400"/>
          <a:ext cx="0" cy="225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180976</xdr:colOff>
      <xdr:row>5</xdr:row>
      <xdr:rowOff>66675</xdr:rowOff>
    </xdr:from>
    <xdr:to>
      <xdr:col>2</xdr:col>
      <xdr:colOff>190500</xdr:colOff>
      <xdr:row>6</xdr:row>
      <xdr:rowOff>114300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CxnSpPr/>
      </xdr:nvCxnSpPr>
      <xdr:spPr>
        <a:xfrm flipH="1">
          <a:off x="4143376" y="955675"/>
          <a:ext cx="9524" cy="225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6</xdr:row>
      <xdr:rowOff>123825</xdr:rowOff>
    </xdr:from>
    <xdr:to>
      <xdr:col>4</xdr:col>
      <xdr:colOff>190500</xdr:colOff>
      <xdr:row>7</xdr:row>
      <xdr:rowOff>104775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CxnSpPr/>
      </xdr:nvCxnSpPr>
      <xdr:spPr>
        <a:xfrm>
          <a:off x="4143375" y="1190625"/>
          <a:ext cx="873125" cy="158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7</xdr:row>
      <xdr:rowOff>123825</xdr:rowOff>
    </xdr:from>
    <xdr:to>
      <xdr:col>4</xdr:col>
      <xdr:colOff>190500</xdr:colOff>
      <xdr:row>8</xdr:row>
      <xdr:rowOff>95250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CxnSpPr/>
      </xdr:nvCxnSpPr>
      <xdr:spPr>
        <a:xfrm flipH="1">
          <a:off x="4171950" y="1368425"/>
          <a:ext cx="844550" cy="1492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8</xdr:row>
      <xdr:rowOff>104775</xdr:rowOff>
    </xdr:from>
    <xdr:to>
      <xdr:col>2</xdr:col>
      <xdr:colOff>200025</xdr:colOff>
      <xdr:row>9</xdr:row>
      <xdr:rowOff>104775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CxnSpPr/>
      </xdr:nvCxnSpPr>
      <xdr:spPr>
        <a:xfrm>
          <a:off x="4162425" y="1527175"/>
          <a:ext cx="0" cy="177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9</xdr:row>
      <xdr:rowOff>95250</xdr:rowOff>
    </xdr:from>
    <xdr:to>
      <xdr:col>2</xdr:col>
      <xdr:colOff>180975</xdr:colOff>
      <xdr:row>10</xdr:row>
      <xdr:rowOff>133350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CxnSpPr/>
      </xdr:nvCxnSpPr>
      <xdr:spPr>
        <a:xfrm>
          <a:off x="4143375" y="1695450"/>
          <a:ext cx="0" cy="2159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</xdr:colOff>
      <xdr:row>10</xdr:row>
      <xdr:rowOff>133350</xdr:rowOff>
    </xdr:from>
    <xdr:to>
      <xdr:col>3</xdr:col>
      <xdr:colOff>257175</xdr:colOff>
      <xdr:row>11</xdr:row>
      <xdr:rowOff>123825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CxnSpPr/>
      </xdr:nvCxnSpPr>
      <xdr:spPr>
        <a:xfrm>
          <a:off x="4133850" y="1911350"/>
          <a:ext cx="517525" cy="1682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20320</xdr:colOff>
      <xdr:row>0</xdr:row>
      <xdr:rowOff>0</xdr:rowOff>
    </xdr:from>
    <xdr:to>
      <xdr:col>20</xdr:col>
      <xdr:colOff>5080</xdr:colOff>
      <xdr:row>56</xdr:row>
      <xdr:rowOff>173564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7120" y="0"/>
          <a:ext cx="8702040" cy="104148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1</xdr:row>
      <xdr:rowOff>28575</xdr:rowOff>
    </xdr:from>
    <xdr:to>
      <xdr:col>2</xdr:col>
      <xdr:colOff>276225</xdr:colOff>
      <xdr:row>2</xdr:row>
      <xdr:rowOff>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4086225" y="206375"/>
          <a:ext cx="152400" cy="1492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54769</xdr:colOff>
      <xdr:row>1</xdr:row>
      <xdr:rowOff>4762</xdr:rowOff>
    </xdr:from>
    <xdr:to>
      <xdr:col>3</xdr:col>
      <xdr:colOff>273844</xdr:colOff>
      <xdr:row>2</xdr:row>
      <xdr:rowOff>23812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448969" y="182562"/>
          <a:ext cx="219075" cy="1968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52388</xdr:colOff>
      <xdr:row>1</xdr:row>
      <xdr:rowOff>19050</xdr:rowOff>
    </xdr:from>
    <xdr:to>
      <xdr:col>4</xdr:col>
      <xdr:colOff>242888</xdr:colOff>
      <xdr:row>2</xdr:row>
      <xdr:rowOff>9525</xdr:rowOff>
    </xdr:to>
    <xdr:sp macro="" textlink="">
      <xdr:nvSpPr>
        <xdr:cNvPr id="4" name="Flowchart: Delay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4878388" y="196850"/>
          <a:ext cx="190500" cy="168275"/>
        </a:xfrm>
        <a:prstGeom prst="flowChartDela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21432</xdr:colOff>
      <xdr:row>1</xdr:row>
      <xdr:rowOff>19050</xdr:rowOff>
    </xdr:from>
    <xdr:to>
      <xdr:col>5</xdr:col>
      <xdr:colOff>259557</xdr:colOff>
      <xdr:row>2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279232" y="196850"/>
          <a:ext cx="238125" cy="168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38100</xdr:colOff>
      <xdr:row>1</xdr:row>
      <xdr:rowOff>19050</xdr:rowOff>
    </xdr:from>
    <xdr:to>
      <xdr:col>6</xdr:col>
      <xdr:colOff>276225</xdr:colOff>
      <xdr:row>2</xdr:row>
      <xdr:rowOff>9525</xdr:rowOff>
    </xdr:to>
    <xdr:sp macro="" textlink="">
      <xdr:nvSpPr>
        <xdr:cNvPr id="6" name="Flowchart: Merg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5727700" y="196850"/>
          <a:ext cx="238125" cy="168275"/>
        </a:xfrm>
        <a:prstGeom prst="flowChartMer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133350</xdr:colOff>
      <xdr:row>3</xdr:row>
      <xdr:rowOff>133350</xdr:rowOff>
    </xdr:from>
    <xdr:to>
      <xdr:col>2</xdr:col>
      <xdr:colOff>133350</xdr:colOff>
      <xdr:row>4</xdr:row>
      <xdr:rowOff>152400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CxnSpPr/>
      </xdr:nvCxnSpPr>
      <xdr:spPr>
        <a:xfrm>
          <a:off x="4095750" y="666750"/>
          <a:ext cx="0" cy="1968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4</xdr:row>
      <xdr:rowOff>142875</xdr:rowOff>
    </xdr:from>
    <xdr:to>
      <xdr:col>4</xdr:col>
      <xdr:colOff>171450</xdr:colOff>
      <xdr:row>5</xdr:row>
      <xdr:rowOff>85725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CxnSpPr/>
      </xdr:nvCxnSpPr>
      <xdr:spPr>
        <a:xfrm>
          <a:off x="4086225" y="854075"/>
          <a:ext cx="911225" cy="120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</xdr:colOff>
      <xdr:row>5</xdr:row>
      <xdr:rowOff>104775</xdr:rowOff>
    </xdr:from>
    <xdr:to>
      <xdr:col>4</xdr:col>
      <xdr:colOff>180975</xdr:colOff>
      <xdr:row>6</xdr:row>
      <xdr:rowOff>114300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CxnSpPr/>
      </xdr:nvCxnSpPr>
      <xdr:spPr>
        <a:xfrm flipH="1">
          <a:off x="4133850" y="993775"/>
          <a:ext cx="873125" cy="1873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6</xdr:row>
      <xdr:rowOff>114300</xdr:rowOff>
    </xdr:from>
    <xdr:to>
      <xdr:col>2</xdr:col>
      <xdr:colOff>180975</xdr:colOff>
      <xdr:row>7</xdr:row>
      <xdr:rowOff>95250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CxnSpPr/>
      </xdr:nvCxnSpPr>
      <xdr:spPr>
        <a:xfrm>
          <a:off x="4143375" y="1181100"/>
          <a:ext cx="0" cy="158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152400</xdr:colOff>
      <xdr:row>2</xdr:row>
      <xdr:rowOff>95250</xdr:rowOff>
    </xdr:from>
    <xdr:to>
      <xdr:col>5</xdr:col>
      <xdr:colOff>180975</xdr:colOff>
      <xdr:row>2</xdr:row>
      <xdr:rowOff>104775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CxnSpPr/>
      </xdr:nvCxnSpPr>
      <xdr:spPr>
        <a:xfrm flipH="1">
          <a:off x="4114800" y="450850"/>
          <a:ext cx="132397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2</xdr:row>
      <xdr:rowOff>104775</xdr:rowOff>
    </xdr:from>
    <xdr:to>
      <xdr:col>2</xdr:col>
      <xdr:colOff>133350</xdr:colOff>
      <xdr:row>3</xdr:row>
      <xdr:rowOff>152400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CxnSpPr/>
      </xdr:nvCxnSpPr>
      <xdr:spPr>
        <a:xfrm>
          <a:off x="4086225" y="460375"/>
          <a:ext cx="9525" cy="225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7</xdr:row>
      <xdr:rowOff>95250</xdr:rowOff>
    </xdr:from>
    <xdr:to>
      <xdr:col>2</xdr:col>
      <xdr:colOff>180975</xdr:colOff>
      <xdr:row>8</xdr:row>
      <xdr:rowOff>142875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CxnSpPr/>
      </xdr:nvCxnSpPr>
      <xdr:spPr>
        <a:xfrm>
          <a:off x="4143375" y="1339850"/>
          <a:ext cx="0" cy="225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</xdr:colOff>
      <xdr:row>8</xdr:row>
      <xdr:rowOff>142875</xdr:rowOff>
    </xdr:from>
    <xdr:to>
      <xdr:col>5</xdr:col>
      <xdr:colOff>180975</xdr:colOff>
      <xdr:row>9</xdr:row>
      <xdr:rowOff>123825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CxnSpPr/>
      </xdr:nvCxnSpPr>
      <xdr:spPr>
        <a:xfrm>
          <a:off x="4133850" y="1565275"/>
          <a:ext cx="1304925" cy="158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219075</xdr:colOff>
      <xdr:row>9</xdr:row>
      <xdr:rowOff>142875</xdr:rowOff>
    </xdr:from>
    <xdr:to>
      <xdr:col>5</xdr:col>
      <xdr:colOff>219075</xdr:colOff>
      <xdr:row>10</xdr:row>
      <xdr:rowOff>133350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CxnSpPr/>
      </xdr:nvCxnSpPr>
      <xdr:spPr>
        <a:xfrm flipH="1">
          <a:off x="4181475" y="1743075"/>
          <a:ext cx="1295400" cy="1682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238125</xdr:colOff>
      <xdr:row>10</xdr:row>
      <xdr:rowOff>161925</xdr:rowOff>
    </xdr:from>
    <xdr:to>
      <xdr:col>2</xdr:col>
      <xdr:colOff>247650</xdr:colOff>
      <xdr:row>11</xdr:row>
      <xdr:rowOff>142875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CxnSpPr/>
      </xdr:nvCxnSpPr>
      <xdr:spPr>
        <a:xfrm flipH="1">
          <a:off x="4200525" y="1939925"/>
          <a:ext cx="9525" cy="158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238125</xdr:colOff>
      <xdr:row>11</xdr:row>
      <xdr:rowOff>152400</xdr:rowOff>
    </xdr:from>
    <xdr:to>
      <xdr:col>5</xdr:col>
      <xdr:colOff>142875</xdr:colOff>
      <xdr:row>12</xdr:row>
      <xdr:rowOff>104775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CxnSpPr/>
      </xdr:nvCxnSpPr>
      <xdr:spPr>
        <a:xfrm>
          <a:off x="4200525" y="2108200"/>
          <a:ext cx="1200150" cy="1301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12</xdr:row>
      <xdr:rowOff>104775</xdr:rowOff>
    </xdr:from>
    <xdr:to>
      <xdr:col>5</xdr:col>
      <xdr:colOff>142875</xdr:colOff>
      <xdr:row>13</xdr:row>
      <xdr:rowOff>133350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CxnSpPr/>
      </xdr:nvCxnSpPr>
      <xdr:spPr>
        <a:xfrm flipH="1">
          <a:off x="4171950" y="2238375"/>
          <a:ext cx="1228725" cy="206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219075</xdr:colOff>
      <xdr:row>13</xdr:row>
      <xdr:rowOff>114300</xdr:rowOff>
    </xdr:from>
    <xdr:to>
      <xdr:col>2</xdr:col>
      <xdr:colOff>228600</xdr:colOff>
      <xdr:row>14</xdr:row>
      <xdr:rowOff>152400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CxnSpPr/>
      </xdr:nvCxnSpPr>
      <xdr:spPr>
        <a:xfrm flipH="1">
          <a:off x="4181475" y="2425700"/>
          <a:ext cx="9525" cy="2159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14</xdr:row>
      <xdr:rowOff>180975</xdr:rowOff>
    </xdr:from>
    <xdr:to>
      <xdr:col>3</xdr:col>
      <xdr:colOff>209550</xdr:colOff>
      <xdr:row>15</xdr:row>
      <xdr:rowOff>95250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CxnSpPr/>
      </xdr:nvCxnSpPr>
      <xdr:spPr>
        <a:xfrm>
          <a:off x="4171950" y="2670175"/>
          <a:ext cx="431800" cy="92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228600</xdr:colOff>
      <xdr:row>15</xdr:row>
      <xdr:rowOff>85725</xdr:rowOff>
    </xdr:from>
    <xdr:to>
      <xdr:col>3</xdr:col>
      <xdr:colOff>219075</xdr:colOff>
      <xdr:row>16</xdr:row>
      <xdr:rowOff>95250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CxnSpPr/>
      </xdr:nvCxnSpPr>
      <xdr:spPr>
        <a:xfrm flipH="1">
          <a:off x="4191000" y="2752725"/>
          <a:ext cx="422275" cy="1873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223520</xdr:colOff>
      <xdr:row>0</xdr:row>
      <xdr:rowOff>101600</xdr:rowOff>
    </xdr:from>
    <xdr:to>
      <xdr:col>21</xdr:col>
      <xdr:colOff>665480</xdr:colOff>
      <xdr:row>43</xdr:row>
      <xdr:rowOff>124460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0320" y="101600"/>
          <a:ext cx="9829800" cy="7886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254000</xdr:colOff>
      <xdr:row>33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5D70E-1C1C-9645-8700-E1548570B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190500"/>
          <a:ext cx="6032500" cy="6121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248920</xdr:colOff>
      <xdr:row>2</xdr:row>
      <xdr:rowOff>76200</xdr:rowOff>
    </xdr:from>
    <xdr:to>
      <xdr:col>3</xdr:col>
      <xdr:colOff>723900</xdr:colOff>
      <xdr:row>2</xdr:row>
      <xdr:rowOff>589280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C0D9055B-D814-164F-9CA1-FC7B013E16EA}"/>
            </a:ext>
          </a:extLst>
        </xdr:cNvPr>
        <xdr:cNvSpPr/>
      </xdr:nvSpPr>
      <xdr:spPr>
        <a:xfrm>
          <a:off x="6471920" y="622300"/>
          <a:ext cx="474980" cy="51308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en-US"/>
        </a:p>
      </xdr:txBody>
    </xdr:sp>
    <xdr:clientData/>
  </xdr:twoCellAnchor>
  <xdr:twoCellAnchor>
    <xdr:from>
      <xdr:col>4</xdr:col>
      <xdr:colOff>152400</xdr:colOff>
      <xdr:row>2</xdr:row>
      <xdr:rowOff>76200</xdr:rowOff>
    </xdr:from>
    <xdr:to>
      <xdr:col>4</xdr:col>
      <xdr:colOff>711200</xdr:colOff>
      <xdr:row>2</xdr:row>
      <xdr:rowOff>614680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291C4D5-46AD-4345-BFB4-A63032C6B680}"/>
            </a:ext>
          </a:extLst>
        </xdr:cNvPr>
        <xdr:cNvSpPr/>
      </xdr:nvSpPr>
      <xdr:spPr>
        <a:xfrm>
          <a:off x="7315200" y="622300"/>
          <a:ext cx="558800" cy="538480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en-US"/>
        </a:p>
      </xdr:txBody>
    </xdr:sp>
    <xdr:clientData/>
  </xdr:twoCellAnchor>
  <xdr:twoCellAnchor>
    <xdr:from>
      <xdr:col>5</xdr:col>
      <xdr:colOff>198120</xdr:colOff>
      <xdr:row>2</xdr:row>
      <xdr:rowOff>88900</xdr:rowOff>
    </xdr:from>
    <xdr:to>
      <xdr:col>5</xdr:col>
      <xdr:colOff>673100</xdr:colOff>
      <xdr:row>2</xdr:row>
      <xdr:rowOff>584200</xdr:rowOff>
    </xdr:to>
    <xdr:sp macro="" textlink="">
      <xdr:nvSpPr>
        <xdr:cNvPr id="4" name="Delay 3">
          <a:extLst>
            <a:ext uri="{FF2B5EF4-FFF2-40B4-BE49-F238E27FC236}">
              <a16:creationId xmlns:a16="http://schemas.microsoft.com/office/drawing/2014/main" id="{99B1A5E1-E954-A742-B0E3-C721FF2B08A3}"/>
            </a:ext>
          </a:extLst>
        </xdr:cNvPr>
        <xdr:cNvSpPr/>
      </xdr:nvSpPr>
      <xdr:spPr>
        <a:xfrm>
          <a:off x="8186420" y="635000"/>
          <a:ext cx="474980" cy="495300"/>
        </a:xfrm>
        <a:prstGeom prst="flowChartDelay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en-US"/>
        </a:p>
      </xdr:txBody>
    </xdr:sp>
    <xdr:clientData/>
  </xdr:twoCellAnchor>
  <xdr:twoCellAnchor>
    <xdr:from>
      <xdr:col>6</xdr:col>
      <xdr:colOff>127000</xdr:colOff>
      <xdr:row>2</xdr:row>
      <xdr:rowOff>101600</xdr:rowOff>
    </xdr:from>
    <xdr:to>
      <xdr:col>6</xdr:col>
      <xdr:colOff>685800</xdr:colOff>
      <xdr:row>2</xdr:row>
      <xdr:rowOff>546100</xdr:rowOff>
    </xdr:to>
    <xdr:sp macro="" textlink="">
      <xdr:nvSpPr>
        <xdr:cNvPr id="5" name="Process 4">
          <a:extLst>
            <a:ext uri="{FF2B5EF4-FFF2-40B4-BE49-F238E27FC236}">
              <a16:creationId xmlns:a16="http://schemas.microsoft.com/office/drawing/2014/main" id="{2C5E31FF-2AA4-404D-B0AF-D3162DFF3D2A}"/>
            </a:ext>
          </a:extLst>
        </xdr:cNvPr>
        <xdr:cNvSpPr/>
      </xdr:nvSpPr>
      <xdr:spPr>
        <a:xfrm>
          <a:off x="8940800" y="647700"/>
          <a:ext cx="558800" cy="444500"/>
        </a:xfrm>
        <a:prstGeom prst="flowChartProcess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198120</xdr:colOff>
      <xdr:row>2</xdr:row>
      <xdr:rowOff>96520</xdr:rowOff>
    </xdr:from>
    <xdr:to>
      <xdr:col>7</xdr:col>
      <xdr:colOff>622300</xdr:colOff>
      <xdr:row>2</xdr:row>
      <xdr:rowOff>571500</xdr:rowOff>
    </xdr:to>
    <xdr:sp macro="" textlink="">
      <xdr:nvSpPr>
        <xdr:cNvPr id="6" name="Merge 5">
          <a:extLst>
            <a:ext uri="{FF2B5EF4-FFF2-40B4-BE49-F238E27FC236}">
              <a16:creationId xmlns:a16="http://schemas.microsoft.com/office/drawing/2014/main" id="{0484EE41-1010-5B49-A52F-A0477CAD220B}"/>
            </a:ext>
          </a:extLst>
        </xdr:cNvPr>
        <xdr:cNvSpPr/>
      </xdr:nvSpPr>
      <xdr:spPr>
        <a:xfrm>
          <a:off x="9837420" y="642620"/>
          <a:ext cx="424180" cy="474980"/>
        </a:xfrm>
        <a:prstGeom prst="flowChartMerg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en-US"/>
        </a:p>
      </xdr:txBody>
    </xdr:sp>
    <xdr:clientData/>
  </xdr:twoCellAnchor>
  <xdr:twoCellAnchor>
    <xdr:from>
      <xdr:col>3</xdr:col>
      <xdr:colOff>469900</xdr:colOff>
      <xdr:row>3</xdr:row>
      <xdr:rowOff>419100</xdr:rowOff>
    </xdr:from>
    <xdr:to>
      <xdr:col>4</xdr:col>
      <xdr:colOff>406400</xdr:colOff>
      <xdr:row>4</xdr:row>
      <xdr:rowOff>127000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60611EEF-0F50-B748-BA17-67D72ACE7E87}"/>
            </a:ext>
          </a:extLst>
        </xdr:cNvPr>
        <xdr:cNvCxnSpPr/>
      </xdr:nvCxnSpPr>
      <xdr:spPr>
        <a:xfrm>
          <a:off x="6692900" y="1651000"/>
          <a:ext cx="876300" cy="5588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5</xdr:row>
      <xdr:rowOff>165100</xdr:rowOff>
    </xdr:from>
    <xdr:to>
      <xdr:col>3</xdr:col>
      <xdr:colOff>469900</xdr:colOff>
      <xdr:row>6</xdr:row>
      <xdr:rowOff>177800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51CEB404-8F35-EC47-8DF3-8540F8E091F9}"/>
            </a:ext>
          </a:extLst>
        </xdr:cNvPr>
        <xdr:cNvCxnSpPr/>
      </xdr:nvCxnSpPr>
      <xdr:spPr>
        <a:xfrm>
          <a:off x="6692900" y="2527300"/>
          <a:ext cx="0" cy="2794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6</xdr:row>
      <xdr:rowOff>190500</xdr:rowOff>
    </xdr:from>
    <xdr:to>
      <xdr:col>3</xdr:col>
      <xdr:colOff>469900</xdr:colOff>
      <xdr:row>7</xdr:row>
      <xdr:rowOff>190500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58FA25A1-CFE9-C84E-963D-93A49A1826BC}"/>
            </a:ext>
          </a:extLst>
        </xdr:cNvPr>
        <xdr:cNvCxnSpPr/>
      </xdr:nvCxnSpPr>
      <xdr:spPr>
        <a:xfrm>
          <a:off x="6692900" y="2819400"/>
          <a:ext cx="0" cy="2667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7</xdr:row>
      <xdr:rowOff>190500</xdr:rowOff>
    </xdr:from>
    <xdr:to>
      <xdr:col>3</xdr:col>
      <xdr:colOff>469900</xdr:colOff>
      <xdr:row>8</xdr:row>
      <xdr:rowOff>127000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8F9F75ED-6E52-8B4B-B2F5-EA23C93ED540}"/>
            </a:ext>
          </a:extLst>
        </xdr:cNvPr>
        <xdr:cNvCxnSpPr/>
      </xdr:nvCxnSpPr>
      <xdr:spPr>
        <a:xfrm>
          <a:off x="6692900" y="3086100"/>
          <a:ext cx="0" cy="2032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8</xdr:row>
      <xdr:rowOff>127000</xdr:rowOff>
    </xdr:from>
    <xdr:to>
      <xdr:col>3</xdr:col>
      <xdr:colOff>469900</xdr:colOff>
      <xdr:row>9</xdr:row>
      <xdr:rowOff>152400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E81B5EE3-7454-1E4A-9E1E-564F5AC36483}"/>
            </a:ext>
          </a:extLst>
        </xdr:cNvPr>
        <xdr:cNvCxnSpPr/>
      </xdr:nvCxnSpPr>
      <xdr:spPr>
        <a:xfrm>
          <a:off x="6692900" y="3289300"/>
          <a:ext cx="0" cy="2921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9</xdr:row>
      <xdr:rowOff>152400</xdr:rowOff>
    </xdr:from>
    <xdr:to>
      <xdr:col>4</xdr:col>
      <xdr:colOff>381000</xdr:colOff>
      <xdr:row>10</xdr:row>
      <xdr:rowOff>127000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63E80FAD-F140-C944-BFA5-9150C4E84AD3}"/>
            </a:ext>
          </a:extLst>
        </xdr:cNvPr>
        <xdr:cNvCxnSpPr/>
      </xdr:nvCxnSpPr>
      <xdr:spPr>
        <a:xfrm>
          <a:off x="6692900" y="3581400"/>
          <a:ext cx="850900" cy="2413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10</xdr:row>
      <xdr:rowOff>114300</xdr:rowOff>
    </xdr:from>
    <xdr:to>
      <xdr:col>5</xdr:col>
      <xdr:colOff>368300</xdr:colOff>
      <xdr:row>11</xdr:row>
      <xdr:rowOff>127000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8EA79C01-0784-FB44-9DAA-439AB75DB231}"/>
            </a:ext>
          </a:extLst>
        </xdr:cNvPr>
        <xdr:cNvCxnSpPr/>
      </xdr:nvCxnSpPr>
      <xdr:spPr>
        <a:xfrm>
          <a:off x="7543800" y="3810000"/>
          <a:ext cx="812800" cy="2794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368300</xdr:colOff>
      <xdr:row>11</xdr:row>
      <xdr:rowOff>127000</xdr:rowOff>
    </xdr:from>
    <xdr:to>
      <xdr:col>6</xdr:col>
      <xdr:colOff>368300</xdr:colOff>
      <xdr:row>12</xdr:row>
      <xdr:rowOff>127000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EE9E128B-F193-9B47-9021-0327BB93B38B}"/>
            </a:ext>
          </a:extLst>
        </xdr:cNvPr>
        <xdr:cNvCxnSpPr/>
      </xdr:nvCxnSpPr>
      <xdr:spPr>
        <a:xfrm>
          <a:off x="8356600" y="4089400"/>
          <a:ext cx="825500" cy="2667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12</xdr:row>
      <xdr:rowOff>139700</xdr:rowOff>
    </xdr:from>
    <xdr:to>
      <xdr:col>6</xdr:col>
      <xdr:colOff>368300</xdr:colOff>
      <xdr:row>13</xdr:row>
      <xdr:rowOff>139700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F328835B-35ED-6F43-9A7C-FFB0F927C166}"/>
            </a:ext>
          </a:extLst>
        </xdr:cNvPr>
        <xdr:cNvCxnSpPr/>
      </xdr:nvCxnSpPr>
      <xdr:spPr>
        <a:xfrm flipH="1">
          <a:off x="6794500" y="4368800"/>
          <a:ext cx="2387600" cy="2667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4</xdr:row>
      <xdr:rowOff>127000</xdr:rowOff>
    </xdr:from>
    <xdr:to>
      <xdr:col>4</xdr:col>
      <xdr:colOff>406400</xdr:colOff>
      <xdr:row>5</xdr:row>
      <xdr:rowOff>165100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56991ED2-B0EC-BB40-9D81-736D073DA51F}"/>
            </a:ext>
          </a:extLst>
        </xdr:cNvPr>
        <xdr:cNvCxnSpPr/>
      </xdr:nvCxnSpPr>
      <xdr:spPr>
        <a:xfrm flipH="1">
          <a:off x="6692900" y="2209800"/>
          <a:ext cx="876300" cy="3175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13</xdr:row>
      <xdr:rowOff>139700</xdr:rowOff>
    </xdr:from>
    <xdr:to>
      <xdr:col>4</xdr:col>
      <xdr:colOff>431800</xdr:colOff>
      <xdr:row>14</xdr:row>
      <xdr:rowOff>127000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51FE882F-9F45-8B42-BC34-B7C6E9654970}"/>
            </a:ext>
          </a:extLst>
        </xdr:cNvPr>
        <xdr:cNvCxnSpPr/>
      </xdr:nvCxnSpPr>
      <xdr:spPr>
        <a:xfrm>
          <a:off x="6794500" y="4635500"/>
          <a:ext cx="800100" cy="2540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431800</xdr:colOff>
      <xdr:row>14</xdr:row>
      <xdr:rowOff>127000</xdr:rowOff>
    </xdr:from>
    <xdr:to>
      <xdr:col>7</xdr:col>
      <xdr:colOff>381000</xdr:colOff>
      <xdr:row>15</xdr:row>
      <xdr:rowOff>139700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EF5E756B-7C41-2E49-B332-BD71F42E662D}"/>
            </a:ext>
          </a:extLst>
        </xdr:cNvPr>
        <xdr:cNvCxnSpPr/>
      </xdr:nvCxnSpPr>
      <xdr:spPr>
        <a:xfrm>
          <a:off x="7594600" y="4889500"/>
          <a:ext cx="2425700" cy="279400"/>
        </a:xfrm>
        <a:prstGeom prst="line">
          <a:avLst/>
        </a:prstGeom>
        <a:ln w="25400">
          <a:solidFill>
            <a:schemeClr val="tx1"/>
          </a:solidFill>
          <a:headEnd type="oval"/>
          <a:tailEnd type="oval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10</xdr:row>
      <xdr:rowOff>165100</xdr:rowOff>
    </xdr:from>
    <xdr:to>
      <xdr:col>6</xdr:col>
      <xdr:colOff>419100</xdr:colOff>
      <xdr:row>22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1800" y="2260600"/>
          <a:ext cx="4965700" cy="2260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rique/Documents/UCR/Profesor/Ex&#225;menes/Soluci&#243;n%20de%20Ex&#225;menes/Gerencia%20de%20Operaciones/1p-I-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gunta 1"/>
      <sheetName val="Pregunta 2"/>
      <sheetName val="Pregunta 3"/>
      <sheetName val="Pregunta 4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12"/>
  <sheetViews>
    <sheetView tabSelected="1" workbookViewId="0">
      <selection activeCell="B14" sqref="B14"/>
    </sheetView>
  </sheetViews>
  <sheetFormatPr baseColWidth="10" defaultRowHeight="16" x14ac:dyDescent="0.2"/>
  <cols>
    <col min="2" max="2" width="12.6640625" bestFit="1" customWidth="1"/>
    <col min="3" max="3" width="12.33203125" bestFit="1" customWidth="1"/>
    <col min="4" max="4" width="3.1640625" customWidth="1"/>
    <col min="5" max="5" width="13.6640625" customWidth="1"/>
    <col min="6" max="6" width="14" bestFit="1" customWidth="1"/>
    <col min="7" max="7" width="3" customWidth="1"/>
    <col min="8" max="8" width="14.6640625" customWidth="1"/>
    <col min="9" max="9" width="14" bestFit="1" customWidth="1"/>
    <col min="2000" max="2000" width="2.5" customWidth="1"/>
  </cols>
  <sheetData>
    <row r="2" spans="2:9" x14ac:dyDescent="0.2">
      <c r="B2" t="s">
        <v>0</v>
      </c>
      <c r="C2" s="1">
        <v>75000</v>
      </c>
    </row>
    <row r="3" spans="2:9" x14ac:dyDescent="0.2">
      <c r="B3" t="s">
        <v>1</v>
      </c>
      <c r="C3" s="1">
        <v>200000</v>
      </c>
    </row>
    <row r="6" spans="2:9" ht="17" thickBot="1" x14ac:dyDescent="0.25"/>
    <row r="7" spans="2:9" x14ac:dyDescent="0.2">
      <c r="B7" s="278" t="s">
        <v>2</v>
      </c>
      <c r="C7" s="279"/>
      <c r="E7" s="278" t="s">
        <v>3</v>
      </c>
      <c r="F7" s="279"/>
      <c r="H7" s="278" t="s">
        <v>4</v>
      </c>
      <c r="I7" s="279"/>
    </row>
    <row r="8" spans="2:9" x14ac:dyDescent="0.2">
      <c r="B8" s="2" t="s">
        <v>5</v>
      </c>
      <c r="C8" s="3">
        <f>360*8</f>
        <v>2880</v>
      </c>
      <c r="E8" s="2" t="s">
        <v>5</v>
      </c>
      <c r="F8" s="3">
        <f>360*8</f>
        <v>2880</v>
      </c>
      <c r="H8" s="2" t="s">
        <v>5</v>
      </c>
      <c r="I8" s="3">
        <f>360*8</f>
        <v>2880</v>
      </c>
    </row>
    <row r="9" spans="2:9" x14ac:dyDescent="0.2">
      <c r="B9" s="2" t="s">
        <v>6</v>
      </c>
      <c r="C9" s="3">
        <f>+C8*(60/10)</f>
        <v>17280</v>
      </c>
      <c r="E9" s="2" t="s">
        <v>6</v>
      </c>
      <c r="F9" s="3">
        <f>+F8*(60/6)</f>
        <v>28800</v>
      </c>
      <c r="H9" s="2" t="s">
        <v>6</v>
      </c>
      <c r="I9" s="3">
        <f>+I8*(60/5)</f>
        <v>34560</v>
      </c>
    </row>
    <row r="10" spans="2:9" x14ac:dyDescent="0.2">
      <c r="B10" s="2" t="s">
        <v>7</v>
      </c>
      <c r="C10" s="4">
        <f>+C9*50</f>
        <v>864000</v>
      </c>
      <c r="E10" s="2" t="s">
        <v>7</v>
      </c>
      <c r="F10" s="4">
        <f>+F9*75</f>
        <v>2160000</v>
      </c>
      <c r="H10" s="2" t="s">
        <v>7</v>
      </c>
      <c r="I10" s="4">
        <f>+I9*60</f>
        <v>2073600</v>
      </c>
    </row>
    <row r="11" spans="2:9" x14ac:dyDescent="0.2">
      <c r="B11" s="2" t="s">
        <v>8</v>
      </c>
      <c r="C11" s="4">
        <f>+(C9*(10+4+6))+$C$2+$C$3</f>
        <v>620600</v>
      </c>
      <c r="E11" s="2" t="s">
        <v>8</v>
      </c>
      <c r="F11" s="4">
        <f>+(F9*(30+18+12))+$C$2+$C$3</f>
        <v>2003000</v>
      </c>
      <c r="H11" s="2" t="s">
        <v>8</v>
      </c>
      <c r="I11" s="4">
        <f>+(I9*(15+5+20))+$C$2+$C$3</f>
        <v>1657400</v>
      </c>
    </row>
    <row r="12" spans="2:9" ht="35" thickBot="1" x14ac:dyDescent="0.25">
      <c r="B12" s="5" t="s">
        <v>9</v>
      </c>
      <c r="C12" s="6">
        <f>+C10/C11</f>
        <v>1.3922010957138253</v>
      </c>
      <c r="E12" s="5" t="s">
        <v>9</v>
      </c>
      <c r="F12" s="6">
        <f>+F10/F11</f>
        <v>1.0783824263604593</v>
      </c>
      <c r="H12" s="5" t="s">
        <v>9</v>
      </c>
      <c r="I12" s="6">
        <f>+I10/I11</f>
        <v>1.2511162061059491</v>
      </c>
    </row>
  </sheetData>
  <mergeCells count="3">
    <mergeCell ref="B7:C7"/>
    <mergeCell ref="E7:F7"/>
    <mergeCell ref="H7:I7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baseColWidth="10" defaultRowHeight="16" x14ac:dyDescent="0.2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33"/>
  <sheetViews>
    <sheetView workbookViewId="0">
      <selection activeCell="A10" sqref="A10"/>
    </sheetView>
  </sheetViews>
  <sheetFormatPr baseColWidth="10" defaultRowHeight="15" x14ac:dyDescent="0.2"/>
  <cols>
    <col min="1" max="1" width="31.33203125" style="26" customWidth="1"/>
    <col min="2" max="2" width="40.5" style="26" bestFit="1" customWidth="1"/>
    <col min="3" max="3" width="13.1640625" style="26" customWidth="1"/>
    <col min="4" max="16384" width="10.83203125" style="26"/>
  </cols>
  <sheetData>
    <row r="1" spans="1:8" ht="21" x14ac:dyDescent="0.25">
      <c r="A1" s="24" t="s">
        <v>48</v>
      </c>
      <c r="B1" s="25"/>
    </row>
    <row r="2" spans="1:8" ht="19" x14ac:dyDescent="0.25">
      <c r="A2" s="27" t="s">
        <v>49</v>
      </c>
      <c r="B2" s="25"/>
    </row>
    <row r="3" spans="1:8" ht="30" customHeight="1" x14ac:dyDescent="0.2">
      <c r="A3" s="28" t="s">
        <v>50</v>
      </c>
      <c r="B3" s="29" t="s">
        <v>51</v>
      </c>
      <c r="C3" s="29" t="s">
        <v>52</v>
      </c>
      <c r="D3" s="30"/>
      <c r="E3" s="30"/>
      <c r="F3" s="30"/>
      <c r="G3" s="30"/>
      <c r="H3" s="30"/>
    </row>
    <row r="4" spans="1:8" x14ac:dyDescent="0.2">
      <c r="A4" s="30" t="s">
        <v>53</v>
      </c>
      <c r="B4" s="31" t="s">
        <v>54</v>
      </c>
      <c r="C4" s="31">
        <v>15</v>
      </c>
      <c r="D4" s="30"/>
      <c r="E4" s="30"/>
      <c r="F4" s="30"/>
      <c r="G4" s="30"/>
      <c r="H4" s="30"/>
    </row>
    <row r="5" spans="1:8" x14ac:dyDescent="0.2">
      <c r="A5" s="30" t="s">
        <v>55</v>
      </c>
      <c r="B5" s="31" t="s">
        <v>54</v>
      </c>
      <c r="C5" s="31">
        <v>10</v>
      </c>
      <c r="D5" s="30"/>
      <c r="E5" s="30"/>
      <c r="F5" s="30"/>
      <c r="G5" s="30"/>
      <c r="H5" s="30"/>
    </row>
    <row r="6" spans="1:8" x14ac:dyDescent="0.2">
      <c r="A6" s="30" t="s">
        <v>56</v>
      </c>
      <c r="B6" s="31"/>
      <c r="C6" s="31"/>
      <c r="D6" s="30"/>
      <c r="E6" s="30"/>
      <c r="F6" s="30"/>
      <c r="G6" s="30"/>
      <c r="H6" s="30"/>
    </row>
    <row r="7" spans="1:8" x14ac:dyDescent="0.2">
      <c r="A7" s="30" t="s">
        <v>57</v>
      </c>
      <c r="B7" s="31"/>
      <c r="C7" s="31"/>
      <c r="D7" s="30"/>
      <c r="E7" s="30"/>
      <c r="F7" s="30"/>
      <c r="G7" s="30"/>
      <c r="H7" s="30"/>
    </row>
    <row r="8" spans="1:8" x14ac:dyDescent="0.2">
      <c r="A8" s="30" t="s">
        <v>58</v>
      </c>
      <c r="B8" s="31" t="s">
        <v>59</v>
      </c>
      <c r="C8" s="31">
        <v>1.5</v>
      </c>
      <c r="D8" s="30"/>
      <c r="E8" s="30"/>
      <c r="F8" s="30"/>
      <c r="G8" s="30"/>
      <c r="H8" s="30"/>
    </row>
    <row r="9" spans="1:8" x14ac:dyDescent="0.2">
      <c r="A9" s="30" t="s">
        <v>60</v>
      </c>
      <c r="B9" s="31"/>
      <c r="C9" s="30"/>
      <c r="D9" s="30"/>
      <c r="E9" s="30"/>
      <c r="F9" s="30"/>
      <c r="G9" s="30"/>
      <c r="H9" s="30"/>
    </row>
    <row r="10" spans="1:8" x14ac:dyDescent="0.2">
      <c r="A10" s="32" t="s">
        <v>61</v>
      </c>
      <c r="B10" s="33"/>
      <c r="C10" s="34">
        <f>SUM(C4:C8)</f>
        <v>26.5</v>
      </c>
      <c r="D10" s="35"/>
    </row>
    <row r="11" spans="1:8" ht="19" x14ac:dyDescent="0.25">
      <c r="A11" s="27" t="s">
        <v>62</v>
      </c>
      <c r="B11" s="33"/>
      <c r="C11" s="36"/>
      <c r="D11" s="35"/>
    </row>
    <row r="12" spans="1:8" ht="27" customHeight="1" x14ac:dyDescent="0.2">
      <c r="A12" s="37" t="s">
        <v>63</v>
      </c>
      <c r="B12" s="29" t="s">
        <v>51</v>
      </c>
      <c r="C12" s="29" t="s">
        <v>52</v>
      </c>
      <c r="D12" s="30"/>
      <c r="E12" s="30"/>
      <c r="F12" s="30"/>
      <c r="G12" s="30"/>
      <c r="H12" s="30"/>
    </row>
    <row r="13" spans="1:8" x14ac:dyDescent="0.2">
      <c r="A13" s="30" t="s">
        <v>64</v>
      </c>
      <c r="B13" s="31"/>
      <c r="C13" s="31">
        <v>10</v>
      </c>
      <c r="D13" s="30"/>
      <c r="E13" s="30"/>
      <c r="F13" s="30"/>
      <c r="G13" s="30"/>
      <c r="H13" s="30"/>
    </row>
    <row r="14" spans="1:8" x14ac:dyDescent="0.2">
      <c r="A14" s="30" t="s">
        <v>65</v>
      </c>
      <c r="B14" s="31"/>
      <c r="C14" s="31"/>
      <c r="D14" s="30"/>
      <c r="E14" s="30"/>
      <c r="F14" s="30"/>
      <c r="G14" s="30"/>
      <c r="H14" s="30"/>
    </row>
    <row r="15" spans="1:8" x14ac:dyDescent="0.2">
      <c r="A15" s="30" t="s">
        <v>66</v>
      </c>
      <c r="B15" s="31"/>
      <c r="C15" s="31">
        <v>7</v>
      </c>
      <c r="D15" s="30"/>
      <c r="E15" s="30"/>
      <c r="F15" s="30"/>
      <c r="G15" s="30"/>
      <c r="H15" s="30"/>
    </row>
    <row r="16" spans="1:8" x14ac:dyDescent="0.2">
      <c r="A16" s="30" t="s">
        <v>67</v>
      </c>
      <c r="B16" s="31"/>
      <c r="C16" s="31"/>
      <c r="D16" s="30"/>
      <c r="E16" s="30"/>
      <c r="F16" s="30"/>
      <c r="G16" s="30"/>
      <c r="H16" s="30"/>
    </row>
    <row r="17" spans="1:8" x14ac:dyDescent="0.2">
      <c r="A17" s="30" t="s">
        <v>68</v>
      </c>
      <c r="B17" s="31" t="s">
        <v>69</v>
      </c>
      <c r="C17" s="31">
        <v>3</v>
      </c>
      <c r="D17" s="30"/>
      <c r="E17" s="30"/>
      <c r="F17" s="30"/>
      <c r="G17" s="30"/>
      <c r="H17" s="30"/>
    </row>
    <row r="18" spans="1:8" x14ac:dyDescent="0.2">
      <c r="A18" s="30" t="s">
        <v>70</v>
      </c>
      <c r="B18" s="31"/>
      <c r="C18" s="31"/>
      <c r="D18" s="30"/>
      <c r="E18" s="30"/>
      <c r="F18" s="30"/>
      <c r="G18" s="30"/>
      <c r="H18" s="30"/>
    </row>
    <row r="19" spans="1:8" x14ac:dyDescent="0.2">
      <c r="A19" s="32" t="s">
        <v>61</v>
      </c>
      <c r="B19" s="33"/>
      <c r="C19" s="34">
        <f>SUM(C13:C18)</f>
        <v>20</v>
      </c>
    </row>
    <row r="20" spans="1:8" ht="19" x14ac:dyDescent="0.25">
      <c r="A20" s="38" t="s">
        <v>71</v>
      </c>
      <c r="B20" s="25"/>
    </row>
    <row r="21" spans="1:8" x14ac:dyDescent="0.2">
      <c r="A21" s="26" t="s">
        <v>72</v>
      </c>
      <c r="B21" s="25"/>
    </row>
    <row r="22" spans="1:8" x14ac:dyDescent="0.2">
      <c r="A22" s="26" t="s">
        <v>73</v>
      </c>
      <c r="B22" s="25"/>
    </row>
    <row r="23" spans="1:8" x14ac:dyDescent="0.2">
      <c r="B23" s="25"/>
    </row>
    <row r="24" spans="1:8" ht="16" x14ac:dyDescent="0.2">
      <c r="A24" s="39" t="s">
        <v>74</v>
      </c>
      <c r="B24" s="25"/>
    </row>
    <row r="25" spans="1:8" ht="16" x14ac:dyDescent="0.2">
      <c r="A25" s="40" t="s">
        <v>75</v>
      </c>
      <c r="B25" s="25"/>
    </row>
    <row r="26" spans="1:8" ht="16" x14ac:dyDescent="0.2">
      <c r="A26" s="40" t="s">
        <v>76</v>
      </c>
      <c r="B26" s="25"/>
    </row>
    <row r="27" spans="1:8" x14ac:dyDescent="0.2">
      <c r="A27" s="26" t="s">
        <v>77</v>
      </c>
      <c r="B27" s="25"/>
    </row>
    <row r="28" spans="1:8" x14ac:dyDescent="0.2">
      <c r="A28" s="26" t="s">
        <v>78</v>
      </c>
      <c r="B28" s="25"/>
    </row>
    <row r="29" spans="1:8" x14ac:dyDescent="0.2">
      <c r="A29" s="26" t="s">
        <v>79</v>
      </c>
      <c r="B29" s="25"/>
    </row>
    <row r="30" spans="1:8" x14ac:dyDescent="0.2">
      <c r="B30" s="25"/>
    </row>
    <row r="31" spans="1:8" x14ac:dyDescent="0.2">
      <c r="B31" s="25"/>
    </row>
    <row r="32" spans="1:8" x14ac:dyDescent="0.2">
      <c r="B32" s="25"/>
    </row>
    <row r="33" spans="2:2" x14ac:dyDescent="0.2">
      <c r="B33" s="25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5"/>
  <sheetViews>
    <sheetView workbookViewId="0">
      <selection activeCell="J18" sqref="J18"/>
    </sheetView>
  </sheetViews>
  <sheetFormatPr baseColWidth="10" defaultRowHeight="16" x14ac:dyDescent="0.2"/>
  <cols>
    <col min="2" max="2" width="35.83203125" customWidth="1"/>
    <col min="3" max="3" width="32.33203125" customWidth="1"/>
    <col min="8" max="8" width="32.6640625" customWidth="1"/>
    <col min="9" max="9" width="10.83203125" customWidth="1"/>
    <col min="10" max="10" width="12.1640625" bestFit="1" customWidth="1"/>
    <col min="11" max="11" width="12.83203125" bestFit="1" customWidth="1"/>
    <col min="12" max="12" width="6.5" customWidth="1"/>
    <col min="13" max="13" width="5.1640625" customWidth="1"/>
    <col min="14" max="14" width="6.1640625" customWidth="1"/>
    <col min="15" max="15" width="5.83203125" customWidth="1"/>
    <col min="16" max="16" width="6.1640625" customWidth="1"/>
  </cols>
  <sheetData>
    <row r="1" spans="1:18" ht="17" thickBot="1" x14ac:dyDescent="0.25">
      <c r="D1" s="16"/>
      <c r="E1" s="16"/>
      <c r="F1" s="16"/>
    </row>
    <row r="2" spans="1:18" ht="21" customHeight="1" thickBot="1" x14ac:dyDescent="0.25">
      <c r="B2" s="305" t="s">
        <v>34</v>
      </c>
      <c r="C2" s="305"/>
      <c r="D2" s="16"/>
      <c r="E2" s="16"/>
      <c r="F2" s="16"/>
      <c r="H2" s="166" t="s">
        <v>355</v>
      </c>
    </row>
    <row r="3" spans="1:18" ht="35" thickBot="1" x14ac:dyDescent="0.25">
      <c r="B3" s="17" t="s">
        <v>35</v>
      </c>
      <c r="C3" s="17" t="s">
        <v>36</v>
      </c>
      <c r="D3" s="17" t="s">
        <v>37</v>
      </c>
      <c r="E3" s="17"/>
      <c r="F3" s="17"/>
      <c r="H3" s="304" t="s">
        <v>233</v>
      </c>
      <c r="I3" s="304" t="s">
        <v>347</v>
      </c>
      <c r="J3" s="306" t="s">
        <v>348</v>
      </c>
      <c r="K3" s="306" t="s">
        <v>349</v>
      </c>
      <c r="L3" s="304" t="s">
        <v>350</v>
      </c>
      <c r="M3" s="304"/>
      <c r="N3" s="304"/>
      <c r="O3" s="304"/>
      <c r="P3" s="304"/>
      <c r="Q3" s="304" t="s">
        <v>193</v>
      </c>
      <c r="R3" s="304"/>
    </row>
    <row r="4" spans="1:18" ht="34" x14ac:dyDescent="0.2">
      <c r="B4" s="18" t="s">
        <v>38</v>
      </c>
      <c r="C4" s="19">
        <v>15</v>
      </c>
      <c r="D4" s="19">
        <f>+(60*60)/C4</f>
        <v>240</v>
      </c>
      <c r="E4" s="19">
        <f>+D4*1</f>
        <v>240</v>
      </c>
      <c r="F4" s="19">
        <f>+E4*1</f>
        <v>240</v>
      </c>
      <c r="H4" s="304"/>
      <c r="I4" s="304"/>
      <c r="J4" s="306"/>
      <c r="K4" s="306"/>
      <c r="L4" s="160"/>
      <c r="M4" s="160"/>
      <c r="N4" s="161"/>
      <c r="O4" s="161"/>
      <c r="P4" s="161"/>
      <c r="Q4" s="304"/>
      <c r="R4" s="304"/>
    </row>
    <row r="5" spans="1:18" ht="17" x14ac:dyDescent="0.2">
      <c r="B5" s="18" t="s">
        <v>39</v>
      </c>
      <c r="C5" s="19">
        <v>30</v>
      </c>
      <c r="D5" s="19">
        <f t="shared" ref="D5:D9" si="0">+(60*60)/C5</f>
        <v>120</v>
      </c>
      <c r="E5" s="19">
        <f t="shared" ref="E5:F9" si="1">+D5*1</f>
        <v>120</v>
      </c>
      <c r="F5" s="19">
        <f t="shared" si="1"/>
        <v>120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1:18" ht="34" x14ac:dyDescent="0.2">
      <c r="B6" s="18" t="s">
        <v>40</v>
      </c>
      <c r="C6" s="19">
        <v>60</v>
      </c>
      <c r="D6" s="19">
        <f t="shared" si="0"/>
        <v>60</v>
      </c>
      <c r="E6" s="19">
        <f>+D6*2</f>
        <v>120</v>
      </c>
      <c r="F6" s="19">
        <f t="shared" si="1"/>
        <v>120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</row>
    <row r="7" spans="1:18" ht="17" x14ac:dyDescent="0.2">
      <c r="B7" s="18" t="s">
        <v>41</v>
      </c>
      <c r="C7" s="19">
        <v>40</v>
      </c>
      <c r="D7" s="19">
        <f t="shared" si="0"/>
        <v>90</v>
      </c>
      <c r="E7" s="19">
        <f t="shared" si="1"/>
        <v>90</v>
      </c>
      <c r="F7" s="19">
        <f>+E7*2</f>
        <v>180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</row>
    <row r="8" spans="1:18" ht="17" x14ac:dyDescent="0.2">
      <c r="B8" s="18" t="s">
        <v>42</v>
      </c>
      <c r="C8" s="19">
        <v>20</v>
      </c>
      <c r="D8" s="19">
        <f t="shared" si="0"/>
        <v>180</v>
      </c>
      <c r="E8" s="19">
        <f t="shared" si="1"/>
        <v>180</v>
      </c>
      <c r="F8" s="19">
        <f t="shared" si="1"/>
        <v>180</v>
      </c>
      <c r="H8" s="158"/>
      <c r="I8" s="52"/>
      <c r="J8" s="52"/>
      <c r="K8" s="52"/>
      <c r="L8" s="52"/>
      <c r="M8" s="52"/>
      <c r="N8" s="52"/>
      <c r="O8" s="52"/>
      <c r="P8" s="52"/>
      <c r="Q8" s="52"/>
      <c r="R8" s="52"/>
    </row>
    <row r="9" spans="1:18" ht="18" thickBot="1" x14ac:dyDescent="0.25">
      <c r="B9" s="20" t="s">
        <v>43</v>
      </c>
      <c r="C9" s="21">
        <v>30</v>
      </c>
      <c r="D9" s="21">
        <f t="shared" si="0"/>
        <v>120</v>
      </c>
      <c r="E9" s="21">
        <f t="shared" si="1"/>
        <v>120</v>
      </c>
      <c r="F9" s="21">
        <f t="shared" si="1"/>
        <v>120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1:18" x14ac:dyDescent="0.2">
      <c r="H10" s="158"/>
      <c r="I10" s="52"/>
      <c r="J10" s="52"/>
      <c r="K10" s="52"/>
      <c r="L10" s="52"/>
      <c r="M10" s="52"/>
      <c r="N10" s="52"/>
      <c r="O10" s="52"/>
      <c r="P10" s="52"/>
      <c r="Q10" s="52"/>
      <c r="R10" s="52"/>
    </row>
    <row r="11" spans="1:18" ht="26" customHeight="1" x14ac:dyDescent="0.2">
      <c r="A11" s="165" t="s">
        <v>351</v>
      </c>
      <c r="C11" s="159"/>
      <c r="D11" s="159"/>
      <c r="E11" s="159"/>
      <c r="F11" s="163">
        <f>+D6</f>
        <v>60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</row>
    <row r="12" spans="1:18" ht="26" customHeight="1" x14ac:dyDescent="0.2">
      <c r="A12" s="165" t="s">
        <v>352</v>
      </c>
      <c r="C12" s="159"/>
      <c r="D12" s="159"/>
      <c r="E12" s="159"/>
      <c r="F12" s="163">
        <f>+E7</f>
        <v>90</v>
      </c>
      <c r="H12" s="158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18" ht="26" customHeight="1" x14ac:dyDescent="0.2">
      <c r="A13" s="165" t="s">
        <v>353</v>
      </c>
      <c r="C13" s="159"/>
      <c r="D13" s="159"/>
      <c r="E13" s="159"/>
      <c r="F13" s="163">
        <f>+F5</f>
        <v>120</v>
      </c>
    </row>
    <row r="14" spans="1:18" ht="23" customHeight="1" x14ac:dyDescent="0.2">
      <c r="A14" s="165" t="s">
        <v>354</v>
      </c>
      <c r="C14" s="159"/>
      <c r="D14" s="159"/>
      <c r="E14" s="164" t="s">
        <v>229</v>
      </c>
      <c r="F14" s="159"/>
    </row>
    <row r="15" spans="1:18" ht="24" x14ac:dyDescent="0.2">
      <c r="C15" s="162"/>
    </row>
  </sheetData>
  <mergeCells count="7">
    <mergeCell ref="L3:P3"/>
    <mergeCell ref="Q3:R4"/>
    <mergeCell ref="B2:C2"/>
    <mergeCell ref="H3:H4"/>
    <mergeCell ref="I3:I4"/>
    <mergeCell ref="J3:J4"/>
    <mergeCell ref="K3:K4"/>
  </mergeCells>
  <pageMargins left="0.75" right="0.75" top="1" bottom="1" header="0.5" footer="0.5"/>
  <pageSetup orientation="portrait" horizontalDpi="4294967292" verticalDpi="4294967292"/>
  <ignoredErrors>
    <ignoredError sqref="E6 F7" formula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G12"/>
  <sheetViews>
    <sheetView showGridLines="0" zoomScaleNormal="100" zoomScalePageLayoutView="125" workbookViewId="0">
      <selection activeCell="B19" sqref="B19"/>
    </sheetView>
  </sheetViews>
  <sheetFormatPr baseColWidth="10" defaultColWidth="8.83203125" defaultRowHeight="15" x14ac:dyDescent="0.2"/>
  <cols>
    <col min="1" max="1" width="8.83203125" style="156"/>
    <col min="2" max="2" width="43.1640625" style="156" customWidth="1"/>
    <col min="3" max="7" width="5.6640625" style="156" customWidth="1"/>
    <col min="8" max="16384" width="8.83203125" style="156"/>
  </cols>
  <sheetData>
    <row r="2" spans="2:7" x14ac:dyDescent="0.2">
      <c r="B2" s="157" t="s">
        <v>32</v>
      </c>
      <c r="C2" s="157"/>
      <c r="D2" s="157"/>
      <c r="E2" s="157"/>
      <c r="F2" s="157"/>
      <c r="G2" s="157"/>
    </row>
    <row r="3" spans="2:7" x14ac:dyDescent="0.2">
      <c r="B3" s="157" t="s">
        <v>322</v>
      </c>
      <c r="C3" s="157"/>
      <c r="D3" s="157"/>
      <c r="E3" s="157"/>
      <c r="F3" s="157"/>
      <c r="G3" s="157"/>
    </row>
    <row r="4" spans="2:7" x14ac:dyDescent="0.2">
      <c r="B4" s="157" t="s">
        <v>323</v>
      </c>
      <c r="C4" s="157"/>
      <c r="D4" s="157"/>
      <c r="E4" s="157"/>
      <c r="F4" s="157"/>
      <c r="G4" s="157"/>
    </row>
    <row r="5" spans="2:7" x14ac:dyDescent="0.2">
      <c r="B5" s="157" t="s">
        <v>324</v>
      </c>
      <c r="C5" s="157"/>
      <c r="D5" s="157"/>
      <c r="E5" s="157"/>
      <c r="F5" s="157"/>
      <c r="G5" s="157"/>
    </row>
    <row r="6" spans="2:7" x14ac:dyDescent="0.2">
      <c r="B6" s="157" t="s">
        <v>325</v>
      </c>
      <c r="C6" s="157"/>
      <c r="D6" s="157"/>
      <c r="E6" s="157"/>
      <c r="F6" s="157"/>
      <c r="G6" s="157"/>
    </row>
    <row r="7" spans="2:7" x14ac:dyDescent="0.2">
      <c r="B7" s="157" t="s">
        <v>326</v>
      </c>
      <c r="C7" s="157"/>
      <c r="D7" s="157"/>
      <c r="E7" s="157"/>
      <c r="F7" s="157"/>
      <c r="G7" s="157"/>
    </row>
    <row r="8" spans="2:7" x14ac:dyDescent="0.2">
      <c r="B8" s="157" t="s">
        <v>327</v>
      </c>
      <c r="C8" s="157"/>
      <c r="D8" s="157"/>
      <c r="E8" s="157"/>
      <c r="F8" s="157"/>
      <c r="G8" s="157"/>
    </row>
    <row r="9" spans="2:7" x14ac:dyDescent="0.2">
      <c r="B9" s="157" t="s">
        <v>328</v>
      </c>
      <c r="C9" s="157"/>
      <c r="D9" s="157"/>
      <c r="E9" s="157"/>
      <c r="F9" s="157"/>
      <c r="G9" s="157"/>
    </row>
    <row r="10" spans="2:7" x14ac:dyDescent="0.2">
      <c r="B10" s="157" t="s">
        <v>329</v>
      </c>
      <c r="C10" s="157"/>
      <c r="D10" s="157"/>
      <c r="E10" s="157"/>
      <c r="F10" s="157"/>
      <c r="G10" s="157"/>
    </row>
    <row r="11" spans="2:7" x14ac:dyDescent="0.2">
      <c r="B11" s="157" t="s">
        <v>330</v>
      </c>
      <c r="C11" s="157"/>
      <c r="D11" s="157"/>
      <c r="E11" s="157"/>
      <c r="F11" s="157"/>
      <c r="G11" s="157"/>
    </row>
    <row r="12" spans="2:7" x14ac:dyDescent="0.2">
      <c r="B12" s="157" t="s">
        <v>331</v>
      </c>
      <c r="C12" s="157"/>
      <c r="D12" s="157"/>
      <c r="E12" s="157"/>
      <c r="F12" s="157"/>
      <c r="G12" s="15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G17"/>
  <sheetViews>
    <sheetView showGridLines="0" zoomScaleNormal="100" zoomScalePageLayoutView="125" workbookViewId="0">
      <selection activeCell="B23" sqref="B23"/>
    </sheetView>
  </sheetViews>
  <sheetFormatPr baseColWidth="10" defaultColWidth="8.83203125" defaultRowHeight="15" x14ac:dyDescent="0.2"/>
  <cols>
    <col min="1" max="1" width="8.83203125" style="156"/>
    <col min="2" max="2" width="43.1640625" style="156" customWidth="1"/>
    <col min="3" max="7" width="5.6640625" style="156" customWidth="1"/>
    <col min="8" max="16384" width="8.83203125" style="156"/>
  </cols>
  <sheetData>
    <row r="2" spans="2:7" x14ac:dyDescent="0.2">
      <c r="B2" s="157" t="s">
        <v>32</v>
      </c>
      <c r="C2" s="157"/>
      <c r="D2" s="157"/>
      <c r="E2" s="157"/>
      <c r="F2" s="157"/>
      <c r="G2" s="157"/>
    </row>
    <row r="3" spans="2:7" x14ac:dyDescent="0.2">
      <c r="B3" s="157" t="s">
        <v>332</v>
      </c>
      <c r="C3" s="157"/>
      <c r="D3" s="157"/>
      <c r="E3" s="157"/>
      <c r="F3" s="157"/>
      <c r="G3" s="157"/>
    </row>
    <row r="4" spans="2:7" x14ac:dyDescent="0.2">
      <c r="B4" s="157" t="s">
        <v>333</v>
      </c>
      <c r="C4" s="157"/>
      <c r="D4" s="157"/>
      <c r="E4" s="157"/>
      <c r="F4" s="157"/>
      <c r="G4" s="157"/>
    </row>
    <row r="5" spans="2:7" x14ac:dyDescent="0.2">
      <c r="B5" s="157" t="s">
        <v>334</v>
      </c>
      <c r="C5" s="157"/>
      <c r="D5" s="157"/>
      <c r="E5" s="157"/>
      <c r="F5" s="157"/>
      <c r="G5" s="157"/>
    </row>
    <row r="6" spans="2:7" x14ac:dyDescent="0.2">
      <c r="B6" s="157" t="s">
        <v>335</v>
      </c>
      <c r="C6" s="157"/>
      <c r="D6" s="157"/>
      <c r="E6" s="157"/>
      <c r="F6" s="157"/>
      <c r="G6" s="157"/>
    </row>
    <row r="7" spans="2:7" x14ac:dyDescent="0.2">
      <c r="B7" s="157" t="s">
        <v>336</v>
      </c>
      <c r="C7" s="157"/>
      <c r="D7" s="157"/>
      <c r="E7" s="157"/>
      <c r="F7" s="157"/>
      <c r="G7" s="157"/>
    </row>
    <row r="8" spans="2:7" x14ac:dyDescent="0.2">
      <c r="B8" s="157" t="s">
        <v>337</v>
      </c>
      <c r="C8" s="157"/>
      <c r="D8" s="157"/>
      <c r="E8" s="157"/>
      <c r="F8" s="157"/>
      <c r="G8" s="157"/>
    </row>
    <row r="9" spans="2:7" x14ac:dyDescent="0.2">
      <c r="B9" s="157" t="s">
        <v>338</v>
      </c>
      <c r="C9" s="157"/>
      <c r="D9" s="157"/>
      <c r="E9" s="157"/>
      <c r="F9" s="157"/>
      <c r="G9" s="157"/>
    </row>
    <row r="10" spans="2:7" x14ac:dyDescent="0.2">
      <c r="B10" s="157" t="s">
        <v>339</v>
      </c>
      <c r="C10" s="157"/>
      <c r="D10" s="157"/>
      <c r="E10" s="157"/>
      <c r="F10" s="157"/>
      <c r="G10" s="157"/>
    </row>
    <row r="11" spans="2:7" x14ac:dyDescent="0.2">
      <c r="B11" s="157" t="s">
        <v>340</v>
      </c>
      <c r="C11" s="157"/>
      <c r="D11" s="157"/>
      <c r="E11" s="157"/>
      <c r="F11" s="157"/>
      <c r="G11" s="157"/>
    </row>
    <row r="12" spans="2:7" x14ac:dyDescent="0.2">
      <c r="B12" s="157" t="s">
        <v>341</v>
      </c>
      <c r="C12" s="157"/>
      <c r="D12" s="157"/>
      <c r="E12" s="157"/>
      <c r="F12" s="157"/>
      <c r="G12" s="157"/>
    </row>
    <row r="13" spans="2:7" x14ac:dyDescent="0.2">
      <c r="B13" s="157" t="s">
        <v>342</v>
      </c>
      <c r="C13" s="157"/>
      <c r="D13" s="157"/>
      <c r="E13" s="157"/>
      <c r="F13" s="157"/>
      <c r="G13" s="157"/>
    </row>
    <row r="14" spans="2:7" x14ac:dyDescent="0.2">
      <c r="B14" s="157" t="s">
        <v>343</v>
      </c>
      <c r="C14" s="157"/>
      <c r="D14" s="157"/>
      <c r="E14" s="157"/>
      <c r="F14" s="157"/>
      <c r="G14" s="157"/>
    </row>
    <row r="15" spans="2:7" x14ac:dyDescent="0.2">
      <c r="B15" s="157" t="s">
        <v>344</v>
      </c>
      <c r="C15" s="157"/>
      <c r="D15" s="157"/>
      <c r="E15" s="157"/>
      <c r="F15" s="157"/>
      <c r="G15" s="157"/>
    </row>
    <row r="16" spans="2:7" x14ac:dyDescent="0.2">
      <c r="B16" s="157" t="s">
        <v>345</v>
      </c>
      <c r="C16" s="157"/>
      <c r="D16" s="157"/>
      <c r="E16" s="157"/>
      <c r="F16" s="157"/>
      <c r="G16" s="157"/>
    </row>
    <row r="17" spans="2:7" x14ac:dyDescent="0.2">
      <c r="B17" s="157" t="s">
        <v>346</v>
      </c>
      <c r="C17" s="157"/>
      <c r="D17" s="157"/>
      <c r="E17" s="157"/>
      <c r="F17" s="157"/>
      <c r="G17" s="15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E614E-4379-0748-8E93-AD5F52122237}">
  <dimension ref="A35:J36"/>
  <sheetViews>
    <sheetView workbookViewId="0">
      <selection activeCell="J41" sqref="J41"/>
    </sheetView>
  </sheetViews>
  <sheetFormatPr baseColWidth="10" defaultRowHeight="15" x14ac:dyDescent="0.2"/>
  <cols>
    <col min="1" max="9" width="10.83203125" style="156"/>
    <col min="10" max="10" width="17.33203125" style="156" bestFit="1" customWidth="1"/>
    <col min="11" max="16384" width="10.83203125" style="156"/>
  </cols>
  <sheetData>
    <row r="35" spans="1:10" ht="29" x14ac:dyDescent="0.35">
      <c r="J35" s="240" t="s">
        <v>614</v>
      </c>
    </row>
    <row r="36" spans="1:10" ht="29" x14ac:dyDescent="0.35">
      <c r="A36" s="240"/>
      <c r="B36" s="240"/>
      <c r="C36" s="240">
        <f>15+4</f>
        <v>19</v>
      </c>
      <c r="D36" s="240"/>
      <c r="E36" s="240"/>
      <c r="F36" s="240">
        <f>3+17.2+2.5</f>
        <v>22.7</v>
      </c>
      <c r="G36" s="240"/>
      <c r="H36" s="240">
        <f>4.3+20+2.5</f>
        <v>26.8</v>
      </c>
      <c r="J36" s="240">
        <f>MAX(C36,F36,H36)+12.6</f>
        <v>39.4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BAFD-FC28-BF47-99F3-0732E2E03049}">
  <dimension ref="B1:L46"/>
  <sheetViews>
    <sheetView zoomScaleNormal="100" workbookViewId="0">
      <selection activeCell="J26" sqref="J26"/>
    </sheetView>
  </sheetViews>
  <sheetFormatPr baseColWidth="10" defaultRowHeight="16" x14ac:dyDescent="0.2"/>
  <cols>
    <col min="1" max="1" width="10.83203125" style="241"/>
    <col min="2" max="2" width="5.6640625" style="241" customWidth="1"/>
    <col min="3" max="3" width="65.1640625" style="241" customWidth="1"/>
    <col min="4" max="4" width="12.33203125" style="241" customWidth="1"/>
    <col min="5" max="16384" width="10.83203125" style="241"/>
  </cols>
  <sheetData>
    <row r="1" spans="2:12" ht="17" thickBot="1" x14ac:dyDescent="0.25"/>
    <row r="2" spans="2:12" ht="26" x14ac:dyDescent="0.3">
      <c r="B2" s="307" t="s">
        <v>615</v>
      </c>
      <c r="C2" s="308"/>
      <c r="D2" s="309" t="s">
        <v>616</v>
      </c>
      <c r="E2" s="309"/>
      <c r="F2" s="309"/>
      <c r="G2" s="309"/>
      <c r="H2" s="310"/>
    </row>
    <row r="3" spans="2:12" ht="54" customHeight="1" x14ac:dyDescent="0.25">
      <c r="B3" s="242" t="s">
        <v>617</v>
      </c>
      <c r="C3" s="243" t="s">
        <v>233</v>
      </c>
      <c r="D3" s="244"/>
      <c r="E3" s="244"/>
      <c r="F3" s="244"/>
      <c r="G3" s="244"/>
      <c r="H3" s="245"/>
    </row>
    <row r="4" spans="2:12" ht="67" customHeight="1" x14ac:dyDescent="0.25">
      <c r="B4" s="246">
        <v>1</v>
      </c>
      <c r="C4" s="247" t="s">
        <v>618</v>
      </c>
      <c r="D4" s="244"/>
      <c r="E4" s="244"/>
      <c r="F4" s="244"/>
      <c r="G4" s="244"/>
      <c r="H4" s="245"/>
      <c r="I4" s="311" t="s">
        <v>619</v>
      </c>
      <c r="J4" s="312"/>
      <c r="K4" s="312"/>
      <c r="L4" s="312"/>
    </row>
    <row r="5" spans="2:12" ht="22" x14ac:dyDescent="0.25">
      <c r="B5" s="246">
        <f>B4+1</f>
        <v>2</v>
      </c>
      <c r="C5" s="247" t="s">
        <v>620</v>
      </c>
      <c r="D5" s="244"/>
      <c r="E5" s="244"/>
      <c r="F5" s="244"/>
      <c r="G5" s="244"/>
      <c r="H5" s="245"/>
    </row>
    <row r="6" spans="2:12" ht="21" x14ac:dyDescent="0.25">
      <c r="B6" s="246">
        <f t="shared" ref="B6:B16" si="0">B5+1</f>
        <v>3</v>
      </c>
      <c r="C6" s="244" t="s">
        <v>621</v>
      </c>
      <c r="D6" s="244"/>
      <c r="E6" s="244"/>
      <c r="F6" s="244"/>
      <c r="G6" s="244"/>
      <c r="H6" s="245"/>
    </row>
    <row r="7" spans="2:12" ht="21" x14ac:dyDescent="0.25">
      <c r="B7" s="246">
        <f t="shared" si="0"/>
        <v>4</v>
      </c>
      <c r="C7" s="244" t="s">
        <v>622</v>
      </c>
      <c r="D7" s="244"/>
      <c r="E7" s="244"/>
      <c r="F7" s="244"/>
      <c r="G7" s="244"/>
      <c r="H7" s="245"/>
    </row>
    <row r="8" spans="2:12" ht="21" x14ac:dyDescent="0.25">
      <c r="B8" s="246">
        <f t="shared" si="0"/>
        <v>5</v>
      </c>
      <c r="C8" s="244" t="s">
        <v>623</v>
      </c>
      <c r="D8" s="244"/>
      <c r="E8" s="244"/>
      <c r="F8" s="244"/>
      <c r="G8" s="244"/>
      <c r="H8" s="245"/>
    </row>
    <row r="9" spans="2:12" ht="21" x14ac:dyDescent="0.25">
      <c r="B9" s="246">
        <f t="shared" si="0"/>
        <v>6</v>
      </c>
      <c r="C9" s="244" t="s">
        <v>624</v>
      </c>
      <c r="D9" s="244"/>
      <c r="E9" s="244"/>
      <c r="F9" s="244"/>
      <c r="G9" s="244"/>
      <c r="H9" s="245"/>
    </row>
    <row r="10" spans="2:12" ht="21" x14ac:dyDescent="0.25">
      <c r="B10" s="246">
        <f t="shared" si="0"/>
        <v>7</v>
      </c>
      <c r="C10" s="244" t="s">
        <v>625</v>
      </c>
      <c r="D10" s="244"/>
      <c r="E10" s="244"/>
      <c r="F10" s="244"/>
      <c r="G10" s="244"/>
      <c r="H10" s="245"/>
    </row>
    <row r="11" spans="2:12" ht="21" x14ac:dyDescent="0.25">
      <c r="B11" s="246">
        <f t="shared" si="0"/>
        <v>8</v>
      </c>
      <c r="C11" s="244" t="s">
        <v>626</v>
      </c>
      <c r="D11" s="244"/>
      <c r="E11" s="244"/>
      <c r="F11" s="244"/>
      <c r="G11" s="244"/>
      <c r="H11" s="245"/>
    </row>
    <row r="12" spans="2:12" ht="21" x14ac:dyDescent="0.25">
      <c r="B12" s="246">
        <f t="shared" si="0"/>
        <v>9</v>
      </c>
      <c r="C12" s="244" t="s">
        <v>627</v>
      </c>
      <c r="D12" s="244"/>
      <c r="E12" s="244"/>
      <c r="F12" s="244"/>
      <c r="G12" s="244"/>
      <c r="H12" s="245"/>
    </row>
    <row r="13" spans="2:12" ht="21" x14ac:dyDescent="0.25">
      <c r="B13" s="246">
        <f t="shared" si="0"/>
        <v>10</v>
      </c>
      <c r="C13" s="244" t="s">
        <v>628</v>
      </c>
      <c r="D13" s="244"/>
      <c r="E13" s="244"/>
      <c r="F13" s="244"/>
      <c r="G13" s="244"/>
      <c r="H13" s="245"/>
    </row>
    <row r="14" spans="2:12" ht="21" x14ac:dyDescent="0.25">
      <c r="B14" s="246">
        <f t="shared" si="0"/>
        <v>11</v>
      </c>
      <c r="C14" s="244" t="s">
        <v>629</v>
      </c>
      <c r="D14" s="244"/>
      <c r="E14" s="244"/>
      <c r="F14" s="244"/>
      <c r="G14" s="244"/>
      <c r="H14" s="245"/>
    </row>
    <row r="15" spans="2:12" ht="21" x14ac:dyDescent="0.25">
      <c r="B15" s="246">
        <f t="shared" si="0"/>
        <v>12</v>
      </c>
      <c r="C15" s="244" t="s">
        <v>630</v>
      </c>
      <c r="D15" s="244"/>
      <c r="E15" s="244"/>
      <c r="F15" s="244"/>
      <c r="G15" s="244"/>
      <c r="H15" s="245"/>
    </row>
    <row r="16" spans="2:12" ht="22" thickBot="1" x14ac:dyDescent="0.3">
      <c r="B16" s="248">
        <f t="shared" si="0"/>
        <v>13</v>
      </c>
      <c r="C16" s="249" t="s">
        <v>631</v>
      </c>
      <c r="D16" s="249"/>
      <c r="E16" s="249"/>
      <c r="F16" s="249"/>
      <c r="G16" s="249"/>
      <c r="H16" s="250"/>
    </row>
    <row r="17" spans="2:8" ht="21" x14ac:dyDescent="0.25">
      <c r="B17" s="251"/>
      <c r="C17" s="251"/>
      <c r="D17" s="251"/>
      <c r="E17" s="251"/>
      <c r="F17" s="251"/>
      <c r="G17" s="251"/>
      <c r="H17" s="251"/>
    </row>
    <row r="18" spans="2:8" ht="21" x14ac:dyDescent="0.25">
      <c r="B18" s="244"/>
      <c r="C18" s="244"/>
      <c r="D18" s="244"/>
      <c r="E18" s="244"/>
      <c r="F18" s="244"/>
      <c r="G18" s="244"/>
      <c r="H18" s="244"/>
    </row>
    <row r="19" spans="2:8" ht="21" x14ac:dyDescent="0.25">
      <c r="B19" s="244"/>
      <c r="C19" s="244"/>
      <c r="D19" s="244"/>
      <c r="E19" s="244"/>
      <c r="F19" s="244"/>
      <c r="G19" s="244"/>
      <c r="H19" s="244"/>
    </row>
    <row r="20" spans="2:8" ht="21" x14ac:dyDescent="0.25">
      <c r="B20" s="244"/>
      <c r="C20" s="244"/>
      <c r="D20" s="244"/>
      <c r="E20" s="244"/>
      <c r="F20" s="244"/>
      <c r="G20" s="244"/>
      <c r="H20" s="244"/>
    </row>
    <row r="21" spans="2:8" ht="21" x14ac:dyDescent="0.25">
      <c r="B21" s="244"/>
      <c r="C21" s="244"/>
      <c r="D21" s="244"/>
      <c r="E21" s="244"/>
      <c r="F21" s="244"/>
      <c r="G21" s="244"/>
      <c r="H21" s="244"/>
    </row>
    <row r="22" spans="2:8" ht="21" x14ac:dyDescent="0.25">
      <c r="B22" s="244"/>
      <c r="C22" s="244"/>
      <c r="D22" s="244"/>
      <c r="E22" s="244"/>
      <c r="F22" s="244"/>
      <c r="G22" s="244"/>
      <c r="H22" s="244"/>
    </row>
    <row r="23" spans="2:8" ht="21" x14ac:dyDescent="0.25">
      <c r="B23" s="244"/>
      <c r="C23" s="244"/>
      <c r="D23" s="244"/>
      <c r="E23" s="244"/>
      <c r="F23" s="244"/>
      <c r="G23" s="244"/>
      <c r="H23" s="244"/>
    </row>
    <row r="24" spans="2:8" ht="21" x14ac:dyDescent="0.25">
      <c r="B24" s="244"/>
      <c r="C24" s="244"/>
      <c r="D24" s="244"/>
      <c r="E24" s="244"/>
      <c r="F24" s="244"/>
      <c r="G24" s="244"/>
      <c r="H24" s="244"/>
    </row>
    <row r="25" spans="2:8" ht="21" x14ac:dyDescent="0.25">
      <c r="B25" s="244"/>
      <c r="C25" s="244"/>
      <c r="D25" s="244"/>
      <c r="E25" s="244"/>
      <c r="F25" s="244"/>
      <c r="G25" s="244"/>
      <c r="H25" s="244"/>
    </row>
    <row r="26" spans="2:8" ht="21" x14ac:dyDescent="0.25">
      <c r="B26" s="244"/>
      <c r="C26" s="244"/>
      <c r="D26" s="244"/>
      <c r="E26" s="244"/>
      <c r="F26" s="244"/>
      <c r="G26" s="244"/>
      <c r="H26" s="244"/>
    </row>
    <row r="27" spans="2:8" ht="21" x14ac:dyDescent="0.25">
      <c r="B27" s="244"/>
      <c r="C27" s="244"/>
      <c r="D27" s="244"/>
      <c r="E27" s="244"/>
      <c r="F27" s="244"/>
      <c r="G27" s="244"/>
      <c r="H27" s="244"/>
    </row>
    <row r="28" spans="2:8" ht="21" x14ac:dyDescent="0.25">
      <c r="B28" s="244"/>
      <c r="C28" s="244"/>
      <c r="D28" s="244"/>
      <c r="E28" s="244"/>
      <c r="F28" s="244"/>
      <c r="G28" s="244"/>
      <c r="H28" s="244"/>
    </row>
    <row r="29" spans="2:8" ht="21" x14ac:dyDescent="0.25">
      <c r="B29" s="244"/>
      <c r="C29" s="244"/>
      <c r="D29" s="244"/>
      <c r="E29" s="244"/>
      <c r="F29" s="244"/>
      <c r="G29" s="244"/>
      <c r="H29" s="244"/>
    </row>
    <row r="30" spans="2:8" ht="21" x14ac:dyDescent="0.25">
      <c r="B30" s="244"/>
      <c r="C30" s="244"/>
      <c r="D30" s="244"/>
      <c r="E30" s="244"/>
      <c r="F30" s="244"/>
      <c r="G30" s="244"/>
      <c r="H30" s="244"/>
    </row>
    <row r="31" spans="2:8" ht="21" x14ac:dyDescent="0.25">
      <c r="B31" s="244"/>
      <c r="C31" s="244"/>
      <c r="D31" s="244"/>
      <c r="E31" s="244"/>
      <c r="F31" s="244"/>
      <c r="G31" s="244"/>
      <c r="H31" s="244"/>
    </row>
    <row r="32" spans="2:8" ht="21" x14ac:dyDescent="0.25">
      <c r="B32" s="244"/>
      <c r="C32" s="244"/>
      <c r="D32" s="244"/>
      <c r="E32" s="244"/>
      <c r="F32" s="244"/>
      <c r="G32" s="244"/>
      <c r="H32" s="244"/>
    </row>
    <row r="33" spans="2:8" ht="21" x14ac:dyDescent="0.25">
      <c r="B33" s="244"/>
      <c r="C33" s="244"/>
      <c r="D33" s="244"/>
      <c r="E33" s="244"/>
      <c r="F33" s="244"/>
      <c r="G33" s="244"/>
      <c r="H33" s="244"/>
    </row>
    <row r="34" spans="2:8" ht="21" x14ac:dyDescent="0.25">
      <c r="B34" s="244"/>
      <c r="C34" s="244"/>
      <c r="D34" s="244"/>
      <c r="E34" s="244"/>
      <c r="F34" s="244"/>
      <c r="G34" s="244"/>
      <c r="H34" s="244"/>
    </row>
    <row r="35" spans="2:8" ht="21" x14ac:dyDescent="0.25">
      <c r="B35" s="244"/>
      <c r="C35" s="244"/>
      <c r="D35" s="244"/>
      <c r="E35" s="244"/>
      <c r="F35" s="244"/>
      <c r="G35" s="244"/>
      <c r="H35" s="244"/>
    </row>
    <row r="36" spans="2:8" ht="21" x14ac:dyDescent="0.25">
      <c r="B36" s="244"/>
      <c r="C36" s="244"/>
      <c r="D36" s="244"/>
      <c r="E36" s="244"/>
      <c r="F36" s="244"/>
      <c r="G36" s="244"/>
      <c r="H36" s="244"/>
    </row>
    <row r="37" spans="2:8" ht="21" x14ac:dyDescent="0.25">
      <c r="B37" s="244"/>
      <c r="C37" s="244"/>
      <c r="D37" s="244"/>
      <c r="E37" s="244"/>
      <c r="F37" s="244"/>
      <c r="G37" s="244"/>
      <c r="H37" s="244"/>
    </row>
    <row r="38" spans="2:8" ht="21" x14ac:dyDescent="0.25">
      <c r="B38" s="244"/>
      <c r="C38" s="244"/>
      <c r="D38" s="244"/>
      <c r="E38" s="244"/>
      <c r="F38" s="244"/>
      <c r="G38" s="244"/>
      <c r="H38" s="244"/>
    </row>
    <row r="39" spans="2:8" ht="21" x14ac:dyDescent="0.25">
      <c r="B39" s="244"/>
      <c r="C39" s="244"/>
      <c r="D39" s="244"/>
      <c r="E39" s="244"/>
      <c r="F39" s="244"/>
      <c r="G39" s="244"/>
      <c r="H39" s="244"/>
    </row>
    <row r="40" spans="2:8" ht="21" x14ac:dyDescent="0.25">
      <c r="B40" s="244"/>
      <c r="C40" s="244"/>
      <c r="D40" s="244"/>
      <c r="E40" s="244"/>
      <c r="F40" s="244"/>
      <c r="G40" s="244"/>
      <c r="H40" s="244"/>
    </row>
    <row r="41" spans="2:8" ht="21" x14ac:dyDescent="0.25">
      <c r="B41" s="244"/>
      <c r="C41" s="244"/>
      <c r="D41" s="244"/>
      <c r="E41" s="244"/>
      <c r="F41" s="244"/>
      <c r="G41" s="244"/>
      <c r="H41" s="244"/>
    </row>
    <row r="42" spans="2:8" ht="21" x14ac:dyDescent="0.25">
      <c r="B42" s="244"/>
      <c r="C42" s="244"/>
      <c r="D42" s="244"/>
      <c r="E42" s="244"/>
      <c r="F42" s="244"/>
      <c r="G42" s="244"/>
      <c r="H42" s="244"/>
    </row>
    <row r="43" spans="2:8" ht="21" x14ac:dyDescent="0.25">
      <c r="B43" s="244"/>
      <c r="C43" s="244"/>
      <c r="D43" s="244"/>
      <c r="E43" s="244"/>
      <c r="F43" s="244"/>
      <c r="G43" s="244"/>
      <c r="H43" s="244"/>
    </row>
    <row r="44" spans="2:8" ht="21" x14ac:dyDescent="0.25">
      <c r="B44" s="244"/>
      <c r="C44" s="244"/>
      <c r="D44" s="244"/>
      <c r="E44" s="244"/>
      <c r="F44" s="244"/>
      <c r="G44" s="244"/>
      <c r="H44" s="244"/>
    </row>
    <row r="45" spans="2:8" ht="21" x14ac:dyDescent="0.25">
      <c r="B45" s="244"/>
      <c r="C45" s="244"/>
      <c r="D45" s="244"/>
      <c r="E45" s="244"/>
      <c r="F45" s="244"/>
      <c r="G45" s="244"/>
      <c r="H45" s="244"/>
    </row>
    <row r="46" spans="2:8" ht="21" x14ac:dyDescent="0.25">
      <c r="B46" s="244"/>
      <c r="C46" s="244"/>
      <c r="D46" s="244"/>
      <c r="E46" s="244"/>
      <c r="F46" s="244"/>
      <c r="G46" s="244"/>
      <c r="H46" s="244"/>
    </row>
  </sheetData>
  <mergeCells count="3">
    <mergeCell ref="B2:C2"/>
    <mergeCell ref="D2:H2"/>
    <mergeCell ref="I4:L4"/>
  </mergeCells>
  <pageMargins left="0.75" right="0.75" top="1" bottom="1" header="0.5" footer="0.5"/>
  <pageSetup orientation="portrait" horizontalDpi="0" verticalDpi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M10"/>
  <sheetViews>
    <sheetView workbookViewId="0">
      <selection activeCell="J18" sqref="J18"/>
    </sheetView>
  </sheetViews>
  <sheetFormatPr baseColWidth="10" defaultRowHeight="16" x14ac:dyDescent="0.2"/>
  <cols>
    <col min="2" max="2" width="24.33203125" customWidth="1"/>
    <col min="11" max="11" width="12.1640625" customWidth="1"/>
  </cols>
  <sheetData>
    <row r="1" spans="2:13" ht="17" thickBot="1" x14ac:dyDescent="0.25"/>
    <row r="2" spans="2:13" ht="51" x14ac:dyDescent="0.2">
      <c r="B2" s="41" t="s">
        <v>80</v>
      </c>
      <c r="C2" s="42">
        <v>1</v>
      </c>
      <c r="D2" s="42">
        <v>2</v>
      </c>
      <c r="E2" s="42">
        <v>3</v>
      </c>
      <c r="F2" s="42">
        <v>4</v>
      </c>
      <c r="G2" s="42">
        <v>5</v>
      </c>
      <c r="H2" s="43" t="s">
        <v>81</v>
      </c>
      <c r="I2" s="44" t="s">
        <v>82</v>
      </c>
      <c r="J2" s="45" t="s">
        <v>83</v>
      </c>
      <c r="K2" s="46" t="s">
        <v>84</v>
      </c>
      <c r="L2" s="45" t="s">
        <v>85</v>
      </c>
      <c r="M2" s="47" t="s">
        <v>86</v>
      </c>
    </row>
    <row r="3" spans="2:13" x14ac:dyDescent="0.2">
      <c r="B3" s="2" t="s">
        <v>87</v>
      </c>
      <c r="C3" s="48">
        <v>8</v>
      </c>
      <c r="D3" s="48">
        <v>9</v>
      </c>
      <c r="E3" s="48">
        <v>8</v>
      </c>
      <c r="F3" s="48">
        <v>11</v>
      </c>
      <c r="G3" s="48">
        <v>7</v>
      </c>
      <c r="H3" s="49">
        <v>1.1000000000000001</v>
      </c>
      <c r="I3" s="50">
        <f>AVERAGE(C3:G3)</f>
        <v>8.6</v>
      </c>
      <c r="J3" s="51">
        <f>+I3*H3</f>
        <v>9.4600000000000009</v>
      </c>
      <c r="K3" s="51">
        <f>+J3/(1-$C$8)</f>
        <v>11.536585365853659</v>
      </c>
      <c r="L3" s="52">
        <v>1.5165</v>
      </c>
      <c r="M3" s="53">
        <f>POWER(+($F$9*L3)/($C$10*I3),2)</f>
        <v>28.356915718994607</v>
      </c>
    </row>
    <row r="4" spans="2:13" x14ac:dyDescent="0.2">
      <c r="B4" s="2" t="s">
        <v>88</v>
      </c>
      <c r="C4" s="48">
        <v>36</v>
      </c>
      <c r="D4" s="48">
        <v>41</v>
      </c>
      <c r="E4" s="48">
        <v>39</v>
      </c>
      <c r="F4" s="48">
        <v>35</v>
      </c>
      <c r="G4" s="48" t="s">
        <v>89</v>
      </c>
      <c r="H4" s="49">
        <v>0.85</v>
      </c>
      <c r="I4" s="50">
        <f>AVERAGE(C4:F4)</f>
        <v>37.75</v>
      </c>
      <c r="J4" s="51">
        <f t="shared" ref="J4:J6" si="0">+I4*H4</f>
        <v>32.087499999999999</v>
      </c>
      <c r="K4" s="51">
        <f t="shared" ref="K4:K6" si="1">+J4/(1-$C$8)</f>
        <v>39.131097560975604</v>
      </c>
      <c r="L4" s="52">
        <v>2.7536999999999998</v>
      </c>
      <c r="M4" s="53">
        <f t="shared" ref="M4:M6" si="2">POWER(+($F$9*L4)/($C$10*I4),2)</f>
        <v>4.852554288749964</v>
      </c>
    </row>
    <row r="5" spans="2:13" x14ac:dyDescent="0.2">
      <c r="B5" s="2" t="s">
        <v>90</v>
      </c>
      <c r="C5" s="48">
        <v>15</v>
      </c>
      <c r="D5" s="48">
        <v>17</v>
      </c>
      <c r="E5" s="48">
        <v>13</v>
      </c>
      <c r="F5" s="48">
        <v>20</v>
      </c>
      <c r="G5" s="48">
        <v>18</v>
      </c>
      <c r="H5" s="49">
        <v>1.05</v>
      </c>
      <c r="I5" s="50">
        <f>AVERAGE(C5:G5)</f>
        <v>16.600000000000001</v>
      </c>
      <c r="J5" s="51">
        <f t="shared" si="0"/>
        <v>17.430000000000003</v>
      </c>
      <c r="K5" s="51">
        <f t="shared" si="1"/>
        <v>21.256097560975611</v>
      </c>
      <c r="L5" s="52">
        <v>2.7018</v>
      </c>
      <c r="M5" s="53">
        <f t="shared" si="2"/>
        <v>24.158017093121551</v>
      </c>
    </row>
    <row r="6" spans="2:13" ht="35" thickBot="1" x14ac:dyDescent="0.25">
      <c r="B6" s="5" t="s">
        <v>91</v>
      </c>
      <c r="C6" s="54">
        <v>8</v>
      </c>
      <c r="D6" s="54">
        <v>6</v>
      </c>
      <c r="E6" s="54">
        <v>9</v>
      </c>
      <c r="F6" s="54" t="s">
        <v>92</v>
      </c>
      <c r="G6" s="54" t="s">
        <v>93</v>
      </c>
      <c r="H6" s="55">
        <v>0.9</v>
      </c>
      <c r="I6" s="56">
        <f>AVERAGE(C6:E6)</f>
        <v>7.666666666666667</v>
      </c>
      <c r="J6" s="57">
        <f t="shared" si="0"/>
        <v>6.9</v>
      </c>
      <c r="K6" s="57">
        <f t="shared" si="1"/>
        <v>8.4146341463414629</v>
      </c>
      <c r="L6" s="58">
        <v>1.5275000000000001</v>
      </c>
      <c r="M6" s="59">
        <f t="shared" si="2"/>
        <v>36.200981110389819</v>
      </c>
    </row>
    <row r="7" spans="2:13" ht="17" thickBot="1" x14ac:dyDescent="0.25">
      <c r="K7" s="60">
        <f>SUM(K3:K6)</f>
        <v>80.338414634146346</v>
      </c>
    </row>
    <row r="8" spans="2:13" x14ac:dyDescent="0.2">
      <c r="B8" t="s">
        <v>94</v>
      </c>
      <c r="C8" s="61">
        <v>0.18</v>
      </c>
    </row>
    <row r="9" spans="2:13" x14ac:dyDescent="0.2">
      <c r="B9" t="s">
        <v>95</v>
      </c>
      <c r="C9" s="61">
        <v>0.93</v>
      </c>
      <c r="D9" s="62">
        <f>+(1-C9)/2</f>
        <v>3.4999999999999976E-2</v>
      </c>
      <c r="E9" s="63">
        <f>+D9+C9</f>
        <v>0.96500000000000008</v>
      </c>
      <c r="F9" s="64">
        <f>_xlfn.NORM.S.INV(E9)</f>
        <v>1.8119106729525984</v>
      </c>
    </row>
    <row r="10" spans="2:13" x14ac:dyDescent="0.2">
      <c r="B10" t="s">
        <v>96</v>
      </c>
      <c r="C10" s="61">
        <v>0.06</v>
      </c>
    </row>
  </sheetData>
  <pageMargins left="0.75" right="0.75" top="1" bottom="1" header="0.5" footer="0.5"/>
  <ignoredErrors>
    <ignoredError sqref="I3 I5" formulaRange="1"/>
    <ignoredError sqref="I4" formula="1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I24"/>
  <sheetViews>
    <sheetView workbookViewId="0">
      <selection activeCell="M20" sqref="M20"/>
    </sheetView>
  </sheetViews>
  <sheetFormatPr baseColWidth="10" defaultRowHeight="16" x14ac:dyDescent="0.2"/>
  <sheetData>
    <row r="2" spans="2:9" ht="51" x14ac:dyDescent="0.2">
      <c r="B2" s="65" t="s">
        <v>97</v>
      </c>
      <c r="C2" s="65" t="s">
        <v>98</v>
      </c>
      <c r="D2" s="65" t="s">
        <v>99</v>
      </c>
      <c r="E2" s="65" t="s">
        <v>100</v>
      </c>
      <c r="F2" s="65" t="s">
        <v>101</v>
      </c>
      <c r="G2" s="65" t="s">
        <v>102</v>
      </c>
      <c r="H2" s="65" t="s">
        <v>103</v>
      </c>
    </row>
    <row r="3" spans="2:9" x14ac:dyDescent="0.2">
      <c r="B3" s="66">
        <v>1</v>
      </c>
      <c r="C3" s="66">
        <v>6</v>
      </c>
      <c r="D3" s="66">
        <v>1</v>
      </c>
      <c r="E3" s="66">
        <v>1</v>
      </c>
      <c r="F3" s="66"/>
      <c r="G3" s="66"/>
      <c r="H3" s="66">
        <v>2</v>
      </c>
    </row>
    <row r="4" spans="2:9" x14ac:dyDescent="0.2">
      <c r="B4" s="66">
        <v>2</v>
      </c>
      <c r="C4" s="66">
        <v>6</v>
      </c>
      <c r="D4" s="66">
        <v>1</v>
      </c>
      <c r="E4" s="66"/>
      <c r="F4" s="66">
        <v>1</v>
      </c>
      <c r="G4" s="66">
        <v>1</v>
      </c>
      <c r="H4" s="66">
        <v>1</v>
      </c>
    </row>
    <row r="5" spans="2:9" x14ac:dyDescent="0.2">
      <c r="B5" s="66">
        <v>3</v>
      </c>
      <c r="C5" s="66">
        <v>9</v>
      </c>
      <c r="D5" s="66"/>
      <c r="E5" s="66"/>
      <c r="F5" s="66">
        <v>1</v>
      </c>
      <c r="G5" s="66"/>
      <c r="H5" s="66"/>
    </row>
    <row r="6" spans="2:9" x14ac:dyDescent="0.2">
      <c r="B6" s="66">
        <v>4</v>
      </c>
      <c r="C6" s="66">
        <v>6</v>
      </c>
      <c r="D6" s="66">
        <v>1</v>
      </c>
      <c r="E6" s="66">
        <v>1</v>
      </c>
      <c r="F6" s="66"/>
      <c r="G6" s="66">
        <v>1</v>
      </c>
      <c r="H6" s="66">
        <v>1</v>
      </c>
    </row>
    <row r="7" spans="2:9" x14ac:dyDescent="0.2">
      <c r="B7" s="66">
        <v>5</v>
      </c>
      <c r="C7" s="66">
        <v>8</v>
      </c>
      <c r="D7" s="66"/>
      <c r="E7" s="66"/>
      <c r="F7" s="66">
        <v>1</v>
      </c>
      <c r="G7" s="66"/>
      <c r="H7" s="66">
        <v>1</v>
      </c>
    </row>
    <row r="8" spans="2:9" x14ac:dyDescent="0.2">
      <c r="B8" s="66">
        <v>6</v>
      </c>
      <c r="C8" s="66">
        <v>7</v>
      </c>
      <c r="D8" s="66">
        <v>2</v>
      </c>
      <c r="E8" s="66">
        <v>1</v>
      </c>
      <c r="F8" s="66"/>
      <c r="G8" s="66"/>
      <c r="H8" s="66"/>
    </row>
    <row r="9" spans="2:9" x14ac:dyDescent="0.2">
      <c r="B9" s="66">
        <v>7</v>
      </c>
      <c r="C9" s="66">
        <v>7</v>
      </c>
      <c r="D9" s="66">
        <v>1</v>
      </c>
      <c r="E9" s="66"/>
      <c r="F9" s="66">
        <v>1</v>
      </c>
      <c r="G9" s="66">
        <v>1</v>
      </c>
      <c r="H9" s="66"/>
    </row>
    <row r="10" spans="2:9" x14ac:dyDescent="0.2">
      <c r="B10" s="66">
        <v>8</v>
      </c>
      <c r="C10" s="66">
        <v>6</v>
      </c>
      <c r="D10" s="66">
        <v>1</v>
      </c>
      <c r="E10" s="66">
        <v>1</v>
      </c>
      <c r="F10" s="66"/>
      <c r="G10" s="66"/>
      <c r="H10" s="66">
        <v>2</v>
      </c>
    </row>
    <row r="11" spans="2:9" x14ac:dyDescent="0.2">
      <c r="B11" s="66">
        <v>9</v>
      </c>
      <c r="C11" s="66">
        <v>8</v>
      </c>
      <c r="D11" s="66">
        <v>1</v>
      </c>
      <c r="E11" s="66"/>
      <c r="F11" s="66"/>
      <c r="G11" s="66"/>
      <c r="H11" s="66">
        <v>1</v>
      </c>
    </row>
    <row r="12" spans="2:9" x14ac:dyDescent="0.2">
      <c r="B12" s="66">
        <v>10</v>
      </c>
      <c r="C12" s="66">
        <v>6</v>
      </c>
      <c r="D12" s="66">
        <v>3</v>
      </c>
      <c r="E12" s="66"/>
      <c r="F12" s="66">
        <v>1</v>
      </c>
      <c r="G12" s="66"/>
      <c r="H12" s="66"/>
    </row>
    <row r="13" spans="2:9" x14ac:dyDescent="0.2">
      <c r="B13" s="67" t="s">
        <v>104</v>
      </c>
      <c r="C13" s="67">
        <f>SUM(C3:C12)</f>
        <v>69</v>
      </c>
      <c r="D13" s="67">
        <f t="shared" ref="D13:H13" si="0">SUM(D3:D12)</f>
        <v>11</v>
      </c>
      <c r="E13" s="67">
        <f t="shared" si="0"/>
        <v>4</v>
      </c>
      <c r="F13" s="67">
        <f t="shared" si="0"/>
        <v>5</v>
      </c>
      <c r="G13" s="67">
        <f t="shared" si="0"/>
        <v>3</v>
      </c>
      <c r="H13" s="67">
        <f t="shared" si="0"/>
        <v>8</v>
      </c>
      <c r="I13">
        <f>SUM(C13:H13)</f>
        <v>100</v>
      </c>
    </row>
    <row r="14" spans="2:9" x14ac:dyDescent="0.2">
      <c r="B14" s="67" t="s">
        <v>105</v>
      </c>
      <c r="C14" s="68">
        <f>+C13/$I$13</f>
        <v>0.69</v>
      </c>
      <c r="D14" s="68">
        <f t="shared" ref="D14:H14" si="1">+D13/$I$13</f>
        <v>0.11</v>
      </c>
      <c r="E14" s="68">
        <f t="shared" si="1"/>
        <v>0.04</v>
      </c>
      <c r="F14" s="68">
        <f t="shared" si="1"/>
        <v>0.05</v>
      </c>
      <c r="G14" s="68">
        <f t="shared" si="1"/>
        <v>0.03</v>
      </c>
      <c r="H14" s="68">
        <f t="shared" si="1"/>
        <v>0.08</v>
      </c>
    </row>
    <row r="15" spans="2:9" x14ac:dyDescent="0.2">
      <c r="B15" s="67" t="s">
        <v>106</v>
      </c>
      <c r="C15" s="69">
        <f>1-C14</f>
        <v>0.31000000000000005</v>
      </c>
      <c r="D15" s="69">
        <f t="shared" ref="D15:H15" si="2">1-D14</f>
        <v>0.89</v>
      </c>
      <c r="E15" s="69">
        <f t="shared" si="2"/>
        <v>0.96</v>
      </c>
      <c r="F15" s="69">
        <f t="shared" si="2"/>
        <v>0.95</v>
      </c>
      <c r="G15" s="69">
        <f t="shared" si="2"/>
        <v>0.97</v>
      </c>
      <c r="H15" s="69">
        <f t="shared" si="2"/>
        <v>0.92</v>
      </c>
    </row>
    <row r="16" spans="2:9" x14ac:dyDescent="0.2">
      <c r="B16" s="70" t="s">
        <v>86</v>
      </c>
      <c r="C16" s="71">
        <f>ROUNDUP(+($F$19*C15*C14)/$C$18,0)</f>
        <v>329</v>
      </c>
      <c r="D16" s="71">
        <f t="shared" ref="D16:H16" si="3">ROUNDUP(+($F$19*D15*D14)/$C$18,0)</f>
        <v>151</v>
      </c>
      <c r="E16" s="71">
        <f t="shared" si="3"/>
        <v>60</v>
      </c>
      <c r="F16" s="71">
        <f t="shared" si="3"/>
        <v>73</v>
      </c>
      <c r="G16" s="71">
        <f t="shared" si="3"/>
        <v>45</v>
      </c>
      <c r="H16" s="71">
        <f t="shared" si="3"/>
        <v>114</v>
      </c>
    </row>
    <row r="18" spans="2:6" x14ac:dyDescent="0.2">
      <c r="B18" s="22" t="s">
        <v>107</v>
      </c>
      <c r="C18" s="72">
        <f>+POWER(0.05,2)</f>
        <v>2.5000000000000005E-3</v>
      </c>
    </row>
    <row r="19" spans="2:6" x14ac:dyDescent="0.2">
      <c r="B19" s="22" t="s">
        <v>108</v>
      </c>
      <c r="C19" s="14">
        <v>0.95</v>
      </c>
      <c r="D19" s="63">
        <f>+C19+0.025</f>
        <v>0.97499999999999998</v>
      </c>
      <c r="E19" s="64">
        <f>_xlfn.NORM.S.INV(D19)</f>
        <v>1.9599639845400536</v>
      </c>
      <c r="F19" s="64">
        <f>POWER(E19,2)</f>
        <v>3.8414588206941236</v>
      </c>
    </row>
    <row r="21" spans="2:6" x14ac:dyDescent="0.2">
      <c r="B21" t="s">
        <v>30</v>
      </c>
      <c r="C21" s="14"/>
    </row>
    <row r="22" spans="2:6" x14ac:dyDescent="0.2">
      <c r="B22" t="s">
        <v>212</v>
      </c>
      <c r="E22">
        <f>36000*3*0.04</f>
        <v>4320</v>
      </c>
    </row>
    <row r="23" spans="2:6" x14ac:dyDescent="0.2">
      <c r="B23" t="s">
        <v>213</v>
      </c>
      <c r="D23">
        <v>3500</v>
      </c>
    </row>
    <row r="24" spans="2:6" x14ac:dyDescent="0.2">
      <c r="B24" t="s">
        <v>214</v>
      </c>
    </row>
  </sheetData>
  <pageMargins left="0.75" right="0.75" top="1" bottom="1" header="0.5" footer="0.5"/>
  <pageSetup orientation="portrait" horizontalDpi="4294967292" verticalDpi="4294967292"/>
  <ignoredErrors>
    <ignoredError sqref="D13:H13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M31"/>
  <sheetViews>
    <sheetView topLeftCell="D1" workbookViewId="0">
      <selection activeCell="G23" sqref="G23"/>
    </sheetView>
  </sheetViews>
  <sheetFormatPr baseColWidth="10" defaultRowHeight="16" x14ac:dyDescent="0.2"/>
  <cols>
    <col min="2" max="2" width="16.5" bestFit="1" customWidth="1"/>
    <col min="3" max="3" width="15.6640625" bestFit="1" customWidth="1"/>
    <col min="4" max="4" width="15" bestFit="1" customWidth="1"/>
    <col min="5" max="5" width="15.6640625" bestFit="1" customWidth="1"/>
    <col min="6" max="6" width="11.83203125" customWidth="1"/>
    <col min="8" max="10" width="11.83203125" bestFit="1" customWidth="1"/>
    <col min="11" max="12" width="11.6640625" bestFit="1" customWidth="1"/>
    <col min="13" max="13" width="17.6640625" customWidth="1"/>
    <col min="14" max="14" width="11.6640625" bestFit="1" customWidth="1"/>
    <col min="20" max="24" width="11.83203125" bestFit="1" customWidth="1"/>
  </cols>
  <sheetData>
    <row r="2" spans="2:13" x14ac:dyDescent="0.2">
      <c r="H2" s="73">
        <v>7.291666666666667</v>
      </c>
      <c r="I2" s="73">
        <v>0.30208333333333331</v>
      </c>
      <c r="J2" s="73">
        <v>0.3125</v>
      </c>
      <c r="K2" s="73">
        <v>0.33332175925925928</v>
      </c>
      <c r="L2" s="73">
        <v>0.33333333333333331</v>
      </c>
      <c r="M2" s="73">
        <v>0.34375</v>
      </c>
    </row>
    <row r="3" spans="2:13" x14ac:dyDescent="0.2">
      <c r="H3" s="280" t="s">
        <v>109</v>
      </c>
      <c r="I3" s="280"/>
      <c r="J3" s="280"/>
      <c r="K3" s="280"/>
      <c r="L3" s="313" t="s">
        <v>110</v>
      </c>
      <c r="M3" s="314"/>
    </row>
    <row r="4" spans="2:13" x14ac:dyDescent="0.2">
      <c r="H4" s="73">
        <v>0.34375</v>
      </c>
      <c r="I4" s="73">
        <v>0.36458333333333298</v>
      </c>
      <c r="J4" s="73">
        <v>0.375</v>
      </c>
      <c r="K4" s="73">
        <v>0.39582175925925928</v>
      </c>
      <c r="L4" s="73">
        <v>0.39583333333333298</v>
      </c>
      <c r="M4" s="73">
        <v>0.40625</v>
      </c>
    </row>
    <row r="5" spans="2:13" x14ac:dyDescent="0.2">
      <c r="H5" s="280" t="s">
        <v>109</v>
      </c>
      <c r="I5" s="280"/>
      <c r="J5" s="280"/>
      <c r="K5" s="280"/>
      <c r="L5" s="313" t="s">
        <v>110</v>
      </c>
      <c r="M5" s="314"/>
    </row>
    <row r="6" spans="2:13" x14ac:dyDescent="0.2">
      <c r="B6" s="313" t="s">
        <v>111</v>
      </c>
      <c r="C6" s="315"/>
      <c r="D6" s="315"/>
      <c r="E6" s="314"/>
      <c r="H6" s="73">
        <v>0.40625</v>
      </c>
      <c r="I6" s="73">
        <v>0.42708333333333298</v>
      </c>
      <c r="J6" s="73">
        <v>0.4375</v>
      </c>
      <c r="K6" s="73">
        <v>0.45832175925925928</v>
      </c>
      <c r="L6" s="73">
        <v>0.45833333333333298</v>
      </c>
      <c r="M6" s="73">
        <v>0.46875</v>
      </c>
    </row>
    <row r="7" spans="2:13" x14ac:dyDescent="0.2">
      <c r="B7" s="67" t="s">
        <v>112</v>
      </c>
      <c r="C7" s="67" t="s">
        <v>113</v>
      </c>
      <c r="D7" s="67" t="s">
        <v>112</v>
      </c>
      <c r="E7" s="67" t="s">
        <v>113</v>
      </c>
      <c r="H7" s="280" t="s">
        <v>109</v>
      </c>
      <c r="I7" s="280"/>
      <c r="J7" s="280"/>
      <c r="K7" s="280"/>
      <c r="L7" s="313" t="s">
        <v>110</v>
      </c>
      <c r="M7" s="314"/>
    </row>
    <row r="8" spans="2:13" x14ac:dyDescent="0.2">
      <c r="B8" s="67" t="s">
        <v>114</v>
      </c>
      <c r="C8" s="67" t="s">
        <v>115</v>
      </c>
      <c r="D8" s="67" t="s">
        <v>116</v>
      </c>
      <c r="E8" s="67" t="s">
        <v>117</v>
      </c>
      <c r="H8" s="73">
        <v>0.46875</v>
      </c>
      <c r="I8" s="73">
        <v>0.48958333333333298</v>
      </c>
      <c r="J8" s="73">
        <v>0.5</v>
      </c>
      <c r="K8" s="73">
        <v>0.52082175925925933</v>
      </c>
      <c r="L8" s="73">
        <v>0.52083333333333337</v>
      </c>
      <c r="M8" s="73">
        <v>0.53125</v>
      </c>
    </row>
    <row r="9" spans="2:13" x14ac:dyDescent="0.2">
      <c r="B9" s="67" t="s">
        <v>118</v>
      </c>
      <c r="C9" s="67" t="s">
        <v>119</v>
      </c>
      <c r="D9" s="67" t="s">
        <v>120</v>
      </c>
      <c r="E9" s="67" t="s">
        <v>121</v>
      </c>
      <c r="H9" s="280" t="s">
        <v>109</v>
      </c>
      <c r="I9" s="280"/>
      <c r="J9" s="280"/>
      <c r="K9" s="280"/>
      <c r="L9" s="280" t="s">
        <v>110</v>
      </c>
      <c r="M9" s="280"/>
    </row>
    <row r="10" spans="2:13" x14ac:dyDescent="0.2">
      <c r="B10" s="67" t="s">
        <v>122</v>
      </c>
      <c r="C10" s="67" t="s">
        <v>123</v>
      </c>
      <c r="D10" s="67" t="s">
        <v>124</v>
      </c>
      <c r="E10" s="67" t="s">
        <v>125</v>
      </c>
      <c r="H10" s="73">
        <v>0.53125</v>
      </c>
      <c r="I10" s="73">
        <v>0.55208333333333337</v>
      </c>
      <c r="J10" s="73">
        <v>0.5625</v>
      </c>
      <c r="K10" s="73">
        <v>0.58332175925925933</v>
      </c>
      <c r="L10" s="73">
        <v>0.58333333333333337</v>
      </c>
      <c r="M10" s="73">
        <v>0.59375</v>
      </c>
    </row>
    <row r="11" spans="2:13" x14ac:dyDescent="0.2">
      <c r="B11" s="67" t="s">
        <v>126</v>
      </c>
      <c r="C11" s="67" t="s">
        <v>127</v>
      </c>
      <c r="D11" s="67" t="s">
        <v>128</v>
      </c>
      <c r="E11" s="67" t="s">
        <v>129</v>
      </c>
      <c r="H11" s="280" t="s">
        <v>110</v>
      </c>
      <c r="I11" s="280"/>
      <c r="J11" s="280"/>
      <c r="K11" s="280" t="s">
        <v>109</v>
      </c>
      <c r="L11" s="280"/>
      <c r="M11" s="280"/>
    </row>
    <row r="12" spans="2:13" x14ac:dyDescent="0.2">
      <c r="H12" s="73">
        <v>0.59375</v>
      </c>
      <c r="I12" s="73">
        <v>0.61458333333333337</v>
      </c>
      <c r="J12" s="73">
        <v>0.625</v>
      </c>
      <c r="K12" s="74"/>
      <c r="L12" s="74"/>
      <c r="M12" s="74"/>
    </row>
    <row r="13" spans="2:13" x14ac:dyDescent="0.2">
      <c r="H13" s="313" t="s">
        <v>109</v>
      </c>
      <c r="I13" s="314"/>
      <c r="J13" s="67" t="s">
        <v>110</v>
      </c>
      <c r="K13" s="74"/>
      <c r="L13" s="74"/>
      <c r="M13" s="74"/>
    </row>
    <row r="15" spans="2:13" ht="51" x14ac:dyDescent="0.2">
      <c r="B15" s="67" t="s">
        <v>130</v>
      </c>
      <c r="C15" s="75" t="s">
        <v>131</v>
      </c>
      <c r="E15" s="48" t="s">
        <v>132</v>
      </c>
      <c r="F15" s="75" t="s">
        <v>133</v>
      </c>
      <c r="G15" s="23" t="s">
        <v>134</v>
      </c>
      <c r="H15" s="23" t="s">
        <v>103</v>
      </c>
    </row>
    <row r="16" spans="2:13" x14ac:dyDescent="0.2">
      <c r="B16" s="67">
        <v>669</v>
      </c>
      <c r="C16" s="67" t="s">
        <v>135</v>
      </c>
      <c r="E16" s="67">
        <v>1</v>
      </c>
      <c r="F16" s="76">
        <f>+C20</f>
        <v>0.30069444444444443</v>
      </c>
      <c r="G16" s="167" t="s">
        <v>356</v>
      </c>
      <c r="H16" s="52"/>
    </row>
    <row r="17" spans="2:8" x14ac:dyDescent="0.2">
      <c r="B17" s="67">
        <v>831</v>
      </c>
      <c r="C17" s="77">
        <v>0.60486111111111118</v>
      </c>
      <c r="E17" s="67">
        <v>2</v>
      </c>
      <c r="F17" s="76">
        <f>+C23</f>
        <v>0.33611111111111108</v>
      </c>
      <c r="H17" s="167" t="s">
        <v>356</v>
      </c>
    </row>
    <row r="18" spans="2:8" x14ac:dyDescent="0.2">
      <c r="B18" s="67">
        <v>555</v>
      </c>
      <c r="C18" s="77">
        <v>0.49652777777777773</v>
      </c>
      <c r="E18" s="67">
        <v>3</v>
      </c>
      <c r="F18" s="76">
        <f>+C25</f>
        <v>0.43055555555555558</v>
      </c>
      <c r="G18" s="167" t="s">
        <v>356</v>
      </c>
      <c r="H18" s="52"/>
    </row>
    <row r="19" spans="2:8" x14ac:dyDescent="0.2">
      <c r="B19" s="67">
        <v>470</v>
      </c>
      <c r="C19" s="67" t="s">
        <v>135</v>
      </c>
      <c r="E19" s="67">
        <v>4</v>
      </c>
      <c r="F19" s="76">
        <f>+C22</f>
        <v>0.48402777777777778</v>
      </c>
      <c r="G19" s="167" t="s">
        <v>356</v>
      </c>
      <c r="H19" s="52"/>
    </row>
    <row r="20" spans="2:8" x14ac:dyDescent="0.2">
      <c r="B20" s="67">
        <v>113</v>
      </c>
      <c r="C20" s="77">
        <v>0.30069444444444443</v>
      </c>
      <c r="E20" s="67">
        <v>5</v>
      </c>
      <c r="F20" s="76">
        <f>+C18</f>
        <v>0.49652777777777773</v>
      </c>
      <c r="G20" s="167" t="s">
        <v>356</v>
      </c>
      <c r="H20" s="52"/>
    </row>
    <row r="21" spans="2:8" x14ac:dyDescent="0.2">
      <c r="B21" s="67">
        <v>80</v>
      </c>
      <c r="C21" s="67" t="s">
        <v>135</v>
      </c>
      <c r="E21" s="67">
        <v>6</v>
      </c>
      <c r="F21" s="76">
        <f>+C24</f>
        <v>0.56180555555555556</v>
      </c>
      <c r="H21" s="167" t="s">
        <v>356</v>
      </c>
    </row>
    <row r="22" spans="2:8" x14ac:dyDescent="0.2">
      <c r="B22" s="67">
        <v>537</v>
      </c>
      <c r="C22" s="77">
        <v>0.48402777777777778</v>
      </c>
      <c r="E22" s="67">
        <v>7</v>
      </c>
      <c r="F22" s="76">
        <f>+C17</f>
        <v>0.60486111111111118</v>
      </c>
      <c r="G22" s="167" t="s">
        <v>356</v>
      </c>
      <c r="H22" s="52"/>
    </row>
    <row r="23" spans="2:8" x14ac:dyDescent="0.2">
      <c r="B23" s="67">
        <v>204</v>
      </c>
      <c r="C23" s="77">
        <v>0.33611111111111108</v>
      </c>
      <c r="E23" s="52"/>
      <c r="F23" s="52"/>
      <c r="G23" s="67">
        <v>5</v>
      </c>
      <c r="H23" s="67">
        <v>2</v>
      </c>
    </row>
    <row r="24" spans="2:8" x14ac:dyDescent="0.2">
      <c r="B24" s="67">
        <v>729</v>
      </c>
      <c r="C24" s="77">
        <v>0.56180555555555556</v>
      </c>
      <c r="E24" s="52"/>
      <c r="F24" s="67" t="s">
        <v>106</v>
      </c>
      <c r="G24" s="67"/>
      <c r="H24" s="78">
        <f>+H23/E22</f>
        <v>0.2857142857142857</v>
      </c>
    </row>
    <row r="25" spans="2:8" x14ac:dyDescent="0.2">
      <c r="B25" s="67">
        <v>420</v>
      </c>
      <c r="C25" s="77">
        <v>0.43055555555555558</v>
      </c>
      <c r="E25" s="52"/>
      <c r="F25" s="67" t="s">
        <v>136</v>
      </c>
      <c r="G25" s="78">
        <f>+G23/E22</f>
        <v>0.7142857142857143</v>
      </c>
      <c r="H25" s="67"/>
    </row>
    <row r="26" spans="2:8" x14ac:dyDescent="0.2">
      <c r="E26" s="280" t="s">
        <v>137</v>
      </c>
      <c r="F26" s="280"/>
      <c r="G26" s="313">
        <f>8*60</f>
        <v>480</v>
      </c>
      <c r="H26" s="314"/>
    </row>
    <row r="27" spans="2:8" x14ac:dyDescent="0.2">
      <c r="E27" s="280" t="s">
        <v>138</v>
      </c>
      <c r="F27" s="280"/>
      <c r="G27" s="316">
        <v>1.05</v>
      </c>
      <c r="H27" s="317"/>
    </row>
    <row r="28" spans="2:8" x14ac:dyDescent="0.2">
      <c r="E28" s="280" t="s">
        <v>139</v>
      </c>
      <c r="F28" s="280"/>
      <c r="G28" s="313">
        <v>2</v>
      </c>
      <c r="H28" s="314"/>
    </row>
    <row r="29" spans="2:8" x14ac:dyDescent="0.2">
      <c r="E29" s="313" t="s">
        <v>140</v>
      </c>
      <c r="F29" s="314"/>
      <c r="G29" s="313">
        <f>+(G26*G25*G27)/G28</f>
        <v>180.00000000000003</v>
      </c>
      <c r="H29" s="314"/>
    </row>
    <row r="30" spans="2:8" x14ac:dyDescent="0.2">
      <c r="E30" s="313" t="s">
        <v>94</v>
      </c>
      <c r="F30" s="314"/>
      <c r="G30" s="316">
        <v>0.15</v>
      </c>
      <c r="H30" s="317"/>
    </row>
    <row r="31" spans="2:8" x14ac:dyDescent="0.2">
      <c r="E31" s="318" t="s">
        <v>141</v>
      </c>
      <c r="F31" s="319"/>
      <c r="G31" s="320">
        <f>+G29/(1-G30)</f>
        <v>211.76470588235298</v>
      </c>
      <c r="H31" s="321"/>
    </row>
  </sheetData>
  <mergeCells count="24">
    <mergeCell ref="E30:F30"/>
    <mergeCell ref="G30:H30"/>
    <mergeCell ref="E31:F31"/>
    <mergeCell ref="G31:H31"/>
    <mergeCell ref="E27:F27"/>
    <mergeCell ref="G27:H27"/>
    <mergeCell ref="E28:F28"/>
    <mergeCell ref="G28:H28"/>
    <mergeCell ref="E29:F29"/>
    <mergeCell ref="G29:H29"/>
    <mergeCell ref="E26:F26"/>
    <mergeCell ref="G26:H26"/>
    <mergeCell ref="H3:K3"/>
    <mergeCell ref="L3:M3"/>
    <mergeCell ref="H5:K5"/>
    <mergeCell ref="L5:M5"/>
    <mergeCell ref="B6:E6"/>
    <mergeCell ref="H7:K7"/>
    <mergeCell ref="L7:M7"/>
    <mergeCell ref="H9:K9"/>
    <mergeCell ref="L9:M9"/>
    <mergeCell ref="H11:J11"/>
    <mergeCell ref="K11:M11"/>
    <mergeCell ref="H13:I13"/>
  </mergeCells>
  <pageMargins left="0.75" right="0.75" top="1" bottom="1" header="0.5" footer="0.5"/>
  <pageSetup orientation="portrait" horizontalDpi="4294967292" verticalDpi="4294967292"/>
  <ignoredErrors>
    <ignoredError sqref="F20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10"/>
  <sheetViews>
    <sheetView workbookViewId="0">
      <selection activeCell="B20" sqref="B20"/>
    </sheetView>
  </sheetViews>
  <sheetFormatPr baseColWidth="10" defaultRowHeight="16" x14ac:dyDescent="0.2"/>
  <cols>
    <col min="2" max="2" width="17.83203125" bestFit="1" customWidth="1"/>
    <col min="3" max="3" width="14" bestFit="1" customWidth="1"/>
    <col min="4" max="4" width="3.33203125" customWidth="1"/>
    <col min="5" max="5" width="17.83203125" bestFit="1" customWidth="1"/>
    <col min="6" max="6" width="14" bestFit="1" customWidth="1"/>
  </cols>
  <sheetData>
    <row r="2" spans="2:6" ht="17" thickBot="1" x14ac:dyDescent="0.25"/>
    <row r="3" spans="2:6" x14ac:dyDescent="0.2">
      <c r="B3" s="278" t="s">
        <v>10</v>
      </c>
      <c r="C3" s="279"/>
      <c r="E3" s="278" t="s">
        <v>11</v>
      </c>
      <c r="F3" s="279"/>
    </row>
    <row r="4" spans="2:6" x14ac:dyDescent="0.2">
      <c r="B4" s="2" t="s">
        <v>12</v>
      </c>
      <c r="C4" s="3">
        <v>500</v>
      </c>
      <c r="E4" s="2" t="s">
        <v>12</v>
      </c>
      <c r="F4" s="3">
        <v>100</v>
      </c>
    </row>
    <row r="5" spans="2:6" x14ac:dyDescent="0.2">
      <c r="B5" s="2" t="s">
        <v>13</v>
      </c>
      <c r="C5" s="4">
        <v>1000000</v>
      </c>
      <c r="E5" s="2" t="s">
        <v>13</v>
      </c>
      <c r="F5" s="4">
        <v>5000000</v>
      </c>
    </row>
    <row r="6" spans="2:6" x14ac:dyDescent="0.2">
      <c r="B6" s="2" t="s">
        <v>14</v>
      </c>
      <c r="C6" s="3">
        <v>1500</v>
      </c>
      <c r="E6" s="2" t="s">
        <v>14</v>
      </c>
      <c r="F6" s="3">
        <v>1200</v>
      </c>
    </row>
    <row r="7" spans="2:6" x14ac:dyDescent="0.2">
      <c r="B7" s="2" t="s">
        <v>15</v>
      </c>
      <c r="C7" s="4">
        <v>20000</v>
      </c>
      <c r="E7" s="2" t="s">
        <v>16</v>
      </c>
      <c r="F7" s="4">
        <v>20000</v>
      </c>
    </row>
    <row r="8" spans="2:6" x14ac:dyDescent="0.2">
      <c r="B8" s="2" t="s">
        <v>17</v>
      </c>
      <c r="C8" s="4">
        <v>15000</v>
      </c>
      <c r="D8" s="1"/>
      <c r="E8" s="7" t="s">
        <v>17</v>
      </c>
      <c r="F8" s="4">
        <v>18000</v>
      </c>
    </row>
    <row r="9" spans="2:6" ht="34" x14ac:dyDescent="0.2">
      <c r="B9" s="8" t="s">
        <v>18</v>
      </c>
      <c r="C9" s="3">
        <f>+C6/C4</f>
        <v>3</v>
      </c>
      <c r="E9" s="8" t="s">
        <v>18</v>
      </c>
      <c r="F9" s="3">
        <f>+F6/F4</f>
        <v>12</v>
      </c>
    </row>
    <row r="10" spans="2:6" ht="35" thickBot="1" x14ac:dyDescent="0.25">
      <c r="B10" s="5" t="s">
        <v>19</v>
      </c>
      <c r="C10" s="6">
        <f>+(C6*C8)/C5</f>
        <v>22.5</v>
      </c>
      <c r="E10" s="5" t="s">
        <v>19</v>
      </c>
      <c r="F10" s="6">
        <f>+(F6*F8)/F5</f>
        <v>4.32</v>
      </c>
    </row>
  </sheetData>
  <mergeCells count="2">
    <mergeCell ref="B3:C3"/>
    <mergeCell ref="E3:F3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3:J31"/>
  <sheetViews>
    <sheetView workbookViewId="0">
      <selection activeCell="H16" sqref="H16"/>
    </sheetView>
  </sheetViews>
  <sheetFormatPr baseColWidth="10" defaultRowHeight="13" x14ac:dyDescent="0.15"/>
  <cols>
    <col min="1" max="1" width="10.83203125" style="79"/>
    <col min="2" max="2" width="44.5" style="79" customWidth="1"/>
    <col min="3" max="16384" width="10.83203125" style="79"/>
  </cols>
  <sheetData>
    <row r="3" spans="2:10" ht="16" x14ac:dyDescent="0.2">
      <c r="B3" s="330" t="s">
        <v>142</v>
      </c>
      <c r="C3" s="331" t="s">
        <v>143</v>
      </c>
      <c r="D3" s="331"/>
      <c r="E3" s="331"/>
      <c r="F3" s="331"/>
      <c r="G3" s="331"/>
      <c r="H3" s="331"/>
      <c r="I3" s="331"/>
      <c r="J3" s="331"/>
    </row>
    <row r="4" spans="2:10" ht="16" x14ac:dyDescent="0.2">
      <c r="B4" s="330"/>
      <c r="C4" s="331">
        <v>1</v>
      </c>
      <c r="D4" s="331"/>
      <c r="E4" s="331">
        <v>2</v>
      </c>
      <c r="F4" s="331"/>
      <c r="G4" s="331">
        <v>3</v>
      </c>
      <c r="H4" s="331"/>
      <c r="I4" s="331">
        <v>4</v>
      </c>
      <c r="J4" s="331"/>
    </row>
    <row r="5" spans="2:10" ht="16" x14ac:dyDescent="0.2">
      <c r="B5" s="330"/>
      <c r="C5" s="80" t="s">
        <v>112</v>
      </c>
      <c r="D5" s="80" t="s">
        <v>144</v>
      </c>
      <c r="E5" s="80" t="s">
        <v>112</v>
      </c>
      <c r="F5" s="80" t="s">
        <v>144</v>
      </c>
      <c r="G5" s="80" t="s">
        <v>112</v>
      </c>
      <c r="H5" s="80" t="s">
        <v>144</v>
      </c>
      <c r="I5" s="80" t="s">
        <v>112</v>
      </c>
      <c r="J5" s="80" t="s">
        <v>144</v>
      </c>
    </row>
    <row r="6" spans="2:10" x14ac:dyDescent="0.15">
      <c r="B6" s="81" t="s">
        <v>145</v>
      </c>
      <c r="C6" s="82">
        <v>1.2816000000000001</v>
      </c>
      <c r="D6" s="81">
        <v>90</v>
      </c>
      <c r="E6" s="82">
        <v>0.66239999999999988</v>
      </c>
      <c r="F6" s="81">
        <v>110</v>
      </c>
      <c r="G6" s="82">
        <v>1.8288000000000011</v>
      </c>
      <c r="H6" s="81">
        <v>80</v>
      </c>
      <c r="I6" s="82">
        <v>1.1951999999999963</v>
      </c>
      <c r="J6" s="81">
        <v>95</v>
      </c>
    </row>
    <row r="7" spans="2:10" x14ac:dyDescent="0.15">
      <c r="B7" s="81" t="s">
        <v>146</v>
      </c>
      <c r="C7" s="82">
        <v>0.89279999999999982</v>
      </c>
      <c r="D7" s="81">
        <v>105</v>
      </c>
      <c r="E7" s="82">
        <v>1.6847999999999992</v>
      </c>
      <c r="F7" s="81">
        <v>85</v>
      </c>
      <c r="G7" s="82">
        <v>1.4112000000000009</v>
      </c>
      <c r="H7" s="81">
        <v>90</v>
      </c>
      <c r="I7" s="82">
        <v>1.6704000000000008</v>
      </c>
      <c r="J7" s="81">
        <v>85</v>
      </c>
    </row>
    <row r="8" spans="2:10" x14ac:dyDescent="0.15">
      <c r="B8" s="81" t="s">
        <v>147</v>
      </c>
      <c r="C8" s="82">
        <v>1.8287999999999998</v>
      </c>
      <c r="D8" s="81">
        <v>80</v>
      </c>
      <c r="E8" s="82">
        <v>0.74880000000000191</v>
      </c>
      <c r="F8" s="81">
        <v>95</v>
      </c>
      <c r="G8" s="82">
        <v>0.80640000000000001</v>
      </c>
      <c r="H8" s="81">
        <v>90</v>
      </c>
      <c r="I8" s="82">
        <v>0.64799999999999969</v>
      </c>
      <c r="J8" s="81">
        <v>105</v>
      </c>
    </row>
    <row r="9" spans="2:10" x14ac:dyDescent="0.15">
      <c r="B9" s="81" t="s">
        <v>148</v>
      </c>
      <c r="C9" s="82">
        <v>0.46079999999999988</v>
      </c>
      <c r="D9" s="81">
        <v>130</v>
      </c>
      <c r="E9" s="82">
        <v>1.8</v>
      </c>
      <c r="F9" s="81">
        <v>105</v>
      </c>
      <c r="G9" s="82">
        <v>1.3824000000000005</v>
      </c>
      <c r="H9" s="81">
        <v>110</v>
      </c>
      <c r="I9" s="82">
        <v>1.8863999999999983</v>
      </c>
      <c r="J9" s="81">
        <v>100</v>
      </c>
    </row>
    <row r="10" spans="2:10" x14ac:dyDescent="0.15">
      <c r="B10" s="81" t="s">
        <v>149</v>
      </c>
      <c r="C10" s="82">
        <v>0.18719999999999981</v>
      </c>
      <c r="D10" s="81">
        <v>130</v>
      </c>
      <c r="E10" s="82">
        <v>1.6991999999999994</v>
      </c>
      <c r="F10" s="81">
        <v>85</v>
      </c>
      <c r="G10" s="82">
        <v>1.0655999999999963</v>
      </c>
      <c r="H10" s="81">
        <v>110</v>
      </c>
      <c r="I10" s="82">
        <v>1.5263999999999953</v>
      </c>
      <c r="J10" s="81">
        <v>100</v>
      </c>
    </row>
    <row r="12" spans="2:10" ht="14" thickBot="1" x14ac:dyDescent="0.2"/>
    <row r="13" spans="2:10" ht="16" x14ac:dyDescent="0.2">
      <c r="B13" s="322" t="s">
        <v>142</v>
      </c>
      <c r="C13" s="324" t="s">
        <v>143</v>
      </c>
      <c r="D13" s="325"/>
      <c r="E13" s="325"/>
      <c r="F13" s="326"/>
      <c r="G13" s="83"/>
      <c r="J13" s="83"/>
    </row>
    <row r="14" spans="2:10" ht="16" x14ac:dyDescent="0.2">
      <c r="B14" s="323"/>
      <c r="C14" s="84">
        <v>1</v>
      </c>
      <c r="D14" s="85">
        <v>2</v>
      </c>
      <c r="E14" s="85">
        <v>3</v>
      </c>
      <c r="F14" s="86">
        <v>4</v>
      </c>
      <c r="G14" s="87"/>
      <c r="I14" s="83" t="s">
        <v>150</v>
      </c>
      <c r="J14" s="88"/>
    </row>
    <row r="15" spans="2:10" x14ac:dyDescent="0.15">
      <c r="B15" s="89" t="s">
        <v>145</v>
      </c>
      <c r="C15" s="90">
        <f>(C6*D6)/100</f>
        <v>1.15344</v>
      </c>
      <c r="D15" s="82">
        <f>(E6*F6)/100</f>
        <v>0.72863999999999995</v>
      </c>
      <c r="E15" s="82">
        <f>(G6*H6)/100</f>
        <v>1.4630400000000008</v>
      </c>
      <c r="F15" s="91">
        <f>(I6*J6)/100</f>
        <v>1.1354399999999965</v>
      </c>
      <c r="G15" s="92"/>
      <c r="I15" s="92">
        <f>AVERAGE(C15:F15)</f>
        <v>1.1201399999999992</v>
      </c>
      <c r="J15" s="88"/>
    </row>
    <row r="16" spans="2:10" x14ac:dyDescent="0.15">
      <c r="B16" s="89" t="s">
        <v>146</v>
      </c>
      <c r="C16" s="90">
        <f>(C7*D7)/100</f>
        <v>0.93743999999999983</v>
      </c>
      <c r="D16" s="82">
        <f>(E7*F7)/100</f>
        <v>1.4320799999999994</v>
      </c>
      <c r="E16" s="82">
        <f>(G7*H7)/100</f>
        <v>1.2700800000000008</v>
      </c>
      <c r="F16" s="91">
        <f>(I7*J7)/100</f>
        <v>1.4198400000000007</v>
      </c>
      <c r="G16" s="92"/>
      <c r="I16" s="92">
        <f>AVERAGE(C16:F16)</f>
        <v>1.2648600000000001</v>
      </c>
      <c r="J16" s="92"/>
    </row>
    <row r="17" spans="2:10" x14ac:dyDescent="0.15">
      <c r="B17" s="89" t="s">
        <v>147</v>
      </c>
      <c r="C17" s="90">
        <f>(C8*D8)/100</f>
        <v>1.4630399999999997</v>
      </c>
      <c r="D17" s="82">
        <f>(E8*F8)/100</f>
        <v>0.71136000000000177</v>
      </c>
      <c r="E17" s="82">
        <f>(G8*H8)/100</f>
        <v>0.72575999999999996</v>
      </c>
      <c r="F17" s="91">
        <f>(I8*J8)/100</f>
        <v>0.68039999999999967</v>
      </c>
      <c r="G17" s="92"/>
      <c r="I17" s="92">
        <f>AVERAGE(C17:F17)</f>
        <v>0.89514000000000027</v>
      </c>
      <c r="J17" s="92"/>
    </row>
    <row r="18" spans="2:10" x14ac:dyDescent="0.15">
      <c r="B18" s="89" t="s">
        <v>148</v>
      </c>
      <c r="C18" s="90">
        <f>(C9*D9)/100</f>
        <v>0.59903999999999979</v>
      </c>
      <c r="D18" s="82">
        <f>(E9*F9)/100</f>
        <v>1.89</v>
      </c>
      <c r="E18" s="82">
        <f>(G9*H9)/100</f>
        <v>1.5206400000000004</v>
      </c>
      <c r="F18" s="91">
        <f>(I9*J9)/100</f>
        <v>1.8863999999999981</v>
      </c>
      <c r="G18" s="92"/>
      <c r="I18" s="92">
        <f>AVERAGE(C18:F18)</f>
        <v>1.4740199999999997</v>
      </c>
      <c r="J18" s="92"/>
    </row>
    <row r="19" spans="2:10" ht="14" thickBot="1" x14ac:dyDescent="0.2">
      <c r="B19" s="93" t="s">
        <v>149</v>
      </c>
      <c r="C19" s="94">
        <f>(C10*D10)/100</f>
        <v>0.24335999999999977</v>
      </c>
      <c r="D19" s="95">
        <f>(E10*F10)/100</f>
        <v>1.4443199999999996</v>
      </c>
      <c r="E19" s="95">
        <f>(G10*H10)/100</f>
        <v>1.1721599999999959</v>
      </c>
      <c r="F19" s="96">
        <f>(I10*J10)/100</f>
        <v>1.5263999999999953</v>
      </c>
      <c r="G19" s="92"/>
      <c r="I19" s="92">
        <f>AVERAGE(C19:F19)</f>
        <v>1.0965599999999975</v>
      </c>
      <c r="J19" s="92"/>
    </row>
    <row r="20" spans="2:10" ht="16" x14ac:dyDescent="0.2">
      <c r="H20" s="97" t="s">
        <v>151</v>
      </c>
      <c r="I20" s="98">
        <f>SUM(I15:I19)</f>
        <v>5.8507199999999964</v>
      </c>
      <c r="J20" s="98"/>
    </row>
    <row r="22" spans="2:10" ht="14" thickBot="1" x14ac:dyDescent="0.2"/>
    <row r="23" spans="2:10" ht="14" thickBot="1" x14ac:dyDescent="0.2">
      <c r="B23" s="79" t="s">
        <v>152</v>
      </c>
      <c r="G23" s="327" t="s">
        <v>153</v>
      </c>
      <c r="H23" s="328"/>
      <c r="I23" s="99">
        <f>I20/(1-0.07)</f>
        <v>6.2910967741935453</v>
      </c>
      <c r="J23" s="100" t="s">
        <v>154</v>
      </c>
    </row>
    <row r="25" spans="2:10" x14ac:dyDescent="0.15">
      <c r="B25" s="79" t="s">
        <v>155</v>
      </c>
    </row>
    <row r="26" spans="2:10" x14ac:dyDescent="0.15">
      <c r="B26" s="79" t="s">
        <v>156</v>
      </c>
    </row>
    <row r="28" spans="2:10" x14ac:dyDescent="0.15">
      <c r="C28" s="101">
        <v>8</v>
      </c>
      <c r="D28" s="88" t="s">
        <v>157</v>
      </c>
    </row>
    <row r="29" spans="2:10" x14ac:dyDescent="0.15">
      <c r="C29" s="101">
        <f>C28*60</f>
        <v>480</v>
      </c>
      <c r="D29" s="88" t="s">
        <v>158</v>
      </c>
    </row>
    <row r="30" spans="2:10" ht="14" thickBot="1" x14ac:dyDescent="0.2">
      <c r="C30" s="101"/>
      <c r="D30" s="88"/>
    </row>
    <row r="31" spans="2:10" ht="14" thickBot="1" x14ac:dyDescent="0.2">
      <c r="C31" s="102">
        <f>C29/I23</f>
        <v>76.298301747477268</v>
      </c>
      <c r="D31" s="328" t="s">
        <v>159</v>
      </c>
      <c r="E31" s="329"/>
    </row>
  </sheetData>
  <mergeCells count="10">
    <mergeCell ref="B13:B14"/>
    <mergeCell ref="C13:F13"/>
    <mergeCell ref="G23:H23"/>
    <mergeCell ref="D31:E31"/>
    <mergeCell ref="B3:B5"/>
    <mergeCell ref="C3:J3"/>
    <mergeCell ref="C4:D4"/>
    <mergeCell ref="E4:F4"/>
    <mergeCell ref="G4:H4"/>
    <mergeCell ref="I4:J4"/>
  </mergeCells>
  <pageMargins left="0.7" right="0.7" top="0.75" bottom="0.75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U42"/>
  <sheetViews>
    <sheetView workbookViewId="0">
      <selection activeCell="G10" sqref="G10"/>
    </sheetView>
  </sheetViews>
  <sheetFormatPr baseColWidth="10" defaultRowHeight="16" x14ac:dyDescent="0.2"/>
  <cols>
    <col min="2" max="2" width="21.1640625" customWidth="1"/>
    <col min="3" max="3" width="19.33203125" customWidth="1"/>
    <col min="4" max="4" width="18" customWidth="1"/>
    <col min="5" max="5" width="21.6640625" customWidth="1"/>
    <col min="6" max="6" width="19.83203125" customWidth="1"/>
    <col min="7" max="7" width="21.5" customWidth="1"/>
    <col min="10" max="10" width="8" customWidth="1"/>
    <col min="11" max="11" width="21.33203125" customWidth="1"/>
    <col min="12" max="21" width="17.5" bestFit="1" customWidth="1"/>
  </cols>
  <sheetData>
    <row r="2" spans="2:21" ht="17" thickBot="1" x14ac:dyDescent="0.25"/>
    <row r="3" spans="2:21" x14ac:dyDescent="0.2">
      <c r="B3" s="332" t="s">
        <v>160</v>
      </c>
      <c r="C3" s="333"/>
      <c r="K3" s="334" t="s">
        <v>161</v>
      </c>
      <c r="L3" s="334"/>
      <c r="M3" s="334"/>
      <c r="N3" s="334"/>
      <c r="O3" s="334"/>
      <c r="P3" s="334"/>
      <c r="Q3" s="334"/>
      <c r="R3" s="334"/>
      <c r="S3" s="334"/>
      <c r="T3" s="334"/>
      <c r="U3" s="334"/>
    </row>
    <row r="4" spans="2:21" x14ac:dyDescent="0.2">
      <c r="B4" s="103" t="s">
        <v>162</v>
      </c>
      <c r="C4" s="104" t="s">
        <v>163</v>
      </c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</row>
    <row r="5" spans="2:21" x14ac:dyDescent="0.2">
      <c r="B5" s="103">
        <v>0.96499999999999997</v>
      </c>
      <c r="C5" s="105">
        <f>_xlfn.NORM.S.INV(B5)</f>
        <v>1.8119106729525971</v>
      </c>
      <c r="K5" s="67"/>
      <c r="L5" s="70" t="s">
        <v>164</v>
      </c>
      <c r="M5" s="70" t="s">
        <v>165</v>
      </c>
      <c r="N5" s="70" t="s">
        <v>166</v>
      </c>
      <c r="O5" s="70" t="s">
        <v>167</v>
      </c>
      <c r="P5" s="70" t="s">
        <v>168</v>
      </c>
      <c r="Q5" s="70" t="s">
        <v>169</v>
      </c>
      <c r="R5" s="70" t="s">
        <v>170</v>
      </c>
      <c r="S5" s="70" t="s">
        <v>171</v>
      </c>
      <c r="T5" s="70" t="s">
        <v>172</v>
      </c>
      <c r="U5" s="70" t="s">
        <v>173</v>
      </c>
    </row>
    <row r="6" spans="2:21" ht="17" thickBot="1" x14ac:dyDescent="0.25">
      <c r="B6" s="106"/>
      <c r="C6" s="107">
        <f>POWER(C5,2)</f>
        <v>3.2830202867595335</v>
      </c>
      <c r="K6" s="73">
        <v>7.291666666666667</v>
      </c>
      <c r="L6" s="335" t="s">
        <v>174</v>
      </c>
      <c r="M6" s="335" t="s">
        <v>174</v>
      </c>
      <c r="N6" s="335" t="s">
        <v>174</v>
      </c>
      <c r="O6" s="335" t="s">
        <v>174</v>
      </c>
      <c r="P6" s="335" t="s">
        <v>174</v>
      </c>
      <c r="Q6" s="335" t="s">
        <v>174</v>
      </c>
      <c r="R6" s="335" t="s">
        <v>174</v>
      </c>
      <c r="S6" s="335" t="s">
        <v>174</v>
      </c>
      <c r="T6" s="335" t="s">
        <v>174</v>
      </c>
      <c r="U6" s="335" t="s">
        <v>174</v>
      </c>
    </row>
    <row r="7" spans="2:21" x14ac:dyDescent="0.2">
      <c r="B7" s="336" t="s">
        <v>175</v>
      </c>
      <c r="C7" s="337"/>
      <c r="K7" s="73">
        <v>0.30208333333333331</v>
      </c>
      <c r="L7" s="335"/>
      <c r="M7" s="335"/>
      <c r="N7" s="335"/>
      <c r="O7" s="335"/>
      <c r="P7" s="335"/>
      <c r="Q7" s="335"/>
      <c r="R7" s="335"/>
      <c r="S7" s="335"/>
      <c r="T7" s="335"/>
      <c r="U7" s="335"/>
    </row>
    <row r="8" spans="2:21" ht="17" thickBot="1" x14ac:dyDescent="0.25">
      <c r="B8" s="108" t="s">
        <v>176</v>
      </c>
      <c r="C8" s="109">
        <v>2</v>
      </c>
      <c r="K8" s="73">
        <v>0.3125</v>
      </c>
      <c r="L8" s="67" t="s">
        <v>177</v>
      </c>
      <c r="M8" s="67" t="s">
        <v>177</v>
      </c>
      <c r="N8" s="67" t="s">
        <v>177</v>
      </c>
      <c r="O8" s="67" t="s">
        <v>177</v>
      </c>
      <c r="P8" s="67" t="s">
        <v>177</v>
      </c>
      <c r="Q8" s="67" t="s">
        <v>177</v>
      </c>
      <c r="R8" s="67" t="s">
        <v>177</v>
      </c>
      <c r="S8" s="67" t="s">
        <v>177</v>
      </c>
      <c r="T8" s="67" t="s">
        <v>177</v>
      </c>
      <c r="U8" s="67" t="s">
        <v>177</v>
      </c>
    </row>
    <row r="9" spans="2:21" x14ac:dyDescent="0.2">
      <c r="B9" s="110" t="s">
        <v>107</v>
      </c>
      <c r="C9" s="111">
        <v>4.6399999999999997E-2</v>
      </c>
      <c r="K9" s="73">
        <v>0.32291666666666669</v>
      </c>
      <c r="L9" s="67" t="s">
        <v>177</v>
      </c>
      <c r="M9" s="67" t="s">
        <v>177</v>
      </c>
      <c r="N9" s="67" t="s">
        <v>177</v>
      </c>
      <c r="O9" s="67" t="s">
        <v>177</v>
      </c>
      <c r="P9" s="67" t="s">
        <v>177</v>
      </c>
      <c r="Q9" s="67" t="s">
        <v>177</v>
      </c>
      <c r="R9" s="67" t="s">
        <v>177</v>
      </c>
      <c r="S9" s="67" t="s">
        <v>177</v>
      </c>
      <c r="T9" s="67" t="s">
        <v>177</v>
      </c>
      <c r="U9" s="67" t="s">
        <v>177</v>
      </c>
    </row>
    <row r="10" spans="2:21" ht="17" thickBot="1" x14ac:dyDescent="0.25">
      <c r="B10" s="112"/>
      <c r="C10" s="113">
        <f>POWER(C9,2)</f>
        <v>2.1529599999999998E-3</v>
      </c>
      <c r="K10" s="73">
        <v>0.33333333333333331</v>
      </c>
      <c r="L10" s="67" t="s">
        <v>177</v>
      </c>
      <c r="M10" s="67" t="s">
        <v>177</v>
      </c>
      <c r="N10" s="67" t="s">
        <v>177</v>
      </c>
      <c r="O10" s="67" t="s">
        <v>177</v>
      </c>
      <c r="P10" s="67" t="s">
        <v>177</v>
      </c>
      <c r="Q10" s="335" t="s">
        <v>178</v>
      </c>
      <c r="R10" s="67" t="s">
        <v>177</v>
      </c>
      <c r="S10" s="335" t="s">
        <v>178</v>
      </c>
      <c r="T10" s="67" t="s">
        <v>177</v>
      </c>
      <c r="U10" s="67" t="s">
        <v>177</v>
      </c>
    </row>
    <row r="11" spans="2:21" ht="17" thickBot="1" x14ac:dyDescent="0.25">
      <c r="B11" s="114" t="s">
        <v>179</v>
      </c>
      <c r="C11" s="115">
        <v>7.0000000000000007E-2</v>
      </c>
      <c r="K11" s="73">
        <v>0.34375</v>
      </c>
      <c r="L11" s="67" t="s">
        <v>177</v>
      </c>
      <c r="M11" s="67" t="s">
        <v>177</v>
      </c>
      <c r="N11" s="67" t="s">
        <v>177</v>
      </c>
      <c r="O11" s="335" t="s">
        <v>174</v>
      </c>
      <c r="P11" s="67" t="s">
        <v>177</v>
      </c>
      <c r="Q11" s="335"/>
      <c r="R11" s="67" t="s">
        <v>177</v>
      </c>
      <c r="S11" s="335"/>
      <c r="T11" s="67" t="s">
        <v>177</v>
      </c>
      <c r="U11" s="335" t="s">
        <v>178</v>
      </c>
    </row>
    <row r="12" spans="2:21" ht="17" thickBot="1" x14ac:dyDescent="0.25">
      <c r="B12" s="116" t="s">
        <v>86</v>
      </c>
      <c r="C12" s="117">
        <f>(C6*C11*(1-C11))/C10</f>
        <v>99.270130735380903</v>
      </c>
      <c r="D12" s="118">
        <f>100+CEILING(C12,0)</f>
        <v>100</v>
      </c>
      <c r="K12" s="73">
        <v>0.35416666666666702</v>
      </c>
      <c r="L12" s="335" t="s">
        <v>178</v>
      </c>
      <c r="M12" s="67" t="s">
        <v>177</v>
      </c>
      <c r="N12" s="335" t="s">
        <v>178</v>
      </c>
      <c r="O12" s="335"/>
      <c r="P12" s="67" t="s">
        <v>177</v>
      </c>
      <c r="Q12" s="67" t="s">
        <v>177</v>
      </c>
      <c r="R12" s="335" t="s">
        <v>174</v>
      </c>
      <c r="S12" s="335" t="s">
        <v>178</v>
      </c>
      <c r="T12" s="67" t="s">
        <v>177</v>
      </c>
      <c r="U12" s="335"/>
    </row>
    <row r="13" spans="2:21" x14ac:dyDescent="0.2">
      <c r="K13" s="73">
        <v>0.36458333333333298</v>
      </c>
      <c r="L13" s="335"/>
      <c r="M13" s="67" t="s">
        <v>177</v>
      </c>
      <c r="N13" s="335"/>
      <c r="O13" s="67" t="s">
        <v>177</v>
      </c>
      <c r="P13" s="67" t="s">
        <v>177</v>
      </c>
      <c r="Q13" s="67" t="s">
        <v>177</v>
      </c>
      <c r="R13" s="335"/>
      <c r="S13" s="335"/>
      <c r="T13" s="67" t="s">
        <v>177</v>
      </c>
      <c r="U13" s="67" t="s">
        <v>177</v>
      </c>
    </row>
    <row r="14" spans="2:21" x14ac:dyDescent="0.2">
      <c r="B14" s="280" t="s">
        <v>180</v>
      </c>
      <c r="C14" s="280"/>
      <c r="D14" s="280"/>
      <c r="E14" s="280"/>
      <c r="K14" s="73">
        <v>0.375</v>
      </c>
      <c r="L14" s="67" t="s">
        <v>177</v>
      </c>
      <c r="M14" s="67" t="s">
        <v>177</v>
      </c>
      <c r="N14" s="67" t="s">
        <v>177</v>
      </c>
      <c r="O14" s="67" t="s">
        <v>177</v>
      </c>
      <c r="P14" s="335" t="s">
        <v>174</v>
      </c>
      <c r="Q14" s="67" t="s">
        <v>177</v>
      </c>
      <c r="R14" s="67" t="s">
        <v>177</v>
      </c>
      <c r="S14" s="67" t="s">
        <v>177</v>
      </c>
      <c r="T14" s="67" t="s">
        <v>177</v>
      </c>
      <c r="U14" s="67" t="s">
        <v>177</v>
      </c>
    </row>
    <row r="15" spans="2:21" x14ac:dyDescent="0.2">
      <c r="B15" s="67" t="s">
        <v>181</v>
      </c>
      <c r="C15" s="67" t="s">
        <v>113</v>
      </c>
      <c r="D15" s="67" t="s">
        <v>181</v>
      </c>
      <c r="E15" s="67" t="s">
        <v>113</v>
      </c>
      <c r="K15" s="73">
        <v>0.38541666666666702</v>
      </c>
      <c r="L15" s="67" t="s">
        <v>177</v>
      </c>
      <c r="M15" s="335" t="s">
        <v>178</v>
      </c>
      <c r="N15" s="67" t="s">
        <v>177</v>
      </c>
      <c r="O15" s="67" t="s">
        <v>177</v>
      </c>
      <c r="P15" s="335"/>
      <c r="Q15" s="67" t="s">
        <v>177</v>
      </c>
      <c r="R15" s="67" t="s">
        <v>177</v>
      </c>
      <c r="S15" s="67" t="s">
        <v>177</v>
      </c>
      <c r="T15" s="67" t="s">
        <v>177</v>
      </c>
      <c r="U15" s="67" t="s">
        <v>177</v>
      </c>
    </row>
    <row r="16" spans="2:21" x14ac:dyDescent="0.2">
      <c r="B16" s="67" t="s">
        <v>114</v>
      </c>
      <c r="C16" s="67">
        <v>1</v>
      </c>
      <c r="D16" s="67" t="s">
        <v>116</v>
      </c>
      <c r="E16" s="67">
        <v>5</v>
      </c>
      <c r="K16" s="73">
        <v>0.39583333333333298</v>
      </c>
      <c r="L16" s="67" t="s">
        <v>177</v>
      </c>
      <c r="M16" s="335"/>
      <c r="N16" s="67" t="s">
        <v>177</v>
      </c>
      <c r="O16" s="67" t="s">
        <v>177</v>
      </c>
      <c r="P16" s="67" t="s">
        <v>177</v>
      </c>
      <c r="Q16" s="67" t="s">
        <v>177</v>
      </c>
      <c r="R16" s="67" t="s">
        <v>177</v>
      </c>
      <c r="S16" s="67" t="s">
        <v>177</v>
      </c>
      <c r="T16" s="335" t="s">
        <v>178</v>
      </c>
      <c r="U16" s="67" t="s">
        <v>177</v>
      </c>
    </row>
    <row r="17" spans="2:21" x14ac:dyDescent="0.2">
      <c r="B17" s="67" t="s">
        <v>118</v>
      </c>
      <c r="C17" s="67">
        <v>2</v>
      </c>
      <c r="D17" s="67" t="s">
        <v>124</v>
      </c>
      <c r="E17" s="67">
        <v>6</v>
      </c>
      <c r="K17" s="73">
        <v>0.40625</v>
      </c>
      <c r="L17" s="67" t="s">
        <v>177</v>
      </c>
      <c r="M17" s="67" t="s">
        <v>177</v>
      </c>
      <c r="N17" s="67" t="s">
        <v>177</v>
      </c>
      <c r="O17" s="67" t="s">
        <v>177</v>
      </c>
      <c r="P17" s="67" t="s">
        <v>177</v>
      </c>
      <c r="Q17" s="67" t="s">
        <v>177</v>
      </c>
      <c r="R17" s="335" t="s">
        <v>178</v>
      </c>
      <c r="S17" s="67" t="s">
        <v>177</v>
      </c>
      <c r="T17" s="335"/>
      <c r="U17" s="67" t="s">
        <v>177</v>
      </c>
    </row>
    <row r="18" spans="2:21" x14ac:dyDescent="0.2">
      <c r="B18" s="67" t="s">
        <v>122</v>
      </c>
      <c r="C18" s="67">
        <v>3</v>
      </c>
      <c r="D18" s="67" t="s">
        <v>128</v>
      </c>
      <c r="E18" s="67">
        <v>7</v>
      </c>
      <c r="K18" s="73">
        <v>0.41666666666666702</v>
      </c>
      <c r="L18" s="67" t="s">
        <v>177</v>
      </c>
      <c r="M18" s="67" t="s">
        <v>177</v>
      </c>
      <c r="N18" s="67" t="s">
        <v>177</v>
      </c>
      <c r="O18" s="335" t="s">
        <v>178</v>
      </c>
      <c r="P18" s="67" t="s">
        <v>177</v>
      </c>
      <c r="Q18" s="67" t="s">
        <v>177</v>
      </c>
      <c r="R18" s="335"/>
      <c r="S18" s="67" t="s">
        <v>177</v>
      </c>
      <c r="T18" s="67" t="s">
        <v>177</v>
      </c>
      <c r="U18" s="67" t="s">
        <v>177</v>
      </c>
    </row>
    <row r="19" spans="2:21" x14ac:dyDescent="0.2">
      <c r="B19" s="67" t="s">
        <v>182</v>
      </c>
      <c r="C19" s="67">
        <v>4</v>
      </c>
      <c r="D19" s="67" t="s">
        <v>183</v>
      </c>
      <c r="E19" s="67">
        <v>8</v>
      </c>
      <c r="K19" s="73">
        <v>0.42708333333333298</v>
      </c>
      <c r="L19" s="335" t="s">
        <v>174</v>
      </c>
      <c r="M19" s="67" t="s">
        <v>177</v>
      </c>
      <c r="N19" s="67" t="s">
        <v>177</v>
      </c>
      <c r="O19" s="335"/>
      <c r="P19" s="67" t="s">
        <v>177</v>
      </c>
      <c r="Q19" s="335" t="s">
        <v>174</v>
      </c>
      <c r="R19" s="67" t="s">
        <v>177</v>
      </c>
      <c r="S19" s="67" t="s">
        <v>177</v>
      </c>
      <c r="T19" s="67" t="s">
        <v>177</v>
      </c>
      <c r="U19" s="67" t="s">
        <v>177</v>
      </c>
    </row>
    <row r="20" spans="2:21" x14ac:dyDescent="0.2">
      <c r="K20" s="73">
        <v>0.4375</v>
      </c>
      <c r="L20" s="335"/>
      <c r="M20" s="67" t="s">
        <v>177</v>
      </c>
      <c r="N20" s="67" t="s">
        <v>177</v>
      </c>
      <c r="O20" s="67" t="s">
        <v>177</v>
      </c>
      <c r="P20" s="67" t="s">
        <v>177</v>
      </c>
      <c r="Q20" s="335"/>
      <c r="R20" s="67" t="s">
        <v>177</v>
      </c>
      <c r="S20" s="67" t="s">
        <v>177</v>
      </c>
      <c r="T20" s="67" t="s">
        <v>177</v>
      </c>
      <c r="U20" s="67" t="s">
        <v>177</v>
      </c>
    </row>
    <row r="21" spans="2:21" x14ac:dyDescent="0.2">
      <c r="B21" s="280" t="s">
        <v>164</v>
      </c>
      <c r="C21" s="280"/>
      <c r="D21" s="280"/>
      <c r="E21" s="280"/>
      <c r="F21" s="280"/>
      <c r="G21" s="280"/>
      <c r="H21" s="280"/>
      <c r="I21" s="22"/>
      <c r="K21" s="73">
        <v>0.44791666666666702</v>
      </c>
      <c r="L21" s="67" t="s">
        <v>177</v>
      </c>
      <c r="M21" s="67" t="s">
        <v>177</v>
      </c>
      <c r="N21" s="335" t="s">
        <v>174</v>
      </c>
      <c r="O21" s="67" t="s">
        <v>177</v>
      </c>
      <c r="P21" s="67" t="s">
        <v>177</v>
      </c>
      <c r="Q21" s="67" t="s">
        <v>177</v>
      </c>
      <c r="R21" s="67" t="s">
        <v>177</v>
      </c>
      <c r="S21" s="67" t="s">
        <v>177</v>
      </c>
      <c r="T21" s="67" t="s">
        <v>177</v>
      </c>
      <c r="U21" s="67" t="s">
        <v>177</v>
      </c>
    </row>
    <row r="22" spans="2:21" ht="17" x14ac:dyDescent="0.2">
      <c r="B22" s="23" t="s">
        <v>184</v>
      </c>
      <c r="C22" s="67" t="s">
        <v>185</v>
      </c>
      <c r="D22" s="67" t="s">
        <v>186</v>
      </c>
      <c r="E22" s="23" t="s">
        <v>187</v>
      </c>
      <c r="F22" s="23" t="s">
        <v>188</v>
      </c>
      <c r="G22" s="23" t="s">
        <v>189</v>
      </c>
      <c r="H22" s="48" t="s">
        <v>177</v>
      </c>
      <c r="I22" s="119"/>
      <c r="K22" s="73">
        <v>0.45833333333333298</v>
      </c>
      <c r="L22" s="67" t="s">
        <v>177</v>
      </c>
      <c r="M22" s="67" t="s">
        <v>177</v>
      </c>
      <c r="N22" s="335"/>
      <c r="O22" s="67" t="s">
        <v>177</v>
      </c>
      <c r="P22" s="67" t="s">
        <v>177</v>
      </c>
      <c r="Q22" s="67" t="s">
        <v>177</v>
      </c>
      <c r="R22" s="67" t="s">
        <v>177</v>
      </c>
      <c r="S22" s="67" t="s">
        <v>177</v>
      </c>
      <c r="T22" s="67" t="s">
        <v>177</v>
      </c>
      <c r="U22" s="335" t="s">
        <v>174</v>
      </c>
    </row>
    <row r="23" spans="2:21" x14ac:dyDescent="0.2">
      <c r="B23" s="67">
        <v>1</v>
      </c>
      <c r="C23" s="52">
        <v>6</v>
      </c>
      <c r="D23" s="52">
        <v>29</v>
      </c>
      <c r="E23" s="120">
        <v>6.1805555555555558E-2</v>
      </c>
      <c r="F23" s="67"/>
      <c r="G23" s="67"/>
      <c r="H23" s="48" t="s">
        <v>190</v>
      </c>
      <c r="I23" s="119"/>
      <c r="K23" s="73">
        <v>0.46875</v>
      </c>
      <c r="L23" s="67" t="s">
        <v>177</v>
      </c>
      <c r="M23" s="67" t="s">
        <v>177</v>
      </c>
      <c r="N23" s="67" t="s">
        <v>177</v>
      </c>
      <c r="O23" s="67" t="s">
        <v>177</v>
      </c>
      <c r="P23" s="335" t="s">
        <v>178</v>
      </c>
      <c r="Q23" s="67" t="s">
        <v>177</v>
      </c>
      <c r="R23" s="67" t="s">
        <v>177</v>
      </c>
      <c r="S23" s="67" t="s">
        <v>177</v>
      </c>
      <c r="T23" s="67" t="s">
        <v>177</v>
      </c>
      <c r="U23" s="335"/>
    </row>
    <row r="24" spans="2:21" x14ac:dyDescent="0.2">
      <c r="B24" s="67">
        <v>2</v>
      </c>
      <c r="C24" s="52">
        <v>8</v>
      </c>
      <c r="D24" s="52">
        <v>31</v>
      </c>
      <c r="E24" s="120">
        <v>0.14652777777777778</v>
      </c>
      <c r="F24" s="67"/>
      <c r="G24" s="67"/>
      <c r="H24" s="48" t="s">
        <v>190</v>
      </c>
      <c r="I24" s="119"/>
      <c r="K24" s="73">
        <v>0.47916666666666702</v>
      </c>
      <c r="L24" s="67" t="s">
        <v>177</v>
      </c>
      <c r="M24" s="335" t="s">
        <v>174</v>
      </c>
      <c r="N24" s="67" t="s">
        <v>177</v>
      </c>
      <c r="O24" s="67" t="s">
        <v>177</v>
      </c>
      <c r="P24" s="335"/>
      <c r="Q24" s="67" t="s">
        <v>177</v>
      </c>
      <c r="R24" s="67" t="s">
        <v>177</v>
      </c>
      <c r="S24" s="67" t="s">
        <v>177</v>
      </c>
      <c r="T24" s="335" t="s">
        <v>178</v>
      </c>
      <c r="U24" s="67" t="s">
        <v>177</v>
      </c>
    </row>
    <row r="25" spans="2:21" x14ac:dyDescent="0.2">
      <c r="B25" s="67">
        <v>3</v>
      </c>
      <c r="C25" s="52">
        <v>5</v>
      </c>
      <c r="D25" s="52">
        <v>55</v>
      </c>
      <c r="E25" s="120">
        <v>0.49652777777777773</v>
      </c>
      <c r="F25" s="67"/>
      <c r="G25" s="67"/>
      <c r="H25" s="48" t="s">
        <v>190</v>
      </c>
      <c r="I25" s="119"/>
      <c r="K25" s="73">
        <v>0.48958333333333298</v>
      </c>
      <c r="L25" s="67" t="s">
        <v>177</v>
      </c>
      <c r="M25" s="335"/>
      <c r="N25" s="67" t="s">
        <v>177</v>
      </c>
      <c r="O25" s="67" t="s">
        <v>177</v>
      </c>
      <c r="P25" s="67" t="s">
        <v>177</v>
      </c>
      <c r="Q25" s="67" t="s">
        <v>177</v>
      </c>
      <c r="R25" s="67" t="s">
        <v>177</v>
      </c>
      <c r="S25" s="67" t="s">
        <v>177</v>
      </c>
      <c r="T25" s="335"/>
      <c r="U25" s="67" t="s">
        <v>177</v>
      </c>
    </row>
    <row r="26" spans="2:21" x14ac:dyDescent="0.2">
      <c r="B26" s="67">
        <v>4</v>
      </c>
      <c r="C26" s="52">
        <v>4</v>
      </c>
      <c r="D26" s="52">
        <v>10</v>
      </c>
      <c r="E26" s="120">
        <v>0.4236111111111111</v>
      </c>
      <c r="F26" s="67"/>
      <c r="G26" s="67" t="s">
        <v>190</v>
      </c>
      <c r="H26" s="48"/>
      <c r="I26" s="119"/>
      <c r="K26" s="73">
        <v>0.5</v>
      </c>
      <c r="L26" s="338" t="s">
        <v>191</v>
      </c>
      <c r="M26" s="338"/>
      <c r="N26" s="338"/>
      <c r="O26" s="338"/>
      <c r="P26" s="338"/>
      <c r="Q26" s="338"/>
      <c r="R26" s="338"/>
      <c r="S26" s="338"/>
      <c r="T26" s="338"/>
      <c r="U26" s="338"/>
    </row>
    <row r="27" spans="2:21" x14ac:dyDescent="0.2">
      <c r="B27" s="67">
        <v>5</v>
      </c>
      <c r="C27" s="52">
        <v>1</v>
      </c>
      <c r="D27" s="52">
        <v>13</v>
      </c>
      <c r="E27" s="120">
        <v>0.30069444444444443</v>
      </c>
      <c r="F27" s="67"/>
      <c r="G27" s="67" t="s">
        <v>190</v>
      </c>
      <c r="H27" s="48"/>
      <c r="I27" s="119"/>
      <c r="K27" s="73">
        <v>0.51041666666666663</v>
      </c>
      <c r="L27" s="338"/>
      <c r="M27" s="338"/>
      <c r="N27" s="338"/>
      <c r="O27" s="338"/>
      <c r="P27" s="338"/>
      <c r="Q27" s="338"/>
      <c r="R27" s="338"/>
      <c r="S27" s="338"/>
      <c r="T27" s="338"/>
      <c r="U27" s="338"/>
    </row>
    <row r="28" spans="2:21" x14ac:dyDescent="0.2">
      <c r="B28" s="67">
        <v>6</v>
      </c>
      <c r="C28" s="52">
        <v>2</v>
      </c>
      <c r="D28" s="52">
        <v>11</v>
      </c>
      <c r="E28" s="120">
        <v>0.34097222222222223</v>
      </c>
      <c r="F28" s="67"/>
      <c r="G28" s="67"/>
      <c r="H28" s="48" t="s">
        <v>190</v>
      </c>
      <c r="I28" s="119"/>
      <c r="K28" s="73">
        <v>0.52083333333333337</v>
      </c>
      <c r="L28" s="338"/>
      <c r="M28" s="338"/>
      <c r="N28" s="338"/>
      <c r="O28" s="338"/>
      <c r="P28" s="338"/>
      <c r="Q28" s="338"/>
      <c r="R28" s="338"/>
      <c r="S28" s="338"/>
      <c r="T28" s="338"/>
      <c r="U28" s="338"/>
    </row>
    <row r="29" spans="2:21" x14ac:dyDescent="0.2">
      <c r="B29" s="67">
        <v>7</v>
      </c>
      <c r="C29" s="52">
        <v>5</v>
      </c>
      <c r="D29" s="52">
        <v>20</v>
      </c>
      <c r="E29" s="120">
        <v>0.47222222222222227</v>
      </c>
      <c r="F29" s="67"/>
      <c r="G29" s="67"/>
      <c r="H29" s="48" t="s">
        <v>190</v>
      </c>
      <c r="I29" s="119"/>
      <c r="K29" s="73">
        <v>0.53125</v>
      </c>
      <c r="L29" s="338"/>
      <c r="M29" s="338"/>
      <c r="N29" s="338"/>
      <c r="O29" s="338"/>
      <c r="P29" s="338"/>
      <c r="Q29" s="338"/>
      <c r="R29" s="338"/>
      <c r="S29" s="338"/>
      <c r="T29" s="338"/>
      <c r="U29" s="338"/>
    </row>
    <row r="30" spans="2:21" x14ac:dyDescent="0.2">
      <c r="B30" s="67">
        <v>8</v>
      </c>
      <c r="C30" s="52">
        <v>2</v>
      </c>
      <c r="D30" s="52">
        <v>4</v>
      </c>
      <c r="E30" s="120">
        <v>0.33611111111111108</v>
      </c>
      <c r="F30" s="67"/>
      <c r="G30" s="67"/>
      <c r="H30" s="48" t="s">
        <v>190</v>
      </c>
      <c r="I30" s="119"/>
      <c r="K30" s="73">
        <v>0.54166666666666663</v>
      </c>
      <c r="L30" s="335" t="s">
        <v>174</v>
      </c>
      <c r="M30" s="335" t="s">
        <v>174</v>
      </c>
      <c r="N30" s="335" t="s">
        <v>174</v>
      </c>
      <c r="O30" s="335" t="s">
        <v>174</v>
      </c>
      <c r="P30" s="335" t="s">
        <v>174</v>
      </c>
      <c r="Q30" s="335" t="s">
        <v>174</v>
      </c>
      <c r="R30" s="335" t="s">
        <v>174</v>
      </c>
      <c r="S30" s="335" t="s">
        <v>174</v>
      </c>
      <c r="T30" s="335" t="s">
        <v>174</v>
      </c>
      <c r="U30" s="335" t="s">
        <v>174</v>
      </c>
    </row>
    <row r="31" spans="2:21" x14ac:dyDescent="0.2">
      <c r="B31" s="67">
        <v>9</v>
      </c>
      <c r="C31" s="52">
        <v>7</v>
      </c>
      <c r="D31" s="52">
        <v>32</v>
      </c>
      <c r="E31" s="120">
        <v>0.10555555555555556</v>
      </c>
      <c r="F31" s="67" t="s">
        <v>190</v>
      </c>
      <c r="G31" s="67"/>
      <c r="H31" s="48"/>
      <c r="I31" s="119"/>
      <c r="K31" s="73">
        <v>0.55208333333333337</v>
      </c>
      <c r="L31" s="335"/>
      <c r="M31" s="335"/>
      <c r="N31" s="335"/>
      <c r="O31" s="335"/>
      <c r="P31" s="335"/>
      <c r="Q31" s="335"/>
      <c r="R31" s="335"/>
      <c r="S31" s="335"/>
      <c r="T31" s="335"/>
      <c r="U31" s="335"/>
    </row>
    <row r="32" spans="2:21" x14ac:dyDescent="0.2">
      <c r="B32" s="67">
        <v>10</v>
      </c>
      <c r="C32" s="52">
        <v>4</v>
      </c>
      <c r="D32" s="52">
        <v>20</v>
      </c>
      <c r="E32" s="120">
        <v>0.43055555555555558</v>
      </c>
      <c r="F32" s="67"/>
      <c r="G32" s="67" t="s">
        <v>190</v>
      </c>
      <c r="H32" s="48"/>
      <c r="I32" s="119"/>
      <c r="K32" s="73">
        <v>0.5625</v>
      </c>
      <c r="L32" s="67" t="s">
        <v>177</v>
      </c>
      <c r="M32" s="67" t="s">
        <v>177</v>
      </c>
      <c r="N32" s="67" t="s">
        <v>177</v>
      </c>
      <c r="O32" s="67" t="s">
        <v>177</v>
      </c>
      <c r="P32" s="67" t="s">
        <v>177</v>
      </c>
      <c r="Q32" s="67" t="s">
        <v>177</v>
      </c>
      <c r="R32" s="67" t="s">
        <v>177</v>
      </c>
      <c r="S32" s="67" t="s">
        <v>177</v>
      </c>
      <c r="T32" s="67" t="s">
        <v>177</v>
      </c>
      <c r="U32" s="67" t="s">
        <v>177</v>
      </c>
    </row>
    <row r="33" spans="2:21" x14ac:dyDescent="0.2">
      <c r="B33" s="252" t="s">
        <v>632</v>
      </c>
      <c r="K33" s="73">
        <v>0.57291666666666663</v>
      </c>
      <c r="L33" s="67" t="s">
        <v>177</v>
      </c>
      <c r="M33" s="67" t="s">
        <v>177</v>
      </c>
      <c r="N33" s="67" t="s">
        <v>177</v>
      </c>
      <c r="O33" s="67" t="s">
        <v>177</v>
      </c>
      <c r="P33" s="67" t="s">
        <v>177</v>
      </c>
      <c r="Q33" s="335" t="s">
        <v>178</v>
      </c>
      <c r="R33" s="67" t="s">
        <v>177</v>
      </c>
      <c r="S33" s="67" t="s">
        <v>177</v>
      </c>
      <c r="T33" s="67" t="s">
        <v>177</v>
      </c>
      <c r="U33" s="335" t="s">
        <v>178</v>
      </c>
    </row>
    <row r="34" spans="2:21" x14ac:dyDescent="0.2">
      <c r="K34" s="73">
        <v>0.58333333333333337</v>
      </c>
      <c r="L34" s="67" t="s">
        <v>177</v>
      </c>
      <c r="M34" s="67" t="s">
        <v>177</v>
      </c>
      <c r="N34" s="335" t="s">
        <v>178</v>
      </c>
      <c r="O34" s="67" t="s">
        <v>177</v>
      </c>
      <c r="P34" s="335" t="s">
        <v>174</v>
      </c>
      <c r="Q34" s="335"/>
      <c r="R34" s="67" t="s">
        <v>177</v>
      </c>
      <c r="S34" s="67" t="s">
        <v>177</v>
      </c>
      <c r="T34" s="67" t="s">
        <v>177</v>
      </c>
      <c r="U34" s="335"/>
    </row>
    <row r="35" spans="2:21" x14ac:dyDescent="0.2">
      <c r="B35" s="70" t="s">
        <v>192</v>
      </c>
      <c r="C35" s="70" t="s">
        <v>193</v>
      </c>
      <c r="D35" s="70" t="s">
        <v>194</v>
      </c>
      <c r="K35" s="73">
        <v>0.59375</v>
      </c>
      <c r="L35" s="67" t="s">
        <v>177</v>
      </c>
      <c r="M35" s="67" t="s">
        <v>177</v>
      </c>
      <c r="N35" s="335"/>
      <c r="O35" s="67" t="s">
        <v>177</v>
      </c>
      <c r="P35" s="335"/>
      <c r="Q35" s="67" t="s">
        <v>177</v>
      </c>
      <c r="R35" s="67" t="s">
        <v>177</v>
      </c>
      <c r="S35" s="67" t="s">
        <v>177</v>
      </c>
      <c r="T35" s="67" t="s">
        <v>177</v>
      </c>
      <c r="U35" s="67" t="s">
        <v>177</v>
      </c>
    </row>
    <row r="36" spans="2:21" x14ac:dyDescent="0.2">
      <c r="B36" s="52" t="s">
        <v>188</v>
      </c>
      <c r="C36" s="67">
        <v>10</v>
      </c>
      <c r="D36" s="68">
        <f>C36/$C$39</f>
        <v>0.1</v>
      </c>
      <c r="K36" s="73">
        <v>0.60416666666666663</v>
      </c>
      <c r="L36" s="335" t="s">
        <v>178</v>
      </c>
      <c r="M36" s="67" t="s">
        <v>177</v>
      </c>
      <c r="N36" s="67" t="s">
        <v>177</v>
      </c>
      <c r="O36" s="67" t="s">
        <v>177</v>
      </c>
      <c r="P36" s="67" t="s">
        <v>177</v>
      </c>
      <c r="Q36" s="67" t="s">
        <v>177</v>
      </c>
      <c r="R36" s="335" t="s">
        <v>178</v>
      </c>
      <c r="S36" s="67" t="s">
        <v>177</v>
      </c>
      <c r="T36" s="335" t="s">
        <v>174</v>
      </c>
      <c r="U36" s="67" t="s">
        <v>177</v>
      </c>
    </row>
    <row r="37" spans="2:21" x14ac:dyDescent="0.2">
      <c r="B37" s="52" t="s">
        <v>189</v>
      </c>
      <c r="C37" s="67">
        <v>30</v>
      </c>
      <c r="D37" s="68">
        <f t="shared" ref="D37:D39" si="0">C37/$C$39</f>
        <v>0.3</v>
      </c>
      <c r="K37" s="73">
        <v>0.61458333333333337</v>
      </c>
      <c r="L37" s="335"/>
      <c r="M37" s="67" t="s">
        <v>177</v>
      </c>
      <c r="N37" s="67" t="s">
        <v>177</v>
      </c>
      <c r="O37" s="335" t="s">
        <v>178</v>
      </c>
      <c r="P37" s="67" t="s">
        <v>177</v>
      </c>
      <c r="Q37" s="67" t="s">
        <v>177</v>
      </c>
      <c r="R37" s="335"/>
      <c r="S37" s="67" t="s">
        <v>177</v>
      </c>
      <c r="T37" s="335"/>
      <c r="U37" s="67" t="s">
        <v>177</v>
      </c>
    </row>
    <row r="38" spans="2:21" x14ac:dyDescent="0.2">
      <c r="B38" s="52" t="s">
        <v>177</v>
      </c>
      <c r="C38" s="67">
        <v>60</v>
      </c>
      <c r="D38" s="68">
        <f t="shared" si="0"/>
        <v>0.6</v>
      </c>
      <c r="K38" s="73">
        <v>0.625</v>
      </c>
      <c r="L38" s="67" t="s">
        <v>177</v>
      </c>
      <c r="M38" s="67" t="s">
        <v>177</v>
      </c>
      <c r="N38" s="67" t="s">
        <v>177</v>
      </c>
      <c r="O38" s="335"/>
      <c r="P38" s="67" t="s">
        <v>177</v>
      </c>
      <c r="Q38" s="67" t="s">
        <v>177</v>
      </c>
      <c r="R38" s="67" t="s">
        <v>177</v>
      </c>
      <c r="S38" s="335" t="s">
        <v>174</v>
      </c>
      <c r="T38" s="335" t="s">
        <v>174</v>
      </c>
      <c r="U38" s="67" t="s">
        <v>177</v>
      </c>
    </row>
    <row r="39" spans="2:21" x14ac:dyDescent="0.2">
      <c r="B39" s="52" t="s">
        <v>195</v>
      </c>
      <c r="C39" s="67">
        <v>100</v>
      </c>
      <c r="D39" s="68">
        <f t="shared" si="0"/>
        <v>1</v>
      </c>
      <c r="K39" s="73">
        <v>0.63541666666666663</v>
      </c>
      <c r="L39" s="67" t="s">
        <v>177</v>
      </c>
      <c r="M39" s="67" t="s">
        <v>177</v>
      </c>
      <c r="N39" s="67" t="s">
        <v>177</v>
      </c>
      <c r="O39" s="67" t="s">
        <v>177</v>
      </c>
      <c r="P39" s="67" t="s">
        <v>177</v>
      </c>
      <c r="Q39" s="335" t="s">
        <v>174</v>
      </c>
      <c r="R39" s="67" t="s">
        <v>177</v>
      </c>
      <c r="S39" s="335"/>
      <c r="T39" s="335"/>
      <c r="U39" s="67" t="s">
        <v>177</v>
      </c>
    </row>
    <row r="40" spans="2:21" x14ac:dyDescent="0.2">
      <c r="K40" s="73">
        <v>0.64583333333333337</v>
      </c>
      <c r="L40" s="67" t="s">
        <v>177</v>
      </c>
      <c r="M40" s="335" t="s">
        <v>178</v>
      </c>
      <c r="N40" s="67" t="s">
        <v>177</v>
      </c>
      <c r="O40" s="67" t="s">
        <v>177</v>
      </c>
      <c r="P40" s="67" t="s">
        <v>177</v>
      </c>
      <c r="Q40" s="335"/>
      <c r="R40" s="67" t="s">
        <v>177</v>
      </c>
      <c r="S40" s="335" t="s">
        <v>174</v>
      </c>
      <c r="T40" s="67" t="s">
        <v>177</v>
      </c>
      <c r="U40" s="67" t="s">
        <v>177</v>
      </c>
    </row>
    <row r="41" spans="2:21" x14ac:dyDescent="0.2">
      <c r="K41" s="73">
        <v>0.65625</v>
      </c>
      <c r="L41" s="67" t="s">
        <v>177</v>
      </c>
      <c r="M41" s="335"/>
      <c r="N41" s="67" t="s">
        <v>177</v>
      </c>
      <c r="O41" s="67" t="s">
        <v>177</v>
      </c>
      <c r="P41" s="335" t="s">
        <v>178</v>
      </c>
      <c r="Q41" s="67" t="s">
        <v>177</v>
      </c>
      <c r="R41" s="67" t="s">
        <v>177</v>
      </c>
      <c r="S41" s="335"/>
      <c r="T41" s="67" t="s">
        <v>177</v>
      </c>
      <c r="U41" s="67" t="s">
        <v>177</v>
      </c>
    </row>
    <row r="42" spans="2:21" x14ac:dyDescent="0.2">
      <c r="K42" s="73">
        <v>0.66666666666666663</v>
      </c>
      <c r="L42" s="67" t="s">
        <v>177</v>
      </c>
      <c r="M42" s="67" t="s">
        <v>177</v>
      </c>
      <c r="N42" s="67" t="s">
        <v>177</v>
      </c>
      <c r="O42" s="67" t="s">
        <v>177</v>
      </c>
      <c r="P42" s="335"/>
      <c r="Q42" s="67" t="s">
        <v>177</v>
      </c>
      <c r="R42" s="67" t="s">
        <v>177</v>
      </c>
      <c r="S42" s="67" t="s">
        <v>177</v>
      </c>
      <c r="T42" s="67" t="s">
        <v>177</v>
      </c>
      <c r="U42" s="67" t="s">
        <v>177</v>
      </c>
    </row>
  </sheetData>
  <mergeCells count="60">
    <mergeCell ref="M40:M41"/>
    <mergeCell ref="S40:S41"/>
    <mergeCell ref="P41:P42"/>
    <mergeCell ref="Q33:Q34"/>
    <mergeCell ref="U33:U34"/>
    <mergeCell ref="N34:N35"/>
    <mergeCell ref="P34:P35"/>
    <mergeCell ref="T38:T39"/>
    <mergeCell ref="Q39:Q40"/>
    <mergeCell ref="L36:L37"/>
    <mergeCell ref="R36:R37"/>
    <mergeCell ref="T36:T37"/>
    <mergeCell ref="O37:O38"/>
    <mergeCell ref="S38:S39"/>
    <mergeCell ref="L26:U29"/>
    <mergeCell ref="L30:L31"/>
    <mergeCell ref="M30:M31"/>
    <mergeCell ref="N30:N31"/>
    <mergeCell ref="O30:O31"/>
    <mergeCell ref="P30:P31"/>
    <mergeCell ref="Q30:Q31"/>
    <mergeCell ref="R30:R31"/>
    <mergeCell ref="S30:S31"/>
    <mergeCell ref="T30:T31"/>
    <mergeCell ref="U30:U31"/>
    <mergeCell ref="B21:H21"/>
    <mergeCell ref="N21:N22"/>
    <mergeCell ref="U22:U23"/>
    <mergeCell ref="P23:P24"/>
    <mergeCell ref="M24:M25"/>
    <mergeCell ref="T24:T25"/>
    <mergeCell ref="B14:E14"/>
    <mergeCell ref="P14:P15"/>
    <mergeCell ref="M15:M16"/>
    <mergeCell ref="T16:T17"/>
    <mergeCell ref="R17:R18"/>
    <mergeCell ref="O18:O19"/>
    <mergeCell ref="L19:L20"/>
    <mergeCell ref="Q19:Q20"/>
    <mergeCell ref="Q10:Q11"/>
    <mergeCell ref="S10:S11"/>
    <mergeCell ref="O11:O12"/>
    <mergeCell ref="U11:U12"/>
    <mergeCell ref="L12:L13"/>
    <mergeCell ref="N12:N13"/>
    <mergeCell ref="R12:R13"/>
    <mergeCell ref="S12:S13"/>
    <mergeCell ref="B3:C3"/>
    <mergeCell ref="K3:U4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B7:C7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AB21"/>
  <sheetViews>
    <sheetView topLeftCell="T1" zoomScale="170" zoomScaleNormal="170" workbookViewId="0">
      <selection activeCell="AD8" sqref="AD8"/>
    </sheetView>
  </sheetViews>
  <sheetFormatPr baseColWidth="10" defaultRowHeight="16" x14ac:dyDescent="0.2"/>
  <cols>
    <col min="1" max="1" width="0" hidden="1" customWidth="1"/>
    <col min="2" max="19" width="3.83203125" hidden="1" customWidth="1"/>
    <col min="20" max="20" width="10.6640625" customWidth="1"/>
    <col min="21" max="21" width="8" customWidth="1"/>
    <col min="22" max="22" width="3.6640625" customWidth="1"/>
    <col min="23" max="23" width="12.5" customWidth="1"/>
    <col min="24" max="24" width="9.6640625" customWidth="1"/>
  </cols>
  <sheetData>
    <row r="2" spans="1:28" x14ac:dyDescent="0.2">
      <c r="A2" s="121" t="s">
        <v>184</v>
      </c>
      <c r="B2" s="122">
        <v>1</v>
      </c>
      <c r="C2" s="122">
        <v>2</v>
      </c>
      <c r="D2" s="122">
        <v>3</v>
      </c>
      <c r="E2" s="122">
        <v>4</v>
      </c>
      <c r="F2" s="122">
        <v>5</v>
      </c>
      <c r="G2" s="122">
        <v>6</v>
      </c>
      <c r="H2" s="122">
        <v>7</v>
      </c>
      <c r="I2" s="122">
        <v>8</v>
      </c>
      <c r="J2" s="122">
        <v>9</v>
      </c>
      <c r="K2" s="122">
        <v>10</v>
      </c>
      <c r="L2" s="122">
        <v>11</v>
      </c>
      <c r="M2" s="122">
        <v>12</v>
      </c>
      <c r="N2" s="122">
        <v>13</v>
      </c>
      <c r="O2" s="122">
        <v>14</v>
      </c>
      <c r="P2" s="122">
        <v>15</v>
      </c>
      <c r="Q2" s="122">
        <v>16</v>
      </c>
      <c r="R2" s="122">
        <v>17</v>
      </c>
      <c r="S2" s="122" t="s">
        <v>196</v>
      </c>
    </row>
    <row r="3" spans="1:28" x14ac:dyDescent="0.2">
      <c r="A3" s="121" t="s">
        <v>112</v>
      </c>
      <c r="B3" s="122">
        <v>2.0499999999999998</v>
      </c>
      <c r="C3" s="122">
        <v>1.92</v>
      </c>
      <c r="D3" s="122">
        <v>2.0099999999999998</v>
      </c>
      <c r="E3" s="122">
        <v>1.89</v>
      </c>
      <c r="F3" s="122">
        <v>1.77</v>
      </c>
      <c r="G3" s="122">
        <v>1.8</v>
      </c>
      <c r="H3" s="122">
        <v>1.86</v>
      </c>
      <c r="I3" s="122">
        <v>1.83</v>
      </c>
      <c r="J3" s="122">
        <v>1.93</v>
      </c>
      <c r="K3" s="122">
        <v>1.96</v>
      </c>
      <c r="L3" s="122">
        <v>1.95</v>
      </c>
      <c r="M3" s="122">
        <v>2.0499999999999998</v>
      </c>
      <c r="N3" s="122">
        <v>1.79</v>
      </c>
      <c r="O3" s="122">
        <v>1.82</v>
      </c>
      <c r="P3" s="122">
        <v>1.85</v>
      </c>
      <c r="Q3" s="122">
        <v>1.85</v>
      </c>
      <c r="R3" s="122">
        <v>1.99</v>
      </c>
      <c r="S3" s="122" t="s">
        <v>196</v>
      </c>
    </row>
    <row r="4" spans="1:28" x14ac:dyDescent="0.2">
      <c r="T4" s="123" t="s">
        <v>197</v>
      </c>
      <c r="U4" s="124">
        <v>1.1499999999999999</v>
      </c>
      <c r="V4" s="125"/>
      <c r="W4" s="125"/>
      <c r="X4" s="125"/>
      <c r="Y4" s="125"/>
      <c r="Z4" s="125"/>
      <c r="AA4" s="125"/>
      <c r="AB4" s="125"/>
    </row>
    <row r="5" spans="1:28" x14ac:dyDescent="0.2">
      <c r="T5" s="123" t="s">
        <v>198</v>
      </c>
      <c r="U5" s="126">
        <f>(8+6+2)/100</f>
        <v>0.16</v>
      </c>
      <c r="V5" s="127" t="s">
        <v>20</v>
      </c>
      <c r="W5" s="125" t="s">
        <v>199</v>
      </c>
      <c r="X5" s="128">
        <f>ROUNDUP(POWER((U10*U12)/(U11*U13),2),0)</f>
        <v>9</v>
      </c>
      <c r="Y5" s="129" t="s">
        <v>200</v>
      </c>
      <c r="Z5" s="125"/>
      <c r="AA5" s="125"/>
      <c r="AB5" s="125"/>
    </row>
    <row r="6" spans="1:28" ht="50" customHeight="1" x14ac:dyDescent="0.2">
      <c r="T6" s="123" t="s">
        <v>201</v>
      </c>
      <c r="U6" s="130">
        <v>8</v>
      </c>
      <c r="V6" s="131" t="s">
        <v>30</v>
      </c>
      <c r="W6" s="339" t="s">
        <v>202</v>
      </c>
      <c r="X6" s="339"/>
      <c r="Y6" s="129" t="s">
        <v>203</v>
      </c>
      <c r="Z6" s="125"/>
      <c r="AA6" s="125"/>
      <c r="AB6" s="125"/>
    </row>
    <row r="7" spans="1:28" x14ac:dyDescent="0.2">
      <c r="J7" s="125"/>
      <c r="K7" s="125"/>
      <c r="T7" s="123" t="s">
        <v>204</v>
      </c>
      <c r="U7" s="130">
        <v>7.5</v>
      </c>
      <c r="V7" s="127" t="s">
        <v>31</v>
      </c>
      <c r="W7" s="125" t="s">
        <v>205</v>
      </c>
      <c r="X7" s="132">
        <f>U13*U4</f>
        <v>2.1863529411764704</v>
      </c>
      <c r="Y7" s="340" t="s">
        <v>203</v>
      </c>
      <c r="Z7" s="125"/>
      <c r="AA7" s="125"/>
      <c r="AB7" s="125"/>
    </row>
    <row r="8" spans="1:28" x14ac:dyDescent="0.2">
      <c r="J8" s="125"/>
      <c r="K8" s="125"/>
      <c r="T8" s="123" t="s">
        <v>206</v>
      </c>
      <c r="U8" s="130">
        <v>12.5</v>
      </c>
      <c r="V8" s="133"/>
      <c r="W8" s="125" t="s">
        <v>207</v>
      </c>
      <c r="X8" s="132">
        <f>X7/(1-U5)</f>
        <v>2.6028011204481794</v>
      </c>
      <c r="Y8" s="340"/>
      <c r="Z8" s="125"/>
      <c r="AA8" s="125"/>
      <c r="AB8" s="125"/>
    </row>
    <row r="9" spans="1:28" ht="17" x14ac:dyDescent="0.2">
      <c r="J9" s="125"/>
      <c r="K9" s="125"/>
      <c r="T9" s="123" t="s">
        <v>108</v>
      </c>
      <c r="U9" s="134">
        <f>0.9973+((1-0.9973)/2)</f>
        <v>0.99865000000000004</v>
      </c>
      <c r="V9" s="133"/>
      <c r="W9" s="135" t="s">
        <v>6</v>
      </c>
      <c r="X9" s="136">
        <f>U14/X8</f>
        <v>172.8906586310805</v>
      </c>
      <c r="Y9" s="129" t="s">
        <v>203</v>
      </c>
      <c r="Z9" s="125"/>
      <c r="AA9" s="125"/>
      <c r="AB9" s="125"/>
    </row>
    <row r="10" spans="1:28" x14ac:dyDescent="0.2">
      <c r="J10" s="125"/>
      <c r="K10" s="125"/>
      <c r="T10" s="123" t="s">
        <v>163</v>
      </c>
      <c r="U10" s="137">
        <f>_xlfn.NORM.S.INV(U9)</f>
        <v>2.999976992703401</v>
      </c>
      <c r="V10" s="127" t="s">
        <v>46</v>
      </c>
      <c r="W10" s="125" t="s">
        <v>208</v>
      </c>
      <c r="X10" s="138">
        <f>U8*U6</f>
        <v>100</v>
      </c>
      <c r="Y10" s="340" t="s">
        <v>203</v>
      </c>
      <c r="Z10" s="125"/>
      <c r="AA10" s="125"/>
      <c r="AB10" s="125"/>
    </row>
    <row r="11" spans="1:28" ht="15" customHeight="1" x14ac:dyDescent="0.2">
      <c r="J11" s="125"/>
      <c r="K11" s="125"/>
      <c r="T11" s="139" t="s">
        <v>107</v>
      </c>
      <c r="U11" s="126">
        <v>0.05</v>
      </c>
      <c r="V11" s="125"/>
      <c r="W11" s="135" t="s">
        <v>209</v>
      </c>
      <c r="X11" s="140">
        <f>X10/X9</f>
        <v>0.5784002489884843</v>
      </c>
      <c r="Y11" s="340"/>
      <c r="Z11" s="125"/>
      <c r="AA11" s="125"/>
      <c r="AB11" s="125"/>
    </row>
    <row r="12" spans="1:28" x14ac:dyDescent="0.2">
      <c r="J12" s="125"/>
      <c r="K12" s="125"/>
      <c r="T12" s="123" t="s">
        <v>210</v>
      </c>
      <c r="U12" s="141">
        <f>_xlfn.STDEV.S(B3:R3)</f>
        <v>8.9991829694504449E-2</v>
      </c>
      <c r="V12" s="125"/>
      <c r="W12" s="125"/>
      <c r="X12" s="125"/>
      <c r="Y12" s="125"/>
      <c r="Z12" s="125"/>
      <c r="AA12" s="125"/>
      <c r="AB12" s="125"/>
    </row>
    <row r="13" spans="1:28" x14ac:dyDescent="0.2">
      <c r="J13" s="125"/>
      <c r="K13" s="125"/>
      <c r="T13" s="123" t="s">
        <v>211</v>
      </c>
      <c r="U13" s="141">
        <f>AVERAGE(B3:R3)</f>
        <v>1.9011764705882352</v>
      </c>
      <c r="V13" s="125"/>
      <c r="W13" s="125"/>
      <c r="X13" s="125"/>
      <c r="Y13" s="125"/>
      <c r="Z13" s="125"/>
      <c r="AA13" s="125"/>
      <c r="AB13" s="125"/>
    </row>
    <row r="14" spans="1:28" ht="30" x14ac:dyDescent="0.2">
      <c r="J14" s="125"/>
      <c r="K14" s="125"/>
      <c r="T14" s="123" t="s">
        <v>5</v>
      </c>
      <c r="U14" s="130">
        <f>U7*60</f>
        <v>450</v>
      </c>
      <c r="V14" s="125"/>
      <c r="W14" s="125"/>
      <c r="X14" s="125"/>
      <c r="Y14" s="125"/>
      <c r="Z14" s="125"/>
      <c r="AA14" s="125"/>
      <c r="AB14" s="125"/>
    </row>
    <row r="15" spans="1:28" x14ac:dyDescent="0.2">
      <c r="J15" s="125"/>
      <c r="K15" s="125"/>
      <c r="T15" s="125"/>
      <c r="U15" s="125"/>
      <c r="V15" s="125"/>
      <c r="W15" s="125"/>
      <c r="X15" s="125"/>
      <c r="Y15" s="125"/>
      <c r="Z15" s="125"/>
      <c r="AA15" s="125"/>
      <c r="AB15" s="125"/>
    </row>
    <row r="16" spans="1:28" x14ac:dyDescent="0.2">
      <c r="J16" s="125"/>
      <c r="K16" s="125"/>
      <c r="T16" s="125"/>
      <c r="U16" s="125"/>
      <c r="V16" s="125"/>
      <c r="W16" s="125"/>
      <c r="X16" s="125"/>
      <c r="Y16" s="125"/>
      <c r="Z16" s="125"/>
      <c r="AA16" s="125"/>
      <c r="AB16" s="125"/>
    </row>
    <row r="17" spans="10:28" x14ac:dyDescent="0.2">
      <c r="J17" s="125"/>
      <c r="K17" s="125"/>
      <c r="T17" s="125"/>
      <c r="U17" s="125"/>
      <c r="V17" s="125"/>
      <c r="W17" s="125"/>
      <c r="X17" s="125"/>
      <c r="Y17" s="125"/>
      <c r="Z17" s="125"/>
      <c r="AA17" s="125"/>
      <c r="AB17" s="125"/>
    </row>
    <row r="18" spans="10:28" x14ac:dyDescent="0.2">
      <c r="J18" s="125"/>
      <c r="K18" s="125"/>
      <c r="T18" s="125"/>
      <c r="U18" s="125"/>
      <c r="V18" s="125"/>
      <c r="W18" s="125"/>
      <c r="X18" s="125"/>
      <c r="Y18" s="125"/>
      <c r="Z18" s="125"/>
      <c r="AA18" s="125"/>
      <c r="AB18" s="125"/>
    </row>
    <row r="19" spans="10:28" x14ac:dyDescent="0.2">
      <c r="J19" s="125"/>
      <c r="K19" s="125"/>
    </row>
    <row r="20" spans="10:28" x14ac:dyDescent="0.2">
      <c r="J20" s="125"/>
      <c r="K20" s="125"/>
    </row>
    <row r="21" spans="10:28" x14ac:dyDescent="0.2">
      <c r="J21" s="125"/>
      <c r="K21" s="125"/>
    </row>
  </sheetData>
  <mergeCells count="3">
    <mergeCell ref="W6:X6"/>
    <mergeCell ref="Y7:Y8"/>
    <mergeCell ref="Y10:Y1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0D312-5ABD-5448-B558-6DF9554E536A}">
  <dimension ref="B2:P65"/>
  <sheetViews>
    <sheetView workbookViewId="0">
      <selection activeCell="N35" sqref="N35"/>
    </sheetView>
  </sheetViews>
  <sheetFormatPr baseColWidth="10" defaultRowHeight="16" x14ac:dyDescent="0.2"/>
  <cols>
    <col min="1" max="1" width="3.83203125" customWidth="1"/>
    <col min="2" max="2" width="17.1640625" customWidth="1"/>
    <col min="3" max="3" width="15.5" customWidth="1"/>
    <col min="4" max="4" width="18.83203125" customWidth="1"/>
    <col min="5" max="5" width="18.6640625" style="22" customWidth="1"/>
    <col min="6" max="6" width="3.83203125" customWidth="1"/>
    <col min="7" max="7" width="18" style="22" customWidth="1"/>
    <col min="8" max="8" width="8.83203125" customWidth="1"/>
    <col min="9" max="9" width="21.83203125" bestFit="1" customWidth="1"/>
    <col min="10" max="10" width="4" customWidth="1"/>
    <col min="11" max="11" width="15.5" customWidth="1"/>
    <col min="12" max="12" width="14.5" customWidth="1"/>
    <col min="13" max="14" width="13.83203125" customWidth="1"/>
    <col min="15" max="15" width="13.5" customWidth="1"/>
    <col min="16" max="16" width="14.1640625" customWidth="1"/>
  </cols>
  <sheetData>
    <row r="2" spans="2:16" ht="17" thickBot="1" x14ac:dyDescent="0.25"/>
    <row r="3" spans="2:16" ht="15" customHeight="1" x14ac:dyDescent="0.2">
      <c r="B3" s="332" t="s">
        <v>160</v>
      </c>
      <c r="C3" s="341"/>
      <c r="D3" s="169" t="s">
        <v>357</v>
      </c>
      <c r="K3" s="342" t="s">
        <v>358</v>
      </c>
      <c r="L3" s="343"/>
      <c r="M3" s="343"/>
      <c r="N3" s="343"/>
      <c r="O3" s="343"/>
      <c r="P3" s="344"/>
    </row>
    <row r="4" spans="2:16" ht="15" customHeight="1" x14ac:dyDescent="0.2">
      <c r="B4" s="103" t="s">
        <v>359</v>
      </c>
      <c r="C4" s="168" t="s">
        <v>163</v>
      </c>
      <c r="D4" s="170">
        <v>7.0000000000000007E-2</v>
      </c>
      <c r="K4" s="345"/>
      <c r="L4" s="346"/>
      <c r="M4" s="346"/>
      <c r="N4" s="346"/>
      <c r="O4" s="346"/>
      <c r="P4" s="347"/>
    </row>
    <row r="5" spans="2:16" x14ac:dyDescent="0.2">
      <c r="B5" s="103">
        <f>D6</f>
        <v>0.96499999999999997</v>
      </c>
      <c r="C5" s="171">
        <f>_xlfn.NORM.S.INV(B5)</f>
        <v>1.8119106729525971</v>
      </c>
      <c r="D5" s="170">
        <f>1-D4</f>
        <v>0.92999999999999994</v>
      </c>
      <c r="K5" s="67"/>
      <c r="L5" s="70" t="s">
        <v>164</v>
      </c>
      <c r="M5" s="70" t="s">
        <v>165</v>
      </c>
      <c r="N5" s="70" t="s">
        <v>166</v>
      </c>
      <c r="O5" s="70" t="s">
        <v>167</v>
      </c>
      <c r="P5" s="70" t="s">
        <v>168</v>
      </c>
    </row>
    <row r="6" spans="2:16" ht="17" thickBot="1" x14ac:dyDescent="0.25">
      <c r="B6" s="106"/>
      <c r="C6" s="172">
        <f>POWER(C5,2)</f>
        <v>3.2830202867595335</v>
      </c>
      <c r="D6" s="173">
        <f>D5+(D4/2)</f>
        <v>0.96499999999999997</v>
      </c>
      <c r="K6" s="73">
        <v>7.291666666666667</v>
      </c>
      <c r="L6" s="348" t="s">
        <v>360</v>
      </c>
      <c r="M6" s="348" t="s">
        <v>361</v>
      </c>
      <c r="N6" s="348" t="s">
        <v>361</v>
      </c>
      <c r="O6" s="348" t="s">
        <v>362</v>
      </c>
      <c r="P6" s="348" t="s">
        <v>360</v>
      </c>
    </row>
    <row r="7" spans="2:16" x14ac:dyDescent="0.2">
      <c r="B7" s="336" t="s">
        <v>175</v>
      </c>
      <c r="C7" s="337"/>
      <c r="K7" s="73">
        <v>0.3125</v>
      </c>
      <c r="L7" s="349"/>
      <c r="M7" s="349"/>
      <c r="N7" s="349"/>
      <c r="O7" s="349"/>
      <c r="P7" s="349"/>
    </row>
    <row r="8" spans="2:16" ht="17" thickBot="1" x14ac:dyDescent="0.25">
      <c r="B8" s="108" t="s">
        <v>176</v>
      </c>
      <c r="C8" s="109">
        <v>2</v>
      </c>
      <c r="K8" s="73">
        <v>0.33333333333333331</v>
      </c>
      <c r="L8" s="348" t="s">
        <v>361</v>
      </c>
      <c r="M8" s="348" t="s">
        <v>360</v>
      </c>
      <c r="N8" s="348" t="s">
        <v>361</v>
      </c>
      <c r="O8" s="348" t="s">
        <v>362</v>
      </c>
      <c r="P8" s="348" t="s">
        <v>361</v>
      </c>
    </row>
    <row r="9" spans="2:16" x14ac:dyDescent="0.2">
      <c r="B9" s="110" t="s">
        <v>107</v>
      </c>
      <c r="C9" s="174">
        <v>8.5000000000000006E-2</v>
      </c>
      <c r="K9" s="73">
        <v>0.35416666666666702</v>
      </c>
      <c r="L9" s="349"/>
      <c r="M9" s="349"/>
      <c r="N9" s="349"/>
      <c r="O9" s="349"/>
      <c r="P9" s="349"/>
    </row>
    <row r="10" spans="2:16" ht="17" thickBot="1" x14ac:dyDescent="0.25">
      <c r="B10" s="112"/>
      <c r="C10" s="113">
        <f>POWER(C9,2)</f>
        <v>7.2250000000000014E-3</v>
      </c>
      <c r="K10" s="73">
        <v>0.375</v>
      </c>
      <c r="L10" s="348" t="s">
        <v>360</v>
      </c>
      <c r="M10" s="348" t="s">
        <v>362</v>
      </c>
      <c r="N10" s="348" t="s">
        <v>360</v>
      </c>
      <c r="O10" s="348" t="s">
        <v>360</v>
      </c>
      <c r="P10" s="348" t="s">
        <v>360</v>
      </c>
    </row>
    <row r="11" spans="2:16" ht="17" thickBot="1" x14ac:dyDescent="0.25">
      <c r="B11" s="114" t="s">
        <v>179</v>
      </c>
      <c r="C11" s="175">
        <v>7.0000000000000007E-2</v>
      </c>
      <c r="K11" s="73">
        <v>0.39583333333333298</v>
      </c>
      <c r="L11" s="349"/>
      <c r="M11" s="349"/>
      <c r="N11" s="349"/>
      <c r="O11" s="349"/>
      <c r="P11" s="349"/>
    </row>
    <row r="12" spans="2:16" ht="17" thickBot="1" x14ac:dyDescent="0.25">
      <c r="B12" s="116" t="s">
        <v>86</v>
      </c>
      <c r="C12" s="117">
        <f>(C6*C11*(1-C11))/C10</f>
        <v>29.581262376200083</v>
      </c>
      <c r="D12" s="118">
        <f>ROUNDUP(C12,0)</f>
        <v>30</v>
      </c>
      <c r="K12" s="73">
        <v>0.41666666666666702</v>
      </c>
      <c r="L12" s="348" t="s">
        <v>362</v>
      </c>
      <c r="M12" s="348" t="s">
        <v>360</v>
      </c>
      <c r="N12" s="348" t="s">
        <v>362</v>
      </c>
      <c r="O12" s="348" t="s">
        <v>360</v>
      </c>
      <c r="P12" s="348" t="s">
        <v>362</v>
      </c>
    </row>
    <row r="13" spans="2:16" x14ac:dyDescent="0.2">
      <c r="K13" s="73">
        <v>0.4375</v>
      </c>
      <c r="L13" s="349"/>
      <c r="M13" s="349"/>
      <c r="N13" s="349"/>
      <c r="O13" s="349"/>
      <c r="P13" s="349"/>
    </row>
    <row r="14" spans="2:16" x14ac:dyDescent="0.2">
      <c r="B14" s="280" t="s">
        <v>180</v>
      </c>
      <c r="C14" s="280"/>
      <c r="D14" s="280"/>
      <c r="E14" s="280"/>
      <c r="K14" s="73">
        <v>0.45833333333333298</v>
      </c>
      <c r="L14" s="348" t="s">
        <v>360</v>
      </c>
      <c r="M14" s="348" t="s">
        <v>362</v>
      </c>
      <c r="N14" s="348" t="s">
        <v>360</v>
      </c>
      <c r="O14" s="348" t="s">
        <v>361</v>
      </c>
      <c r="P14" s="348" t="s">
        <v>360</v>
      </c>
    </row>
    <row r="15" spans="2:16" x14ac:dyDescent="0.2">
      <c r="B15" s="67" t="s">
        <v>181</v>
      </c>
      <c r="C15" s="67" t="s">
        <v>113</v>
      </c>
      <c r="D15" s="67" t="s">
        <v>181</v>
      </c>
      <c r="E15" s="67" t="s">
        <v>113</v>
      </c>
      <c r="K15" s="73">
        <v>0.47916666666666702</v>
      </c>
      <c r="L15" s="350"/>
      <c r="M15" s="350"/>
      <c r="N15" s="350"/>
      <c r="O15" s="350"/>
      <c r="P15" s="350"/>
    </row>
    <row r="16" spans="2:16" x14ac:dyDescent="0.2">
      <c r="B16" s="67" t="s">
        <v>114</v>
      </c>
      <c r="C16" s="67" t="s">
        <v>363</v>
      </c>
      <c r="D16" s="67" t="s">
        <v>116</v>
      </c>
      <c r="E16" s="67" t="s">
        <v>364</v>
      </c>
      <c r="K16" s="73">
        <v>0.5</v>
      </c>
      <c r="L16" s="349"/>
      <c r="M16" s="349"/>
      <c r="N16" s="349"/>
      <c r="O16" s="349"/>
      <c r="P16" s="349"/>
    </row>
    <row r="17" spans="2:16" ht="26" x14ac:dyDescent="0.2">
      <c r="B17" s="48" t="s">
        <v>118</v>
      </c>
      <c r="C17" s="48" t="s">
        <v>365</v>
      </c>
      <c r="D17" s="48" t="s">
        <v>124</v>
      </c>
      <c r="E17" s="48" t="s">
        <v>366</v>
      </c>
      <c r="K17" s="176"/>
      <c r="L17" s="351" t="s">
        <v>191</v>
      </c>
      <c r="M17" s="351"/>
      <c r="N17" s="351"/>
      <c r="O17" s="351"/>
      <c r="P17" s="351"/>
    </row>
    <row r="18" spans="2:16" x14ac:dyDescent="0.2">
      <c r="B18" s="67" t="s">
        <v>122</v>
      </c>
      <c r="C18" s="67" t="s">
        <v>367</v>
      </c>
      <c r="D18" s="67" t="s">
        <v>128</v>
      </c>
      <c r="E18" s="67" t="s">
        <v>368</v>
      </c>
      <c r="K18" s="73">
        <v>0.54166666666666663</v>
      </c>
      <c r="L18" s="348" t="s">
        <v>362</v>
      </c>
      <c r="M18" s="348" t="s">
        <v>360</v>
      </c>
      <c r="N18" s="348" t="s">
        <v>362</v>
      </c>
      <c r="O18" s="348" t="s">
        <v>361</v>
      </c>
      <c r="P18" s="348" t="s">
        <v>362</v>
      </c>
    </row>
    <row r="19" spans="2:16" x14ac:dyDescent="0.2">
      <c r="B19" s="67" t="s">
        <v>182</v>
      </c>
      <c r="C19" s="67" t="s">
        <v>369</v>
      </c>
      <c r="D19" s="67" t="s">
        <v>183</v>
      </c>
      <c r="E19" s="67" t="s">
        <v>370</v>
      </c>
      <c r="K19" s="73">
        <v>0.5625</v>
      </c>
      <c r="L19" s="349"/>
      <c r="M19" s="349"/>
      <c r="N19" s="349"/>
      <c r="O19" s="349"/>
      <c r="P19" s="349"/>
    </row>
    <row r="20" spans="2:16" x14ac:dyDescent="0.2">
      <c r="K20" s="73">
        <v>0.58333333333333337</v>
      </c>
      <c r="L20" s="348" t="s">
        <v>361</v>
      </c>
      <c r="M20" s="348" t="s">
        <v>361</v>
      </c>
      <c r="N20" s="348" t="s">
        <v>362</v>
      </c>
      <c r="O20" s="348" t="s">
        <v>362</v>
      </c>
      <c r="P20" s="348" t="s">
        <v>360</v>
      </c>
    </row>
    <row r="21" spans="2:16" ht="17" thickBot="1" x14ac:dyDescent="0.25">
      <c r="B21" s="280" t="s">
        <v>164</v>
      </c>
      <c r="C21" s="280"/>
      <c r="D21" s="280"/>
      <c r="E21" s="280"/>
      <c r="I21" s="22"/>
      <c r="K21" s="73">
        <v>0.60416666666666663</v>
      </c>
      <c r="L21" s="349"/>
      <c r="M21" s="349"/>
      <c r="N21" s="349"/>
      <c r="O21" s="349"/>
      <c r="P21" s="349"/>
    </row>
    <row r="22" spans="2:16" ht="17" x14ac:dyDescent="0.2">
      <c r="B22" s="23" t="s">
        <v>184</v>
      </c>
      <c r="C22" s="67" t="s">
        <v>185</v>
      </c>
      <c r="D22" s="23" t="s">
        <v>371</v>
      </c>
      <c r="E22" s="67" t="s">
        <v>184</v>
      </c>
      <c r="G22" s="110" t="s">
        <v>184</v>
      </c>
      <c r="H22" s="177" t="s">
        <v>372</v>
      </c>
      <c r="I22" s="178" t="s">
        <v>373</v>
      </c>
      <c r="K22" s="73">
        <v>0.625</v>
      </c>
      <c r="L22" s="348" t="s">
        <v>360</v>
      </c>
      <c r="M22" s="354" t="s">
        <v>362</v>
      </c>
      <c r="N22" s="348" t="s">
        <v>360</v>
      </c>
      <c r="O22" s="348" t="s">
        <v>361</v>
      </c>
      <c r="P22" s="348" t="s">
        <v>361</v>
      </c>
    </row>
    <row r="23" spans="2:16" x14ac:dyDescent="0.2">
      <c r="B23" s="67">
        <v>1</v>
      </c>
      <c r="C23" s="67">
        <v>600</v>
      </c>
      <c r="D23" s="120">
        <v>6.1805555555555558E-2</v>
      </c>
      <c r="E23" s="67" t="str">
        <f>L18</f>
        <v>Platos</v>
      </c>
      <c r="G23" s="103" t="s">
        <v>360</v>
      </c>
      <c r="H23" s="67">
        <f>COUNTIF($E$23:$E$64,G23)</f>
        <v>11</v>
      </c>
      <c r="I23" s="179">
        <f>H23/H26</f>
        <v>0.36666666666666664</v>
      </c>
      <c r="K23" s="73">
        <v>0.64583333333333337</v>
      </c>
      <c r="L23" s="350"/>
      <c r="M23" s="355"/>
      <c r="N23" s="350"/>
      <c r="O23" s="350"/>
      <c r="P23" s="350"/>
    </row>
    <row r="24" spans="2:16" x14ac:dyDescent="0.2">
      <c r="B24" s="67">
        <v>2</v>
      </c>
      <c r="C24" s="67">
        <v>610</v>
      </c>
      <c r="D24" s="120">
        <v>0.14652777777777778</v>
      </c>
      <c r="E24" s="67" t="str">
        <f>L22</f>
        <v>Vasijas</v>
      </c>
      <c r="G24" s="103" t="s">
        <v>361</v>
      </c>
      <c r="H24" s="67">
        <f t="shared" ref="H24:H25" si="0">COUNTIF($E$23:$E$64,G24)</f>
        <v>9</v>
      </c>
      <c r="I24" s="180" t="s">
        <v>196</v>
      </c>
      <c r="K24" s="73">
        <v>0.66666666666666663</v>
      </c>
      <c r="L24" s="349"/>
      <c r="M24" s="356"/>
      <c r="N24" s="349"/>
      <c r="O24" s="349"/>
      <c r="P24" s="349"/>
    </row>
    <row r="25" spans="2:16" x14ac:dyDescent="0.2">
      <c r="B25" s="67">
        <v>3</v>
      </c>
      <c r="C25" s="67">
        <v>253</v>
      </c>
      <c r="D25" s="120">
        <v>0.49652777777777773</v>
      </c>
      <c r="E25" s="67" t="str">
        <f>L14</f>
        <v>Vasijas</v>
      </c>
      <c r="G25" s="103" t="s">
        <v>362</v>
      </c>
      <c r="H25" s="67">
        <f t="shared" si="0"/>
        <v>10</v>
      </c>
      <c r="I25" s="180" t="s">
        <v>196</v>
      </c>
    </row>
    <row r="26" spans="2:16" ht="15" customHeight="1" x14ac:dyDescent="0.2">
      <c r="B26" s="67">
        <v>4</v>
      </c>
      <c r="C26" s="67">
        <v>315</v>
      </c>
      <c r="D26" s="120">
        <v>0.4236111111111111</v>
      </c>
      <c r="E26" s="67" t="str">
        <f>L12</f>
        <v>Platos</v>
      </c>
      <c r="G26" s="103" t="s">
        <v>195</v>
      </c>
      <c r="H26" s="67">
        <f>H23+H24+H25</f>
        <v>30</v>
      </c>
      <c r="I26" s="180"/>
    </row>
    <row r="27" spans="2:16" ht="15" customHeight="1" x14ac:dyDescent="0.2">
      <c r="B27" s="67">
        <v>5</v>
      </c>
      <c r="C27" s="67">
        <v>731</v>
      </c>
      <c r="D27" s="120">
        <v>0.30069444444444443</v>
      </c>
      <c r="E27" s="67" t="str">
        <f>L6</f>
        <v>Vasijas</v>
      </c>
      <c r="G27" s="103" t="s">
        <v>374</v>
      </c>
      <c r="H27" s="352">
        <f>((5*8*60)*I23*1.2)/100</f>
        <v>10.559999999999997</v>
      </c>
      <c r="I27" s="353"/>
    </row>
    <row r="28" spans="2:16" ht="15" customHeight="1" thickBot="1" x14ac:dyDescent="0.25">
      <c r="B28" s="67">
        <v>6</v>
      </c>
      <c r="C28" s="67">
        <v>256</v>
      </c>
      <c r="D28" s="120">
        <v>0.34097222222222223</v>
      </c>
      <c r="E28" s="67" t="str">
        <f>L8</f>
        <v>Jarrones</v>
      </c>
      <c r="G28" s="106" t="s">
        <v>375</v>
      </c>
      <c r="H28" s="357">
        <f>H27/(1-0.15)</f>
        <v>12.423529411764703</v>
      </c>
      <c r="I28" s="358"/>
    </row>
    <row r="29" spans="2:16" ht="15" customHeight="1" x14ac:dyDescent="0.2">
      <c r="B29" s="22"/>
      <c r="C29" s="22"/>
      <c r="D29" s="22"/>
      <c r="I29" s="119"/>
    </row>
    <row r="30" spans="2:16" x14ac:dyDescent="0.2">
      <c r="B30" s="280" t="s">
        <v>165</v>
      </c>
      <c r="C30" s="280"/>
      <c r="D30" s="280"/>
      <c r="E30" s="280"/>
      <c r="I30" s="119"/>
    </row>
    <row r="31" spans="2:16" ht="17" x14ac:dyDescent="0.2">
      <c r="B31" s="23" t="s">
        <v>184</v>
      </c>
      <c r="C31" s="67" t="s">
        <v>185</v>
      </c>
      <c r="D31" s="23" t="s">
        <v>371</v>
      </c>
      <c r="E31" s="67" t="s">
        <v>184</v>
      </c>
      <c r="I31" s="119"/>
    </row>
    <row r="32" spans="2:16" x14ac:dyDescent="0.2">
      <c r="B32" s="67">
        <v>1</v>
      </c>
      <c r="C32" s="67">
        <v>229</v>
      </c>
      <c r="D32" s="120">
        <v>6.1805555555555558E-2</v>
      </c>
      <c r="E32" s="67" t="str">
        <f>M18</f>
        <v>Vasijas</v>
      </c>
      <c r="I32" s="119"/>
    </row>
    <row r="33" spans="2:5" x14ac:dyDescent="0.2">
      <c r="B33" s="67">
        <v>2</v>
      </c>
      <c r="C33" s="67">
        <v>631</v>
      </c>
      <c r="D33" s="120">
        <v>0.14652777777777778</v>
      </c>
      <c r="E33" s="67" t="str">
        <f>M22</f>
        <v>Platos</v>
      </c>
    </row>
    <row r="34" spans="2:5" x14ac:dyDescent="0.2">
      <c r="B34" s="67">
        <v>3</v>
      </c>
      <c r="C34" s="67">
        <v>100</v>
      </c>
      <c r="D34" s="120">
        <v>0.49652777777777773</v>
      </c>
      <c r="E34" s="67" t="str">
        <f>M14</f>
        <v>Platos</v>
      </c>
    </row>
    <row r="35" spans="2:5" x14ac:dyDescent="0.2">
      <c r="B35" s="67">
        <v>4</v>
      </c>
      <c r="C35" s="67">
        <v>116</v>
      </c>
      <c r="D35" s="120">
        <v>0.4236111111111111</v>
      </c>
      <c r="E35" s="67" t="str">
        <f>M12</f>
        <v>Vasijas</v>
      </c>
    </row>
    <row r="36" spans="2:5" x14ac:dyDescent="0.2">
      <c r="B36" s="67">
        <v>5</v>
      </c>
      <c r="C36" s="67">
        <v>145</v>
      </c>
      <c r="D36" s="120">
        <v>0.30069444444444443</v>
      </c>
      <c r="E36" s="67" t="str">
        <f>M6</f>
        <v>Jarrones</v>
      </c>
    </row>
    <row r="37" spans="2:5" x14ac:dyDescent="0.2">
      <c r="B37" s="67">
        <v>6</v>
      </c>
      <c r="C37" s="67">
        <v>850</v>
      </c>
      <c r="D37" s="120">
        <v>0.34097222222222223</v>
      </c>
      <c r="E37" s="67" t="str">
        <f>M8</f>
        <v>Vasijas</v>
      </c>
    </row>
    <row r="38" spans="2:5" x14ac:dyDescent="0.2">
      <c r="B38" s="22"/>
      <c r="C38" s="22"/>
      <c r="D38" s="22"/>
    </row>
    <row r="39" spans="2:5" x14ac:dyDescent="0.2">
      <c r="B39" s="280" t="s">
        <v>166</v>
      </c>
      <c r="C39" s="280"/>
      <c r="D39" s="280"/>
      <c r="E39" s="280"/>
    </row>
    <row r="40" spans="2:5" ht="17" x14ac:dyDescent="0.2">
      <c r="B40" s="23" t="s">
        <v>184</v>
      </c>
      <c r="C40" s="67" t="s">
        <v>185</v>
      </c>
      <c r="D40" s="23" t="s">
        <v>371</v>
      </c>
      <c r="E40" s="67" t="s">
        <v>184</v>
      </c>
    </row>
    <row r="41" spans="2:5" x14ac:dyDescent="0.2">
      <c r="B41" s="67">
        <v>1</v>
      </c>
      <c r="C41" s="67">
        <v>124</v>
      </c>
      <c r="D41" s="120">
        <v>6.1805555555555558E-2</v>
      </c>
      <c r="E41" s="67" t="str">
        <f>N18</f>
        <v>Platos</v>
      </c>
    </row>
    <row r="42" spans="2:5" x14ac:dyDescent="0.2">
      <c r="B42" s="67">
        <v>2</v>
      </c>
      <c r="C42" s="67">
        <v>211</v>
      </c>
      <c r="D42" s="120">
        <v>0.14652777777777778</v>
      </c>
      <c r="E42" s="67" t="str">
        <f>N22</f>
        <v>Vasijas</v>
      </c>
    </row>
    <row r="43" spans="2:5" x14ac:dyDescent="0.2">
      <c r="B43" s="67">
        <v>3</v>
      </c>
      <c r="C43" s="67">
        <v>751</v>
      </c>
      <c r="D43" s="120">
        <v>0.49652777777777773</v>
      </c>
      <c r="E43" s="67" t="str">
        <f>N14</f>
        <v>Vasijas</v>
      </c>
    </row>
    <row r="44" spans="2:5" x14ac:dyDescent="0.2">
      <c r="B44" s="67">
        <v>4</v>
      </c>
      <c r="C44" s="67">
        <v>423</v>
      </c>
      <c r="D44" s="120">
        <v>0.4236111111111111</v>
      </c>
      <c r="E44" s="67" t="str">
        <f>N12</f>
        <v>Platos</v>
      </c>
    </row>
    <row r="45" spans="2:5" x14ac:dyDescent="0.2">
      <c r="B45" s="67">
        <v>5</v>
      </c>
      <c r="C45" s="67">
        <v>290</v>
      </c>
      <c r="D45" s="120">
        <v>0.30069444444444443</v>
      </c>
      <c r="E45" s="67" t="str">
        <f>N6</f>
        <v>Jarrones</v>
      </c>
    </row>
    <row r="46" spans="2:5" x14ac:dyDescent="0.2">
      <c r="B46" s="67">
        <v>6</v>
      </c>
      <c r="C46" s="67">
        <v>750</v>
      </c>
      <c r="D46" s="120">
        <v>0.34097222222222223</v>
      </c>
      <c r="E46" s="67" t="str">
        <f>N8</f>
        <v>Jarrones</v>
      </c>
    </row>
    <row r="47" spans="2:5" x14ac:dyDescent="0.2">
      <c r="B47" s="22"/>
      <c r="C47" s="22"/>
      <c r="D47" s="22"/>
    </row>
    <row r="48" spans="2:5" x14ac:dyDescent="0.2">
      <c r="B48" s="280" t="s">
        <v>167</v>
      </c>
      <c r="C48" s="280"/>
      <c r="D48" s="280"/>
      <c r="E48" s="280"/>
    </row>
    <row r="49" spans="2:5" ht="17" x14ac:dyDescent="0.2">
      <c r="B49" s="23" t="s">
        <v>184</v>
      </c>
      <c r="C49" s="67" t="s">
        <v>185</v>
      </c>
      <c r="D49" s="23" t="s">
        <v>371</v>
      </c>
      <c r="E49" s="67" t="s">
        <v>184</v>
      </c>
    </row>
    <row r="50" spans="2:5" x14ac:dyDescent="0.2">
      <c r="B50" s="67">
        <v>1</v>
      </c>
      <c r="C50" s="67">
        <v>219</v>
      </c>
      <c r="D50" s="120">
        <v>6.1805555555555558E-2</v>
      </c>
      <c r="E50" s="67" t="str">
        <f>O18</f>
        <v>Jarrones</v>
      </c>
    </row>
    <row r="51" spans="2:5" x14ac:dyDescent="0.2">
      <c r="B51" s="67">
        <v>2</v>
      </c>
      <c r="C51" s="67">
        <v>846</v>
      </c>
      <c r="D51" s="120">
        <v>0.14652777777777778</v>
      </c>
      <c r="E51" s="67" t="str">
        <f>O22</f>
        <v>Jarrones</v>
      </c>
    </row>
    <row r="52" spans="2:5" x14ac:dyDescent="0.2">
      <c r="B52" s="67">
        <v>3</v>
      </c>
      <c r="C52" s="67">
        <v>739</v>
      </c>
      <c r="D52" s="120">
        <v>0.49652777777777773</v>
      </c>
      <c r="E52" s="67" t="str">
        <f>O14</f>
        <v>Jarrones</v>
      </c>
    </row>
    <row r="53" spans="2:5" x14ac:dyDescent="0.2">
      <c r="B53" s="67">
        <v>4</v>
      </c>
      <c r="C53" s="67">
        <v>142</v>
      </c>
      <c r="D53" s="120">
        <v>0.4236111111111111</v>
      </c>
      <c r="E53" s="67" t="str">
        <f>O12</f>
        <v>Vasijas</v>
      </c>
    </row>
    <row r="54" spans="2:5" x14ac:dyDescent="0.2">
      <c r="B54" s="67">
        <v>5</v>
      </c>
      <c r="C54" s="67">
        <v>538</v>
      </c>
      <c r="D54" s="120">
        <v>0.30069444444444443</v>
      </c>
      <c r="E54" s="67" t="str">
        <f>O6</f>
        <v>Platos</v>
      </c>
    </row>
    <row r="55" spans="2:5" x14ac:dyDescent="0.2">
      <c r="B55" s="67">
        <v>6</v>
      </c>
      <c r="C55" s="67">
        <v>837</v>
      </c>
      <c r="D55" s="120">
        <v>0.34097222222222223</v>
      </c>
      <c r="E55" s="67" t="str">
        <f>O8</f>
        <v>Platos</v>
      </c>
    </row>
    <row r="56" spans="2:5" x14ac:dyDescent="0.2">
      <c r="B56" s="22"/>
      <c r="C56" s="22"/>
      <c r="D56" s="22"/>
    </row>
    <row r="57" spans="2:5" x14ac:dyDescent="0.2">
      <c r="B57" s="280" t="s">
        <v>168</v>
      </c>
      <c r="C57" s="280"/>
      <c r="D57" s="280"/>
      <c r="E57" s="280"/>
    </row>
    <row r="58" spans="2:5" ht="17" x14ac:dyDescent="0.2">
      <c r="B58" s="23" t="s">
        <v>184</v>
      </c>
      <c r="C58" s="67" t="s">
        <v>185</v>
      </c>
      <c r="D58" s="23" t="s">
        <v>371</v>
      </c>
      <c r="E58" s="67" t="s">
        <v>184</v>
      </c>
    </row>
    <row r="59" spans="2:5" x14ac:dyDescent="0.2">
      <c r="B59" s="67">
        <v>1</v>
      </c>
      <c r="C59" s="67">
        <v>638</v>
      </c>
      <c r="D59" s="120">
        <v>6.1805555555555558E-2</v>
      </c>
      <c r="E59" s="67" t="str">
        <f>P18</f>
        <v>Platos</v>
      </c>
    </row>
    <row r="60" spans="2:5" x14ac:dyDescent="0.2">
      <c r="B60" s="67">
        <v>2</v>
      </c>
      <c r="C60" s="67">
        <v>749</v>
      </c>
      <c r="D60" s="120">
        <v>0.14652777777777778</v>
      </c>
      <c r="E60" s="67" t="str">
        <f>P22</f>
        <v>Jarrones</v>
      </c>
    </row>
    <row r="61" spans="2:5" x14ac:dyDescent="0.2">
      <c r="B61" s="67">
        <v>3</v>
      </c>
      <c r="C61" s="67">
        <v>324</v>
      </c>
      <c r="D61" s="120">
        <v>0.49652777777777773</v>
      </c>
      <c r="E61" s="67" t="str">
        <f>P14</f>
        <v>Vasijas</v>
      </c>
    </row>
    <row r="62" spans="2:5" x14ac:dyDescent="0.2">
      <c r="B62" s="67">
        <v>4</v>
      </c>
      <c r="C62" s="67">
        <v>256</v>
      </c>
      <c r="D62" s="120">
        <v>0.4236111111111111</v>
      </c>
      <c r="E62" s="67" t="str">
        <f>P12</f>
        <v>Platos</v>
      </c>
    </row>
    <row r="63" spans="2:5" x14ac:dyDescent="0.2">
      <c r="B63" s="67">
        <v>5</v>
      </c>
      <c r="C63" s="67">
        <v>651</v>
      </c>
      <c r="D63" s="120">
        <v>0.30069444444444443</v>
      </c>
      <c r="E63" s="67" t="str">
        <f>P6</f>
        <v>Vasijas</v>
      </c>
    </row>
    <row r="64" spans="2:5" x14ac:dyDescent="0.2">
      <c r="B64" s="67">
        <v>6</v>
      </c>
      <c r="C64" s="67">
        <v>425</v>
      </c>
      <c r="D64" s="120">
        <v>0.34097222222222223</v>
      </c>
      <c r="E64" s="67" t="str">
        <f>P8</f>
        <v>Jarrones</v>
      </c>
    </row>
    <row r="65" spans="2:4" x14ac:dyDescent="0.2">
      <c r="B65" s="22"/>
      <c r="C65" s="22"/>
      <c r="D65" s="22"/>
    </row>
  </sheetData>
  <mergeCells count="52">
    <mergeCell ref="B57:E57"/>
    <mergeCell ref="P22:P24"/>
    <mergeCell ref="H28:I28"/>
    <mergeCell ref="B30:E30"/>
    <mergeCell ref="B39:E39"/>
    <mergeCell ref="B48:E48"/>
    <mergeCell ref="H27:I27"/>
    <mergeCell ref="L20:L21"/>
    <mergeCell ref="M20:M21"/>
    <mergeCell ref="N20:N21"/>
    <mergeCell ref="O20:O21"/>
    <mergeCell ref="L22:L24"/>
    <mergeCell ref="M22:M24"/>
    <mergeCell ref="N22:N24"/>
    <mergeCell ref="O22:O24"/>
    <mergeCell ref="P20:P21"/>
    <mergeCell ref="B21:E21"/>
    <mergeCell ref="P14:P16"/>
    <mergeCell ref="L17:P17"/>
    <mergeCell ref="L18:L19"/>
    <mergeCell ref="M18:M19"/>
    <mergeCell ref="N18:N19"/>
    <mergeCell ref="O18:O19"/>
    <mergeCell ref="P18:P19"/>
    <mergeCell ref="B14:E14"/>
    <mergeCell ref="L14:L16"/>
    <mergeCell ref="M14:M16"/>
    <mergeCell ref="N14:N16"/>
    <mergeCell ref="O14:O16"/>
    <mergeCell ref="L12:L13"/>
    <mergeCell ref="M12:M13"/>
    <mergeCell ref="N12:N13"/>
    <mergeCell ref="O12:O13"/>
    <mergeCell ref="P12:P13"/>
    <mergeCell ref="L8:L9"/>
    <mergeCell ref="M8:M9"/>
    <mergeCell ref="N8:N9"/>
    <mergeCell ref="O8:O9"/>
    <mergeCell ref="P8:P9"/>
    <mergeCell ref="L10:L11"/>
    <mergeCell ref="M10:M11"/>
    <mergeCell ref="N10:N11"/>
    <mergeCell ref="O10:O11"/>
    <mergeCell ref="P10:P11"/>
    <mergeCell ref="B3:C3"/>
    <mergeCell ref="K3:P4"/>
    <mergeCell ref="L6:L7"/>
    <mergeCell ref="M6:M7"/>
    <mergeCell ref="N6:N7"/>
    <mergeCell ref="O6:O7"/>
    <mergeCell ref="P6:P7"/>
    <mergeCell ref="B7:C7"/>
  </mergeCells>
  <pageMargins left="0.75" right="0.75" top="1" bottom="1" header="0.5" footer="0.5"/>
  <pageSetup orientation="portrait" horizontalDpi="4294967292" verticalDpi="429496729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M27"/>
  <sheetViews>
    <sheetView workbookViewId="0">
      <selection activeCell="J19" sqref="J19"/>
    </sheetView>
  </sheetViews>
  <sheetFormatPr baseColWidth="10" defaultRowHeight="16" x14ac:dyDescent="0.2"/>
  <cols>
    <col min="6" max="6" width="27.83203125" customWidth="1"/>
    <col min="7" max="7" width="15.83203125" customWidth="1"/>
    <col min="9" max="13" width="10.83203125" style="22"/>
  </cols>
  <sheetData>
    <row r="2" spans="2:13" ht="34" x14ac:dyDescent="0.2">
      <c r="B2" s="22" t="s">
        <v>230</v>
      </c>
      <c r="C2" s="22">
        <v>420</v>
      </c>
      <c r="D2" s="65" t="s">
        <v>231</v>
      </c>
      <c r="E2" s="65" t="s">
        <v>232</v>
      </c>
      <c r="F2" s="65" t="s">
        <v>233</v>
      </c>
      <c r="G2" s="65" t="s">
        <v>234</v>
      </c>
      <c r="I2" s="145" t="s">
        <v>235</v>
      </c>
      <c r="J2" s="145" t="s">
        <v>236</v>
      </c>
      <c r="K2" s="145" t="s">
        <v>237</v>
      </c>
      <c r="L2" s="145" t="s">
        <v>238</v>
      </c>
      <c r="M2" s="145" t="s">
        <v>239</v>
      </c>
    </row>
    <row r="3" spans="2:13" ht="17" x14ac:dyDescent="0.2">
      <c r="D3" s="66" t="s">
        <v>44</v>
      </c>
      <c r="E3" s="66">
        <v>2</v>
      </c>
      <c r="F3" s="146" t="s">
        <v>240</v>
      </c>
      <c r="G3" s="66" t="s">
        <v>241</v>
      </c>
      <c r="I3" s="359">
        <v>1</v>
      </c>
      <c r="J3" s="22" t="s">
        <v>242</v>
      </c>
      <c r="K3" s="22" t="s">
        <v>243</v>
      </c>
      <c r="L3" s="22" t="s">
        <v>44</v>
      </c>
      <c r="M3" s="22">
        <f>D25-E3</f>
        <v>2.2000000000000002</v>
      </c>
    </row>
    <row r="4" spans="2:13" ht="17" x14ac:dyDescent="0.2">
      <c r="D4" s="66" t="s">
        <v>45</v>
      </c>
      <c r="E4" s="66">
        <v>1</v>
      </c>
      <c r="F4" s="146" t="s">
        <v>244</v>
      </c>
      <c r="G4" s="66" t="s">
        <v>44</v>
      </c>
      <c r="I4" s="360"/>
      <c r="J4" s="22" t="s">
        <v>45</v>
      </c>
      <c r="K4" s="22">
        <v>1</v>
      </c>
      <c r="L4" s="22" t="s">
        <v>45</v>
      </c>
      <c r="M4" s="22">
        <f>M3-E4</f>
        <v>1.2000000000000002</v>
      </c>
    </row>
    <row r="5" spans="2:13" ht="17" x14ac:dyDescent="0.2">
      <c r="D5" s="66" t="s">
        <v>47</v>
      </c>
      <c r="E5" s="66">
        <v>3.25</v>
      </c>
      <c r="F5" s="146" t="s">
        <v>245</v>
      </c>
      <c r="G5" s="66" t="s">
        <v>241</v>
      </c>
      <c r="I5" s="361"/>
      <c r="J5" s="147" t="s">
        <v>246</v>
      </c>
      <c r="K5" s="147">
        <v>1</v>
      </c>
      <c r="L5" s="147" t="s">
        <v>246</v>
      </c>
      <c r="M5" s="147">
        <f>M4-E9</f>
        <v>0.20000000000000018</v>
      </c>
    </row>
    <row r="6" spans="2:13" ht="17" x14ac:dyDescent="0.2">
      <c r="D6" s="66" t="s">
        <v>247</v>
      </c>
      <c r="E6" s="66">
        <v>1.2</v>
      </c>
      <c r="F6" s="146" t="s">
        <v>248</v>
      </c>
      <c r="G6" s="66" t="s">
        <v>249</v>
      </c>
      <c r="I6" s="22">
        <v>2</v>
      </c>
      <c r="J6" s="22" t="s">
        <v>47</v>
      </c>
      <c r="K6" s="22">
        <v>3.25</v>
      </c>
      <c r="L6" s="22" t="s">
        <v>47</v>
      </c>
      <c r="M6" s="22">
        <f>D25-E5</f>
        <v>0.95000000000000018</v>
      </c>
    </row>
    <row r="7" spans="2:13" ht="17" x14ac:dyDescent="0.2">
      <c r="D7" s="66" t="s">
        <v>250</v>
      </c>
      <c r="E7" s="66">
        <v>0.5</v>
      </c>
      <c r="F7" s="146" t="s">
        <v>251</v>
      </c>
      <c r="G7" s="66" t="s">
        <v>247</v>
      </c>
      <c r="I7" s="359">
        <v>3</v>
      </c>
      <c r="J7" s="148" t="s">
        <v>247</v>
      </c>
      <c r="K7" s="148">
        <v>1.2</v>
      </c>
      <c r="L7" s="148" t="s">
        <v>247</v>
      </c>
      <c r="M7" s="148">
        <f>D25-E6</f>
        <v>3</v>
      </c>
    </row>
    <row r="8" spans="2:13" ht="17" x14ac:dyDescent="0.2">
      <c r="D8" s="66" t="s">
        <v>252</v>
      </c>
      <c r="E8" s="66">
        <v>1</v>
      </c>
      <c r="F8" s="146" t="s">
        <v>253</v>
      </c>
      <c r="G8" s="66" t="s">
        <v>250</v>
      </c>
      <c r="I8" s="360"/>
      <c r="J8" s="22" t="s">
        <v>250</v>
      </c>
      <c r="K8" s="22">
        <v>0.5</v>
      </c>
      <c r="L8" s="22" t="s">
        <v>250</v>
      </c>
      <c r="M8" s="22">
        <f>M7-E7</f>
        <v>2.5</v>
      </c>
    </row>
    <row r="9" spans="2:13" ht="17" x14ac:dyDescent="0.2">
      <c r="D9" s="66" t="s">
        <v>246</v>
      </c>
      <c r="E9" s="66">
        <v>1</v>
      </c>
      <c r="F9" s="146" t="s">
        <v>254</v>
      </c>
      <c r="G9" s="66" t="s">
        <v>45</v>
      </c>
      <c r="I9" s="360"/>
      <c r="J9" s="22" t="s">
        <v>252</v>
      </c>
      <c r="K9" s="22">
        <v>1</v>
      </c>
      <c r="L9" s="22" t="s">
        <v>252</v>
      </c>
      <c r="M9" s="22">
        <f>M8-E8</f>
        <v>1.5</v>
      </c>
    </row>
    <row r="10" spans="2:13" ht="17" x14ac:dyDescent="0.2">
      <c r="D10" s="66" t="s">
        <v>255</v>
      </c>
      <c r="E10" s="66">
        <v>1.4</v>
      </c>
      <c r="F10" s="146" t="s">
        <v>256</v>
      </c>
      <c r="G10" s="66" t="s">
        <v>257</v>
      </c>
      <c r="I10" s="361"/>
      <c r="J10" s="147" t="s">
        <v>255</v>
      </c>
      <c r="K10" s="147">
        <v>1.4</v>
      </c>
      <c r="L10" s="147" t="s">
        <v>255</v>
      </c>
      <c r="M10" s="147">
        <f>M9-E10</f>
        <v>0.10000000000000009</v>
      </c>
    </row>
    <row r="11" spans="2:13" x14ac:dyDescent="0.2">
      <c r="M11" s="22">
        <f>M5+M6+M10</f>
        <v>1.2500000000000004</v>
      </c>
    </row>
    <row r="12" spans="2:13" x14ac:dyDescent="0.2">
      <c r="B12" t="s">
        <v>20</v>
      </c>
    </row>
    <row r="25" spans="2:6" x14ac:dyDescent="0.2">
      <c r="B25" t="s">
        <v>258</v>
      </c>
      <c r="D25">
        <f>420/100</f>
        <v>4.2</v>
      </c>
    </row>
    <row r="26" spans="2:6" x14ac:dyDescent="0.2">
      <c r="B26" t="s">
        <v>259</v>
      </c>
      <c r="D26">
        <f>SUM(E3:E10)</f>
        <v>11.35</v>
      </c>
      <c r="E26" s="142">
        <f>D26/D25</f>
        <v>2.7023809523809521</v>
      </c>
      <c r="F26" s="149">
        <f>ROUNDUP(E26,0)</f>
        <v>3</v>
      </c>
    </row>
    <row r="27" spans="2:6" x14ac:dyDescent="0.2">
      <c r="B27" t="s">
        <v>260</v>
      </c>
      <c r="D27">
        <f>(F26*D25)-D26</f>
        <v>1.2500000000000018</v>
      </c>
    </row>
  </sheetData>
  <mergeCells count="2">
    <mergeCell ref="I3:I5"/>
    <mergeCell ref="I7:I10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G35"/>
  <sheetViews>
    <sheetView workbookViewId="0">
      <selection activeCell="D28" sqref="D28"/>
    </sheetView>
  </sheetViews>
  <sheetFormatPr baseColWidth="10" defaultRowHeight="16" x14ac:dyDescent="0.2"/>
  <cols>
    <col min="3" max="3" width="18" customWidth="1"/>
  </cols>
  <sheetData>
    <row r="2" spans="2:2" x14ac:dyDescent="0.2">
      <c r="B2" t="s">
        <v>20</v>
      </c>
    </row>
    <row r="17" spans="2:7" x14ac:dyDescent="0.2">
      <c r="B17" t="s">
        <v>30</v>
      </c>
      <c r="C17" t="s">
        <v>261</v>
      </c>
      <c r="G17" s="22">
        <f>60/15</f>
        <v>4</v>
      </c>
    </row>
    <row r="19" spans="2:7" x14ac:dyDescent="0.2">
      <c r="B19" t="s">
        <v>31</v>
      </c>
      <c r="C19" s="144" t="s">
        <v>262</v>
      </c>
      <c r="D19" s="144" t="s">
        <v>231</v>
      </c>
      <c r="E19" s="144" t="s">
        <v>263</v>
      </c>
      <c r="F19" s="144" t="s">
        <v>264</v>
      </c>
    </row>
    <row r="20" spans="2:7" x14ac:dyDescent="0.2">
      <c r="C20" s="359">
        <v>1</v>
      </c>
      <c r="D20" s="148" t="s">
        <v>44</v>
      </c>
      <c r="E20" s="148">
        <v>1</v>
      </c>
      <c r="F20" s="148"/>
    </row>
    <row r="21" spans="2:7" x14ac:dyDescent="0.2">
      <c r="C21" s="361"/>
      <c r="D21" s="147" t="s">
        <v>47</v>
      </c>
      <c r="E21" s="147">
        <v>3</v>
      </c>
      <c r="F21" s="147">
        <v>0</v>
      </c>
    </row>
    <row r="22" spans="2:7" x14ac:dyDescent="0.2">
      <c r="C22" s="144">
        <v>2</v>
      </c>
      <c r="D22" s="144" t="s">
        <v>250</v>
      </c>
      <c r="E22" s="144">
        <v>3</v>
      </c>
      <c r="F22" s="144">
        <v>1</v>
      </c>
    </row>
    <row r="23" spans="2:7" x14ac:dyDescent="0.2">
      <c r="C23" s="359">
        <v>3</v>
      </c>
      <c r="D23" s="148" t="s">
        <v>45</v>
      </c>
      <c r="E23" s="148">
        <v>2</v>
      </c>
      <c r="F23" s="148"/>
    </row>
    <row r="24" spans="2:7" x14ac:dyDescent="0.2">
      <c r="C24" s="361"/>
      <c r="D24" s="147" t="s">
        <v>252</v>
      </c>
      <c r="E24" s="147">
        <v>2</v>
      </c>
      <c r="F24" s="147">
        <v>0</v>
      </c>
    </row>
    <row r="25" spans="2:7" x14ac:dyDescent="0.2">
      <c r="C25" s="22">
        <v>4</v>
      </c>
      <c r="D25" s="22" t="s">
        <v>247</v>
      </c>
      <c r="E25" s="22">
        <v>1</v>
      </c>
      <c r="F25" s="22"/>
    </row>
    <row r="26" spans="2:7" x14ac:dyDescent="0.2">
      <c r="C26" s="147"/>
      <c r="D26" s="147" t="s">
        <v>246</v>
      </c>
      <c r="E26" s="147">
        <v>3</v>
      </c>
      <c r="F26" s="147">
        <v>0</v>
      </c>
    </row>
    <row r="27" spans="2:7" x14ac:dyDescent="0.2">
      <c r="C27" s="22"/>
      <c r="D27" s="22"/>
      <c r="E27" s="22"/>
      <c r="F27" s="22"/>
    </row>
    <row r="28" spans="2:7" x14ac:dyDescent="0.2">
      <c r="B28" t="s">
        <v>46</v>
      </c>
      <c r="C28" s="22" t="s">
        <v>265</v>
      </c>
      <c r="D28" s="22">
        <f>15/(4*4)</f>
        <v>0.9375</v>
      </c>
      <c r="E28" s="22"/>
      <c r="F28" s="22"/>
    </row>
    <row r="29" spans="2:7" x14ac:dyDescent="0.2">
      <c r="C29" s="22"/>
      <c r="D29" s="22"/>
      <c r="E29" s="22"/>
      <c r="F29" s="22"/>
    </row>
    <row r="30" spans="2:7" x14ac:dyDescent="0.2">
      <c r="C30" s="22"/>
      <c r="D30" s="22"/>
      <c r="E30" s="22"/>
      <c r="F30" s="22"/>
    </row>
    <row r="31" spans="2:7" x14ac:dyDescent="0.2">
      <c r="C31" s="22"/>
      <c r="D31" s="22"/>
      <c r="E31" s="22"/>
      <c r="F31" s="22"/>
    </row>
    <row r="32" spans="2:7" x14ac:dyDescent="0.2">
      <c r="C32" s="22"/>
      <c r="D32" s="22"/>
      <c r="E32" s="22"/>
      <c r="F32" s="22"/>
    </row>
    <row r="33" spans="3:6" x14ac:dyDescent="0.2">
      <c r="C33" s="22"/>
      <c r="D33" s="22"/>
      <c r="E33" s="22"/>
      <c r="F33" s="22"/>
    </row>
    <row r="34" spans="3:6" x14ac:dyDescent="0.2">
      <c r="C34" s="22"/>
      <c r="D34" s="22"/>
      <c r="E34" s="22"/>
      <c r="F34" s="22"/>
    </row>
    <row r="35" spans="3:6" x14ac:dyDescent="0.2">
      <c r="C35" s="22"/>
      <c r="D35" s="22"/>
      <c r="E35" s="22"/>
      <c r="F35" s="22"/>
    </row>
  </sheetData>
  <mergeCells count="2">
    <mergeCell ref="C20:C21"/>
    <mergeCell ref="C23:C24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L18"/>
  <sheetViews>
    <sheetView workbookViewId="0">
      <selection activeCell="B17" sqref="B17"/>
    </sheetView>
  </sheetViews>
  <sheetFormatPr baseColWidth="10" defaultRowHeight="16" x14ac:dyDescent="0.2"/>
  <cols>
    <col min="2" max="2" width="13.5" bestFit="1" customWidth="1"/>
    <col min="3" max="3" width="12.5" bestFit="1" customWidth="1"/>
    <col min="7" max="7" width="5" customWidth="1"/>
    <col min="8" max="9" width="12.5" bestFit="1" customWidth="1"/>
  </cols>
  <sheetData>
    <row r="2" spans="2:12" x14ac:dyDescent="0.2">
      <c r="B2" s="284" t="s">
        <v>266</v>
      </c>
      <c r="C2" s="284"/>
      <c r="D2" s="284"/>
      <c r="E2" s="284"/>
      <c r="F2" s="284"/>
      <c r="H2" s="284" t="s">
        <v>267</v>
      </c>
      <c r="I2" s="284"/>
      <c r="J2" s="284"/>
      <c r="K2" s="284"/>
      <c r="L2" s="284"/>
    </row>
    <row r="3" spans="2:12" x14ac:dyDescent="0.2">
      <c r="B3" s="22" t="s">
        <v>268</v>
      </c>
      <c r="C3" s="22" t="s">
        <v>44</v>
      </c>
      <c r="D3" s="22" t="s">
        <v>269</v>
      </c>
      <c r="E3" s="22" t="s">
        <v>270</v>
      </c>
      <c r="F3" s="22" t="s">
        <v>195</v>
      </c>
      <c r="H3" s="22" t="s">
        <v>268</v>
      </c>
      <c r="I3" s="22" t="s">
        <v>44</v>
      </c>
      <c r="J3" s="22" t="s">
        <v>269</v>
      </c>
      <c r="K3" s="22" t="s">
        <v>270</v>
      </c>
      <c r="L3" s="22" t="s">
        <v>195</v>
      </c>
    </row>
    <row r="4" spans="2:12" x14ac:dyDescent="0.2">
      <c r="B4" t="s">
        <v>271</v>
      </c>
      <c r="C4" t="s">
        <v>272</v>
      </c>
      <c r="D4">
        <v>8</v>
      </c>
      <c r="E4">
        <v>4</v>
      </c>
      <c r="F4">
        <f>D4*E4</f>
        <v>32</v>
      </c>
      <c r="H4" t="s">
        <v>271</v>
      </c>
      <c r="I4" t="s">
        <v>272</v>
      </c>
      <c r="J4">
        <v>8</v>
      </c>
      <c r="K4">
        <v>7</v>
      </c>
      <c r="L4">
        <f>J4*K4</f>
        <v>56</v>
      </c>
    </row>
    <row r="5" spans="2:12" x14ac:dyDescent="0.2">
      <c r="B5" t="s">
        <v>271</v>
      </c>
      <c r="C5" t="s">
        <v>273</v>
      </c>
      <c r="D5">
        <v>13</v>
      </c>
      <c r="E5">
        <v>8</v>
      </c>
      <c r="F5">
        <f>D5*E5</f>
        <v>104</v>
      </c>
      <c r="H5" t="s">
        <v>271</v>
      </c>
      <c r="I5" t="s">
        <v>273</v>
      </c>
      <c r="J5">
        <v>13</v>
      </c>
      <c r="K5">
        <v>8</v>
      </c>
      <c r="L5">
        <f>J5*K5</f>
        <v>104</v>
      </c>
    </row>
    <row r="6" spans="2:12" x14ac:dyDescent="0.2">
      <c r="B6" t="s">
        <v>272</v>
      </c>
      <c r="C6" t="s">
        <v>271</v>
      </c>
      <c r="D6">
        <v>5</v>
      </c>
      <c r="E6">
        <v>4</v>
      </c>
      <c r="F6">
        <f t="shared" ref="F6:F17" si="0">D6*E6</f>
        <v>20</v>
      </c>
      <c r="H6" t="s">
        <v>272</v>
      </c>
      <c r="I6" t="s">
        <v>271</v>
      </c>
      <c r="J6">
        <v>5</v>
      </c>
      <c r="K6">
        <v>7</v>
      </c>
      <c r="L6">
        <f t="shared" ref="L6:L17" si="1">J6*K6</f>
        <v>35</v>
      </c>
    </row>
    <row r="7" spans="2:12" x14ac:dyDescent="0.2">
      <c r="B7" t="s">
        <v>272</v>
      </c>
      <c r="C7" t="s">
        <v>273</v>
      </c>
      <c r="D7">
        <v>3</v>
      </c>
      <c r="E7">
        <v>4</v>
      </c>
      <c r="F7">
        <f t="shared" si="0"/>
        <v>12</v>
      </c>
      <c r="H7" t="s">
        <v>272</v>
      </c>
      <c r="I7" t="s">
        <v>273</v>
      </c>
      <c r="J7">
        <v>3</v>
      </c>
      <c r="K7">
        <v>5</v>
      </c>
      <c r="L7">
        <f t="shared" si="1"/>
        <v>15</v>
      </c>
    </row>
    <row r="8" spans="2:12" x14ac:dyDescent="0.2">
      <c r="B8" t="s">
        <v>272</v>
      </c>
      <c r="C8" t="s">
        <v>274</v>
      </c>
      <c r="D8">
        <v>3</v>
      </c>
      <c r="E8">
        <v>8</v>
      </c>
      <c r="F8">
        <f t="shared" si="0"/>
        <v>24</v>
      </c>
      <c r="H8" t="s">
        <v>272</v>
      </c>
      <c r="I8" t="s">
        <v>274</v>
      </c>
      <c r="J8">
        <v>3</v>
      </c>
      <c r="K8">
        <v>6</v>
      </c>
      <c r="L8">
        <f t="shared" si="1"/>
        <v>18</v>
      </c>
    </row>
    <row r="9" spans="2:12" x14ac:dyDescent="0.2">
      <c r="B9" t="s">
        <v>272</v>
      </c>
      <c r="C9" t="s">
        <v>275</v>
      </c>
      <c r="D9">
        <v>8</v>
      </c>
      <c r="E9">
        <v>12</v>
      </c>
      <c r="F9">
        <f t="shared" si="0"/>
        <v>96</v>
      </c>
      <c r="H9" t="s">
        <v>272</v>
      </c>
      <c r="I9" t="s">
        <v>275</v>
      </c>
      <c r="J9">
        <v>8</v>
      </c>
      <c r="K9">
        <v>7</v>
      </c>
      <c r="L9">
        <f t="shared" si="1"/>
        <v>56</v>
      </c>
    </row>
    <row r="10" spans="2:12" x14ac:dyDescent="0.2">
      <c r="B10" t="s">
        <v>273</v>
      </c>
      <c r="C10" t="s">
        <v>271</v>
      </c>
      <c r="D10">
        <v>3</v>
      </c>
      <c r="E10">
        <v>8</v>
      </c>
      <c r="F10">
        <f t="shared" si="0"/>
        <v>24</v>
      </c>
      <c r="H10" t="s">
        <v>273</v>
      </c>
      <c r="I10" t="s">
        <v>271</v>
      </c>
      <c r="J10">
        <v>3</v>
      </c>
      <c r="K10">
        <v>8</v>
      </c>
      <c r="L10">
        <f t="shared" si="1"/>
        <v>24</v>
      </c>
    </row>
    <row r="11" spans="2:12" x14ac:dyDescent="0.2">
      <c r="B11" t="s">
        <v>273</v>
      </c>
      <c r="C11" t="s">
        <v>272</v>
      </c>
      <c r="D11">
        <v>12</v>
      </c>
      <c r="E11">
        <v>4</v>
      </c>
      <c r="F11">
        <f t="shared" si="0"/>
        <v>48</v>
      </c>
      <c r="H11" t="s">
        <v>273</v>
      </c>
      <c r="I11" t="s">
        <v>272</v>
      </c>
      <c r="J11">
        <v>12</v>
      </c>
      <c r="K11">
        <v>5</v>
      </c>
      <c r="L11">
        <f t="shared" si="1"/>
        <v>60</v>
      </c>
    </row>
    <row r="12" spans="2:12" x14ac:dyDescent="0.2">
      <c r="B12" t="s">
        <v>273</v>
      </c>
      <c r="C12" t="s">
        <v>274</v>
      </c>
      <c r="D12">
        <v>4</v>
      </c>
      <c r="E12">
        <v>4</v>
      </c>
      <c r="F12">
        <f t="shared" si="0"/>
        <v>16</v>
      </c>
      <c r="H12" t="s">
        <v>273</v>
      </c>
      <c r="I12" t="s">
        <v>274</v>
      </c>
      <c r="J12">
        <v>4</v>
      </c>
      <c r="K12">
        <v>4</v>
      </c>
      <c r="L12">
        <f t="shared" si="1"/>
        <v>16</v>
      </c>
    </row>
    <row r="13" spans="2:12" x14ac:dyDescent="0.2">
      <c r="B13" t="s">
        <v>274</v>
      </c>
      <c r="C13" t="s">
        <v>271</v>
      </c>
      <c r="D13">
        <v>3</v>
      </c>
      <c r="E13">
        <v>12</v>
      </c>
      <c r="F13">
        <f t="shared" si="0"/>
        <v>36</v>
      </c>
      <c r="H13" t="s">
        <v>274</v>
      </c>
      <c r="I13" t="s">
        <v>271</v>
      </c>
      <c r="J13">
        <v>3</v>
      </c>
      <c r="K13">
        <v>12</v>
      </c>
      <c r="L13">
        <f t="shared" si="1"/>
        <v>36</v>
      </c>
    </row>
    <row r="14" spans="2:12" x14ac:dyDescent="0.2">
      <c r="B14" t="s">
        <v>274</v>
      </c>
      <c r="C14" t="s">
        <v>275</v>
      </c>
      <c r="D14">
        <v>5</v>
      </c>
      <c r="E14">
        <v>4</v>
      </c>
      <c r="F14">
        <f t="shared" si="0"/>
        <v>20</v>
      </c>
      <c r="H14" t="s">
        <v>274</v>
      </c>
      <c r="I14" t="s">
        <v>275</v>
      </c>
      <c r="J14">
        <v>5</v>
      </c>
      <c r="K14">
        <v>6</v>
      </c>
      <c r="L14">
        <f t="shared" si="1"/>
        <v>30</v>
      </c>
    </row>
    <row r="15" spans="2:12" x14ac:dyDescent="0.2">
      <c r="B15" t="s">
        <v>275</v>
      </c>
      <c r="C15" t="s">
        <v>272</v>
      </c>
      <c r="D15">
        <v>8</v>
      </c>
      <c r="E15">
        <v>12</v>
      </c>
      <c r="F15">
        <f t="shared" si="0"/>
        <v>96</v>
      </c>
      <c r="H15" t="s">
        <v>275</v>
      </c>
      <c r="I15" t="s">
        <v>272</v>
      </c>
      <c r="J15">
        <v>8</v>
      </c>
      <c r="K15">
        <v>7</v>
      </c>
      <c r="L15">
        <f t="shared" si="1"/>
        <v>56</v>
      </c>
    </row>
    <row r="16" spans="2:12" x14ac:dyDescent="0.2">
      <c r="B16" t="s">
        <v>275</v>
      </c>
      <c r="C16" t="s">
        <v>273</v>
      </c>
      <c r="D16">
        <v>4</v>
      </c>
      <c r="E16">
        <v>8</v>
      </c>
      <c r="F16">
        <f t="shared" si="0"/>
        <v>32</v>
      </c>
      <c r="H16" t="s">
        <v>275</v>
      </c>
      <c r="I16" t="s">
        <v>273</v>
      </c>
      <c r="J16">
        <v>4</v>
      </c>
      <c r="K16">
        <v>9</v>
      </c>
      <c r="L16">
        <f t="shared" si="1"/>
        <v>36</v>
      </c>
    </row>
    <row r="17" spans="2:12" x14ac:dyDescent="0.2">
      <c r="B17" t="s">
        <v>275</v>
      </c>
      <c r="C17" t="s">
        <v>274</v>
      </c>
      <c r="D17">
        <v>10</v>
      </c>
      <c r="E17">
        <v>4</v>
      </c>
      <c r="F17">
        <f t="shared" si="0"/>
        <v>40</v>
      </c>
      <c r="H17" t="s">
        <v>275</v>
      </c>
      <c r="I17" t="s">
        <v>274</v>
      </c>
      <c r="J17">
        <v>10</v>
      </c>
      <c r="K17">
        <v>6</v>
      </c>
      <c r="L17">
        <f t="shared" si="1"/>
        <v>60</v>
      </c>
    </row>
    <row r="18" spans="2:12" x14ac:dyDescent="0.2">
      <c r="B18" s="362" t="s">
        <v>195</v>
      </c>
      <c r="C18" s="362"/>
      <c r="D18" s="362"/>
      <c r="E18" s="362"/>
      <c r="F18" s="15">
        <f>SUM(F4:F17)</f>
        <v>600</v>
      </c>
      <c r="H18" s="362" t="s">
        <v>195</v>
      </c>
      <c r="I18" s="362"/>
      <c r="J18" s="362"/>
      <c r="K18" s="362"/>
      <c r="L18" s="15">
        <f>SUM(L4:L17)</f>
        <v>602</v>
      </c>
    </row>
  </sheetData>
  <mergeCells count="4">
    <mergeCell ref="B2:F2"/>
    <mergeCell ref="H2:L2"/>
    <mergeCell ref="B18:E18"/>
    <mergeCell ref="H18:K18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I31"/>
  <sheetViews>
    <sheetView workbookViewId="0">
      <selection activeCell="P22" sqref="P22"/>
    </sheetView>
  </sheetViews>
  <sheetFormatPr baseColWidth="10" defaultRowHeight="16" x14ac:dyDescent="0.2"/>
  <cols>
    <col min="4" max="4" width="4" customWidth="1"/>
    <col min="7" max="7" width="3.6640625" customWidth="1"/>
  </cols>
  <sheetData>
    <row r="2" spans="2:9" x14ac:dyDescent="0.2">
      <c r="B2" s="335" t="s">
        <v>276</v>
      </c>
      <c r="C2" s="335" t="s">
        <v>277</v>
      </c>
      <c r="D2" s="119"/>
      <c r="E2" s="335" t="s">
        <v>278</v>
      </c>
      <c r="F2" s="335" t="s">
        <v>276</v>
      </c>
      <c r="H2" s="335" t="s">
        <v>277</v>
      </c>
      <c r="I2" s="335" t="s">
        <v>278</v>
      </c>
    </row>
    <row r="3" spans="2:9" x14ac:dyDescent="0.2">
      <c r="B3" s="335"/>
      <c r="C3" s="335"/>
      <c r="D3" s="119"/>
      <c r="E3" s="335"/>
      <c r="F3" s="335"/>
      <c r="H3" s="335"/>
      <c r="I3" s="335"/>
    </row>
    <row r="4" spans="2:9" x14ac:dyDescent="0.2">
      <c r="B4" s="335" t="s">
        <v>278</v>
      </c>
      <c r="C4" s="150"/>
      <c r="D4" s="150"/>
      <c r="E4" s="335" t="s">
        <v>277</v>
      </c>
      <c r="F4" s="150"/>
      <c r="H4" s="335" t="s">
        <v>276</v>
      </c>
      <c r="I4" s="150"/>
    </row>
    <row r="5" spans="2:9" x14ac:dyDescent="0.2">
      <c r="B5" s="335"/>
      <c r="C5" s="150"/>
      <c r="D5" s="150"/>
      <c r="E5" s="335"/>
      <c r="F5" s="150"/>
      <c r="H5" s="335"/>
      <c r="I5" s="150"/>
    </row>
    <row r="7" spans="2:9" ht="17" thickBot="1" x14ac:dyDescent="0.25"/>
    <row r="8" spans="2:9" x14ac:dyDescent="0.2">
      <c r="B8" s="278" t="s">
        <v>279</v>
      </c>
      <c r="C8" s="279"/>
      <c r="D8" s="151"/>
      <c r="E8" s="278" t="s">
        <v>280</v>
      </c>
      <c r="F8" s="279"/>
      <c r="H8" s="278" t="s">
        <v>281</v>
      </c>
      <c r="I8" s="279"/>
    </row>
    <row r="9" spans="2:9" x14ac:dyDescent="0.2">
      <c r="B9" s="2" t="s">
        <v>282</v>
      </c>
      <c r="C9" s="3">
        <f>2*2*3</f>
        <v>12</v>
      </c>
      <c r="E9" s="2" t="s">
        <v>283</v>
      </c>
      <c r="F9" s="3">
        <f>5*2*3</f>
        <v>30</v>
      </c>
      <c r="H9" s="2" t="s">
        <v>284</v>
      </c>
      <c r="I9" s="3">
        <f>3*2*3</f>
        <v>18</v>
      </c>
    </row>
    <row r="10" spans="2:9" x14ac:dyDescent="0.2">
      <c r="B10" s="2" t="s">
        <v>285</v>
      </c>
      <c r="C10" s="3">
        <f>3*4*3</f>
        <v>36</v>
      </c>
      <c r="E10" s="2" t="s">
        <v>286</v>
      </c>
      <c r="F10" s="3">
        <f>2*4*3</f>
        <v>24</v>
      </c>
      <c r="H10" s="2" t="s">
        <v>287</v>
      </c>
      <c r="I10" s="3">
        <f>2*4*3</f>
        <v>24</v>
      </c>
    </row>
    <row r="11" spans="2:9" x14ac:dyDescent="0.2">
      <c r="B11" s="2" t="s">
        <v>288</v>
      </c>
      <c r="C11" s="3">
        <f>2*1*3</f>
        <v>6</v>
      </c>
      <c r="E11" s="2" t="s">
        <v>289</v>
      </c>
      <c r="F11" s="3">
        <f>3*3*1</f>
        <v>9</v>
      </c>
      <c r="H11" s="2" t="s">
        <v>290</v>
      </c>
      <c r="I11" s="3">
        <f>2*1*3</f>
        <v>6</v>
      </c>
    </row>
    <row r="12" spans="2:9" x14ac:dyDescent="0.2">
      <c r="B12" s="2" t="s">
        <v>291</v>
      </c>
      <c r="C12" s="3">
        <f>3*2*3</f>
        <v>18</v>
      </c>
      <c r="E12" s="2" t="s">
        <v>292</v>
      </c>
      <c r="F12" s="3">
        <f>2*2*3</f>
        <v>12</v>
      </c>
      <c r="H12" s="2" t="s">
        <v>293</v>
      </c>
      <c r="I12" s="3">
        <f>5*2*3</f>
        <v>30</v>
      </c>
    </row>
    <row r="13" spans="2:9" x14ac:dyDescent="0.2">
      <c r="B13" s="2" t="s">
        <v>294</v>
      </c>
      <c r="C13" s="3">
        <f>5*3*3</f>
        <v>45</v>
      </c>
      <c r="E13" s="2" t="s">
        <v>295</v>
      </c>
      <c r="F13" s="3">
        <f>3*3*3</f>
        <v>27</v>
      </c>
      <c r="H13" s="2" t="s">
        <v>296</v>
      </c>
      <c r="I13" s="3">
        <f>2*3*3</f>
        <v>18</v>
      </c>
    </row>
    <row r="14" spans="2:9" x14ac:dyDescent="0.2">
      <c r="B14" s="2" t="s">
        <v>297</v>
      </c>
      <c r="C14" s="3">
        <f>2*2*3</f>
        <v>12</v>
      </c>
      <c r="E14" s="2" t="s">
        <v>298</v>
      </c>
      <c r="F14" s="3">
        <f>2*2*3</f>
        <v>12</v>
      </c>
      <c r="H14" s="2" t="s">
        <v>299</v>
      </c>
      <c r="I14" s="3">
        <f>3*2*3</f>
        <v>18</v>
      </c>
    </row>
    <row r="15" spans="2:9" ht="17" thickBot="1" x14ac:dyDescent="0.25">
      <c r="B15" s="112" t="s">
        <v>300</v>
      </c>
      <c r="C15" s="6">
        <f>SUM(C9:C14)</f>
        <v>129</v>
      </c>
      <c r="D15" s="1"/>
      <c r="E15" s="112" t="s">
        <v>300</v>
      </c>
      <c r="F15" s="6">
        <f>SUM(F9:F14)</f>
        <v>114</v>
      </c>
      <c r="H15" s="112" t="s">
        <v>300</v>
      </c>
      <c r="I15" s="6">
        <f>SUM(I9:I14)</f>
        <v>114</v>
      </c>
    </row>
    <row r="18" spans="2:9" x14ac:dyDescent="0.2">
      <c r="B18" s="335" t="s">
        <v>276</v>
      </c>
      <c r="C18" s="335" t="s">
        <v>278</v>
      </c>
      <c r="D18" s="119"/>
      <c r="E18" s="335" t="s">
        <v>278</v>
      </c>
      <c r="F18" s="335" t="s">
        <v>277</v>
      </c>
      <c r="H18" s="335" t="s">
        <v>277</v>
      </c>
      <c r="I18" s="335" t="s">
        <v>276</v>
      </c>
    </row>
    <row r="19" spans="2:9" x14ac:dyDescent="0.2">
      <c r="B19" s="335"/>
      <c r="C19" s="335"/>
      <c r="D19" s="119"/>
      <c r="E19" s="335"/>
      <c r="F19" s="335"/>
      <c r="H19" s="335"/>
      <c r="I19" s="335"/>
    </row>
    <row r="20" spans="2:9" x14ac:dyDescent="0.2">
      <c r="B20" s="335" t="s">
        <v>277</v>
      </c>
      <c r="C20" s="150"/>
      <c r="D20" s="150"/>
      <c r="E20" s="335" t="s">
        <v>276</v>
      </c>
      <c r="F20" s="150"/>
      <c r="H20" s="335" t="s">
        <v>278</v>
      </c>
      <c r="I20" s="150"/>
    </row>
    <row r="21" spans="2:9" x14ac:dyDescent="0.2">
      <c r="B21" s="335"/>
      <c r="C21" s="150"/>
      <c r="D21" s="150"/>
      <c r="E21" s="335"/>
      <c r="F21" s="150"/>
      <c r="H21" s="335"/>
      <c r="I21" s="150"/>
    </row>
    <row r="23" spans="2:9" ht="17" thickBot="1" x14ac:dyDescent="0.25"/>
    <row r="24" spans="2:9" x14ac:dyDescent="0.2">
      <c r="B24" s="363" t="s">
        <v>301</v>
      </c>
      <c r="C24" s="364"/>
      <c r="D24" s="151"/>
      <c r="E24" s="278" t="s">
        <v>302</v>
      </c>
      <c r="F24" s="279"/>
      <c r="H24" s="278" t="s">
        <v>303</v>
      </c>
      <c r="I24" s="279"/>
    </row>
    <row r="25" spans="2:9" x14ac:dyDescent="0.2">
      <c r="B25" s="152" t="s">
        <v>304</v>
      </c>
      <c r="C25" s="153">
        <f>3*2*3</f>
        <v>18</v>
      </c>
      <c r="E25" s="2" t="s">
        <v>305</v>
      </c>
      <c r="F25" s="3">
        <f>2*2*3</f>
        <v>12</v>
      </c>
      <c r="H25" s="2" t="s">
        <v>306</v>
      </c>
      <c r="I25" s="3">
        <f>2*2*3</f>
        <v>12</v>
      </c>
    </row>
    <row r="26" spans="2:9" x14ac:dyDescent="0.2">
      <c r="B26" s="152" t="s">
        <v>307</v>
      </c>
      <c r="C26" s="153">
        <f>2*4*3</f>
        <v>24</v>
      </c>
      <c r="E26" s="2" t="s">
        <v>308</v>
      </c>
      <c r="F26" s="3">
        <f>5*4*3</f>
        <v>60</v>
      </c>
      <c r="H26" s="2" t="s">
        <v>309</v>
      </c>
      <c r="I26" s="3">
        <f>3*4*3</f>
        <v>36</v>
      </c>
    </row>
    <row r="27" spans="2:9" x14ac:dyDescent="0.2">
      <c r="B27" s="152" t="s">
        <v>310</v>
      </c>
      <c r="C27" s="153">
        <f>5*1*3</f>
        <v>15</v>
      </c>
      <c r="E27" s="2" t="s">
        <v>311</v>
      </c>
      <c r="F27" s="3">
        <f>3*1*3</f>
        <v>9</v>
      </c>
      <c r="H27" s="2" t="s">
        <v>312</v>
      </c>
      <c r="I27" s="3">
        <f>2*1*3</f>
        <v>6</v>
      </c>
    </row>
    <row r="28" spans="2:9" x14ac:dyDescent="0.2">
      <c r="B28" s="152" t="s">
        <v>313</v>
      </c>
      <c r="C28" s="153">
        <f>2*2*3</f>
        <v>12</v>
      </c>
      <c r="E28" s="2" t="s">
        <v>314</v>
      </c>
      <c r="F28" s="3">
        <f>2*2*3</f>
        <v>12</v>
      </c>
      <c r="H28" s="2" t="s">
        <v>315</v>
      </c>
      <c r="I28" s="3">
        <f>3*2*3</f>
        <v>18</v>
      </c>
    </row>
    <row r="29" spans="2:9" x14ac:dyDescent="0.2">
      <c r="B29" s="152" t="s">
        <v>316</v>
      </c>
      <c r="C29" s="153">
        <f>2*3*3</f>
        <v>18</v>
      </c>
      <c r="E29" s="2" t="s">
        <v>317</v>
      </c>
      <c r="F29" s="3">
        <f>3*3*3</f>
        <v>27</v>
      </c>
      <c r="H29" s="2" t="s">
        <v>318</v>
      </c>
      <c r="I29" s="3">
        <f>2*3*3</f>
        <v>18</v>
      </c>
    </row>
    <row r="30" spans="2:9" x14ac:dyDescent="0.2">
      <c r="B30" s="152" t="s">
        <v>319</v>
      </c>
      <c r="C30" s="153">
        <f>3*2*3</f>
        <v>18</v>
      </c>
      <c r="E30" s="2" t="s">
        <v>320</v>
      </c>
      <c r="F30" s="3">
        <f>2*2*3</f>
        <v>12</v>
      </c>
      <c r="H30" s="2" t="s">
        <v>321</v>
      </c>
      <c r="I30" s="3">
        <f>5*2*3</f>
        <v>30</v>
      </c>
    </row>
    <row r="31" spans="2:9" ht="17" thickBot="1" x14ac:dyDescent="0.25">
      <c r="B31" s="154" t="s">
        <v>300</v>
      </c>
      <c r="C31" s="155">
        <f>SUM(C25:C30)</f>
        <v>105</v>
      </c>
      <c r="D31" s="1"/>
      <c r="E31" s="112" t="s">
        <v>300</v>
      </c>
      <c r="F31" s="6">
        <f>SUM(F25:F30)</f>
        <v>132</v>
      </c>
      <c r="H31" s="112" t="s">
        <v>300</v>
      </c>
      <c r="I31" s="6">
        <f>SUM(I25:I30)</f>
        <v>120</v>
      </c>
    </row>
  </sheetData>
  <mergeCells count="24">
    <mergeCell ref="I2:I3"/>
    <mergeCell ref="B2:B3"/>
    <mergeCell ref="C2:C3"/>
    <mergeCell ref="E2:E3"/>
    <mergeCell ref="F2:F3"/>
    <mergeCell ref="H2:H3"/>
    <mergeCell ref="I18:I19"/>
    <mergeCell ref="B4:B5"/>
    <mergeCell ref="E4:E5"/>
    <mergeCell ref="H4:H5"/>
    <mergeCell ref="B8:C8"/>
    <mergeCell ref="E8:F8"/>
    <mergeCell ref="H8:I8"/>
    <mergeCell ref="B18:B19"/>
    <mergeCell ref="C18:C19"/>
    <mergeCell ref="E18:E19"/>
    <mergeCell ref="F18:F19"/>
    <mergeCell ref="H18:H19"/>
    <mergeCell ref="B20:B21"/>
    <mergeCell ref="E20:E21"/>
    <mergeCell ref="H20:H21"/>
    <mergeCell ref="B24:C24"/>
    <mergeCell ref="E24:F24"/>
    <mergeCell ref="H24:I24"/>
  </mergeCells>
  <pageMargins left="0.75" right="0.75" top="1" bottom="1" header="0.5" footer="0.5"/>
  <pageSetup orientation="portrait" horizontalDpi="4294967292" verticalDpi="4294967292"/>
  <ignoredErrors>
    <ignoredError sqref="F13 F29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CF51E-2DAB-7445-8775-FC1CA9F6AE1B}">
  <dimension ref="A1:P28"/>
  <sheetViews>
    <sheetView showGridLines="0" zoomScale="130" zoomScaleNormal="130" workbookViewId="0">
      <selection activeCell="J7" sqref="J7"/>
    </sheetView>
  </sheetViews>
  <sheetFormatPr baseColWidth="10" defaultColWidth="8.83203125" defaultRowHeight="15" x14ac:dyDescent="0.2"/>
  <cols>
    <col min="1" max="1" width="8.83203125" style="156"/>
    <col min="2" max="2" width="11.83203125" style="156" bestFit="1" customWidth="1"/>
    <col min="3" max="3" width="3.5" style="156" bestFit="1" customWidth="1"/>
    <col min="4" max="4" width="14.1640625" style="156" bestFit="1" customWidth="1"/>
    <col min="5" max="5" width="4" style="156" bestFit="1" customWidth="1"/>
    <col min="6" max="6" width="11" style="156" bestFit="1" customWidth="1"/>
    <col min="7" max="11" width="8.83203125" style="156"/>
    <col min="12" max="12" width="9.33203125" style="156" bestFit="1" customWidth="1"/>
    <col min="13" max="13" width="23.1640625" style="156" bestFit="1" customWidth="1"/>
    <col min="14" max="14" width="21.83203125" style="156" bestFit="1" customWidth="1"/>
    <col min="15" max="15" width="13.1640625" style="156" bestFit="1" customWidth="1"/>
    <col min="16" max="16384" width="8.83203125" style="156"/>
  </cols>
  <sheetData>
    <row r="1" spans="1:16" x14ac:dyDescent="0.2">
      <c r="A1" s="156" t="s">
        <v>633</v>
      </c>
      <c r="L1" s="253" t="s">
        <v>32</v>
      </c>
      <c r="M1" s="253" t="s">
        <v>233</v>
      </c>
      <c r="N1" s="253" t="s">
        <v>634</v>
      </c>
      <c r="O1" s="253" t="s">
        <v>635</v>
      </c>
    </row>
    <row r="2" spans="1:16" x14ac:dyDescent="0.2">
      <c r="L2" s="253" t="s">
        <v>44</v>
      </c>
      <c r="M2" s="254" t="s">
        <v>636</v>
      </c>
      <c r="N2" s="253" t="s">
        <v>637</v>
      </c>
      <c r="O2" s="253">
        <v>5</v>
      </c>
    </row>
    <row r="3" spans="1:16" x14ac:dyDescent="0.2">
      <c r="L3" s="253" t="s">
        <v>45</v>
      </c>
      <c r="M3" s="254" t="s">
        <v>638</v>
      </c>
      <c r="N3" s="253" t="s">
        <v>637</v>
      </c>
      <c r="O3" s="253">
        <v>1.5</v>
      </c>
    </row>
    <row r="4" spans="1:16" x14ac:dyDescent="0.2">
      <c r="L4" s="253" t="s">
        <v>47</v>
      </c>
      <c r="M4" s="254" t="s">
        <v>639</v>
      </c>
      <c r="N4" s="253" t="s">
        <v>45</v>
      </c>
      <c r="O4" s="253">
        <v>3</v>
      </c>
    </row>
    <row r="5" spans="1:16" x14ac:dyDescent="0.2">
      <c r="L5" s="253" t="s">
        <v>247</v>
      </c>
      <c r="M5" s="254" t="s">
        <v>640</v>
      </c>
      <c r="N5" s="253" t="s">
        <v>47</v>
      </c>
      <c r="O5" s="253">
        <v>4</v>
      </c>
    </row>
    <row r="6" spans="1:16" x14ac:dyDescent="0.2">
      <c r="L6" s="253" t="s">
        <v>250</v>
      </c>
      <c r="M6" s="254" t="s">
        <v>641</v>
      </c>
      <c r="N6" s="253" t="s">
        <v>45</v>
      </c>
      <c r="O6" s="253">
        <v>3</v>
      </c>
    </row>
    <row r="7" spans="1:16" x14ac:dyDescent="0.2">
      <c r="L7" s="253" t="s">
        <v>252</v>
      </c>
      <c r="M7" s="254" t="s">
        <v>642</v>
      </c>
      <c r="N7" s="253" t="s">
        <v>643</v>
      </c>
      <c r="O7" s="253">
        <v>2</v>
      </c>
    </row>
    <row r="8" spans="1:16" x14ac:dyDescent="0.2">
      <c r="L8" s="253" t="s">
        <v>246</v>
      </c>
      <c r="M8" s="254" t="s">
        <v>644</v>
      </c>
      <c r="N8" s="253" t="s">
        <v>637</v>
      </c>
      <c r="O8" s="253">
        <v>3</v>
      </c>
    </row>
    <row r="9" spans="1:16" x14ac:dyDescent="0.2">
      <c r="L9" s="253" t="s">
        <v>255</v>
      </c>
      <c r="M9" s="254" t="s">
        <v>645</v>
      </c>
      <c r="N9" s="253" t="s">
        <v>646</v>
      </c>
      <c r="O9" s="253">
        <v>3.5</v>
      </c>
    </row>
    <row r="10" spans="1:16" x14ac:dyDescent="0.2">
      <c r="B10" s="156" t="s">
        <v>647</v>
      </c>
      <c r="C10" s="156">
        <v>8</v>
      </c>
      <c r="D10" s="156" t="s">
        <v>648</v>
      </c>
      <c r="L10" s="253" t="s">
        <v>449</v>
      </c>
      <c r="M10" s="254" t="s">
        <v>649</v>
      </c>
      <c r="N10" s="253" t="s">
        <v>255</v>
      </c>
      <c r="O10" s="253">
        <v>2</v>
      </c>
    </row>
    <row r="11" spans="1:16" x14ac:dyDescent="0.2">
      <c r="B11" s="156" t="s">
        <v>650</v>
      </c>
      <c r="C11" s="156">
        <f>C10/(C10*(10/60))</f>
        <v>6</v>
      </c>
      <c r="D11" s="156" t="s">
        <v>651</v>
      </c>
      <c r="L11" s="253" t="s">
        <v>652</v>
      </c>
      <c r="M11" s="254" t="s">
        <v>653</v>
      </c>
      <c r="N11" s="253" t="s">
        <v>449</v>
      </c>
      <c r="O11" s="253">
        <v>2</v>
      </c>
    </row>
    <row r="12" spans="1:16" x14ac:dyDescent="0.2">
      <c r="B12" s="156" t="s">
        <v>654</v>
      </c>
      <c r="C12" s="156">
        <f>10</f>
        <v>10</v>
      </c>
      <c r="D12" s="156" t="s">
        <v>655</v>
      </c>
      <c r="O12" s="255">
        <f>SUM(O2:O11)</f>
        <v>29</v>
      </c>
      <c r="P12" s="156" t="s">
        <v>655</v>
      </c>
    </row>
    <row r="13" spans="1:16" x14ac:dyDescent="0.2">
      <c r="B13" s="156" t="s">
        <v>656</v>
      </c>
      <c r="C13" s="256">
        <f>O12/C12</f>
        <v>2.9</v>
      </c>
      <c r="D13" s="156" t="s">
        <v>657</v>
      </c>
      <c r="E13" s="257">
        <v>3</v>
      </c>
    </row>
    <row r="14" spans="1:16" x14ac:dyDescent="0.2">
      <c r="B14" s="156" t="s">
        <v>658</v>
      </c>
      <c r="C14" s="156">
        <f>(E13*C12)-O12</f>
        <v>1</v>
      </c>
      <c r="D14" s="156" t="s">
        <v>659</v>
      </c>
    </row>
    <row r="15" spans="1:16" ht="17" thickBot="1" x14ac:dyDescent="0.25">
      <c r="B15" s="156" t="s">
        <v>265</v>
      </c>
      <c r="D15" s="258">
        <f>O12/(C12*E13)</f>
        <v>0.96666666666666667</v>
      </c>
    </row>
    <row r="16" spans="1:16" ht="33" thickBot="1" x14ac:dyDescent="0.25">
      <c r="B16" s="156" t="s">
        <v>660</v>
      </c>
      <c r="D16" s="259">
        <f>1-D15</f>
        <v>3.3333333333333326E-2</v>
      </c>
      <c r="H16" s="260" t="s">
        <v>661</v>
      </c>
      <c r="I16" s="261" t="s">
        <v>662</v>
      </c>
      <c r="J16" s="261" t="s">
        <v>263</v>
      </c>
      <c r="K16" s="261" t="s">
        <v>663</v>
      </c>
      <c r="L16" s="262" t="s">
        <v>664</v>
      </c>
    </row>
    <row r="17" spans="1:12" x14ac:dyDescent="0.2">
      <c r="H17" s="263">
        <v>1</v>
      </c>
      <c r="I17" s="264" t="s">
        <v>665</v>
      </c>
      <c r="J17" s="263" t="s">
        <v>666</v>
      </c>
      <c r="K17" s="264" t="s">
        <v>44</v>
      </c>
      <c r="L17" s="263">
        <v>5</v>
      </c>
    </row>
    <row r="18" spans="1:12" x14ac:dyDescent="0.2">
      <c r="H18" s="265">
        <v>1</v>
      </c>
      <c r="I18" s="266" t="s">
        <v>667</v>
      </c>
      <c r="J18" s="265" t="s">
        <v>668</v>
      </c>
      <c r="K18" s="266" t="s">
        <v>246</v>
      </c>
      <c r="L18" s="265">
        <v>2</v>
      </c>
    </row>
    <row r="19" spans="1:12" ht="16" thickBot="1" x14ac:dyDescent="0.25">
      <c r="H19" s="267">
        <v>1</v>
      </c>
      <c r="I19" s="268" t="s">
        <v>45</v>
      </c>
      <c r="J19" s="267">
        <v>1.5</v>
      </c>
      <c r="K19" s="268" t="s">
        <v>45</v>
      </c>
      <c r="L19" s="267">
        <v>0.5</v>
      </c>
    </row>
    <row r="20" spans="1:12" x14ac:dyDescent="0.2">
      <c r="H20" s="263">
        <v>2</v>
      </c>
      <c r="I20" s="264" t="s">
        <v>669</v>
      </c>
      <c r="J20" s="263" t="s">
        <v>670</v>
      </c>
      <c r="K20" s="264" t="s">
        <v>47</v>
      </c>
      <c r="L20" s="263">
        <v>7</v>
      </c>
    </row>
    <row r="21" spans="1:12" x14ac:dyDescent="0.2">
      <c r="H21" s="265">
        <v>2</v>
      </c>
      <c r="I21" s="266" t="s">
        <v>671</v>
      </c>
      <c r="J21" s="265" t="s">
        <v>672</v>
      </c>
      <c r="K21" s="266" t="s">
        <v>247</v>
      </c>
      <c r="L21" s="265">
        <v>3</v>
      </c>
    </row>
    <row r="22" spans="1:12" ht="16" thickBot="1" x14ac:dyDescent="0.25">
      <c r="H22" s="267">
        <v>2</v>
      </c>
      <c r="I22" s="268" t="s">
        <v>250</v>
      </c>
      <c r="J22" s="267">
        <v>3</v>
      </c>
      <c r="K22" s="268" t="s">
        <v>250</v>
      </c>
      <c r="L22" s="267">
        <v>0</v>
      </c>
    </row>
    <row r="23" spans="1:12" x14ac:dyDescent="0.2">
      <c r="H23" s="263">
        <v>3</v>
      </c>
      <c r="I23" s="263" t="s">
        <v>673</v>
      </c>
      <c r="J23" s="263" t="s">
        <v>674</v>
      </c>
      <c r="K23" s="263" t="s">
        <v>252</v>
      </c>
      <c r="L23" s="263">
        <v>8</v>
      </c>
    </row>
    <row r="24" spans="1:12" x14ac:dyDescent="0.2">
      <c r="H24" s="265">
        <v>3</v>
      </c>
      <c r="I24" s="265" t="s">
        <v>675</v>
      </c>
      <c r="J24" s="265" t="s">
        <v>676</v>
      </c>
      <c r="K24" s="265" t="s">
        <v>255</v>
      </c>
      <c r="L24" s="265">
        <v>4.5</v>
      </c>
    </row>
    <row r="25" spans="1:12" x14ac:dyDescent="0.2">
      <c r="H25" s="265">
        <v>3</v>
      </c>
      <c r="I25" s="265" t="s">
        <v>677</v>
      </c>
      <c r="J25" s="265" t="s">
        <v>678</v>
      </c>
      <c r="K25" s="265" t="s">
        <v>449</v>
      </c>
      <c r="L25" s="265">
        <v>2.5</v>
      </c>
    </row>
    <row r="26" spans="1:12" ht="16" thickBot="1" x14ac:dyDescent="0.25">
      <c r="H26" s="267">
        <v>3</v>
      </c>
      <c r="I26" s="267" t="s">
        <v>652</v>
      </c>
      <c r="J26" s="267">
        <v>2</v>
      </c>
      <c r="K26" s="267" t="s">
        <v>652</v>
      </c>
      <c r="L26" s="267">
        <v>0.5</v>
      </c>
    </row>
    <row r="28" spans="1:12" x14ac:dyDescent="0.2">
      <c r="A28" s="156" t="s">
        <v>679</v>
      </c>
    </row>
  </sheetData>
  <pageMargins left="0.7" right="0.7" top="0.75" bottom="0.75" header="0.3" footer="0.3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409B0-635D-854C-B654-73ED2F37D8D5}">
  <dimension ref="B2:I20"/>
  <sheetViews>
    <sheetView zoomScale="150" zoomScaleNormal="150" zoomScalePageLayoutView="150" workbookViewId="0">
      <selection activeCell="A20" sqref="A20"/>
    </sheetView>
  </sheetViews>
  <sheetFormatPr baseColWidth="10" defaultRowHeight="16" x14ac:dyDescent="0.2"/>
  <cols>
    <col min="1" max="1" width="14" customWidth="1"/>
    <col min="2" max="2" width="11.83203125" customWidth="1"/>
    <col min="3" max="3" width="5.83203125" customWidth="1"/>
    <col min="4" max="5" width="5.33203125" customWidth="1"/>
    <col min="6" max="6" width="5.6640625" customWidth="1"/>
    <col min="7" max="7" width="1.6640625" customWidth="1"/>
    <col min="8" max="8" width="14.33203125" customWidth="1"/>
  </cols>
  <sheetData>
    <row r="2" spans="2:9" x14ac:dyDescent="0.2">
      <c r="B2" s="74"/>
      <c r="C2" s="74"/>
      <c r="D2" s="74"/>
      <c r="E2" s="74"/>
      <c r="F2" s="74"/>
      <c r="G2" s="74"/>
      <c r="H2" s="74"/>
      <c r="I2" s="74"/>
    </row>
    <row r="3" spans="2:9" x14ac:dyDescent="0.2">
      <c r="B3" s="269" t="s">
        <v>680</v>
      </c>
      <c r="C3" s="270" t="s">
        <v>44</v>
      </c>
      <c r="D3" s="270" t="s">
        <v>45</v>
      </c>
      <c r="E3" s="270" t="s">
        <v>47</v>
      </c>
      <c r="F3" s="270" t="s">
        <v>247</v>
      </c>
      <c r="G3" s="74"/>
      <c r="H3" s="74"/>
      <c r="I3" s="74"/>
    </row>
    <row r="4" spans="2:9" x14ac:dyDescent="0.2">
      <c r="B4" s="271" t="s">
        <v>44</v>
      </c>
      <c r="C4" s="272" t="s">
        <v>196</v>
      </c>
      <c r="D4" s="272">
        <v>10</v>
      </c>
      <c r="E4" s="272">
        <v>15</v>
      </c>
      <c r="F4" s="272" t="s">
        <v>196</v>
      </c>
      <c r="G4" s="74"/>
      <c r="H4" s="74"/>
      <c r="I4" s="74"/>
    </row>
    <row r="5" spans="2:9" x14ac:dyDescent="0.2">
      <c r="B5" s="271" t="s">
        <v>45</v>
      </c>
      <c r="C5" s="272">
        <v>25</v>
      </c>
      <c r="D5" s="272" t="s">
        <v>196</v>
      </c>
      <c r="E5" s="272">
        <v>5</v>
      </c>
      <c r="F5" s="272">
        <v>10</v>
      </c>
      <c r="G5" s="74"/>
      <c r="H5" s="74"/>
      <c r="I5" s="74"/>
    </row>
    <row r="6" spans="2:9" x14ac:dyDescent="0.2">
      <c r="B6" s="271" t="s">
        <v>47</v>
      </c>
      <c r="C6" s="272">
        <v>15</v>
      </c>
      <c r="D6" s="272" t="s">
        <v>196</v>
      </c>
      <c r="E6" s="272" t="s">
        <v>196</v>
      </c>
      <c r="F6" s="272">
        <v>20</v>
      </c>
      <c r="G6" s="74"/>
      <c r="H6" s="74"/>
      <c r="I6" s="74"/>
    </row>
    <row r="7" spans="2:9" x14ac:dyDescent="0.2">
      <c r="B7" s="271" t="s">
        <v>247</v>
      </c>
      <c r="C7" s="272">
        <v>5</v>
      </c>
      <c r="D7" s="272">
        <v>10</v>
      </c>
      <c r="E7" s="272" t="s">
        <v>196</v>
      </c>
      <c r="F7" s="272" t="s">
        <v>196</v>
      </c>
      <c r="G7" s="74"/>
      <c r="H7" s="74"/>
      <c r="I7" s="74"/>
    </row>
    <row r="8" spans="2:9" x14ac:dyDescent="0.2">
      <c r="B8" s="74"/>
      <c r="C8" s="74"/>
      <c r="D8" s="74"/>
      <c r="E8" s="74"/>
      <c r="F8" s="74"/>
      <c r="G8" s="74"/>
      <c r="H8" s="74"/>
      <c r="I8" s="74"/>
    </row>
    <row r="10" spans="2:9" x14ac:dyDescent="0.2">
      <c r="B10" s="151" t="s">
        <v>681</v>
      </c>
      <c r="C10" s="151">
        <v>10</v>
      </c>
      <c r="H10" s="151" t="s">
        <v>682</v>
      </c>
    </row>
    <row r="11" spans="2:9" x14ac:dyDescent="0.2">
      <c r="B11" s="22" t="s">
        <v>683</v>
      </c>
      <c r="C11" s="22">
        <v>1</v>
      </c>
      <c r="D11" s="22">
        <v>2</v>
      </c>
      <c r="E11" s="22">
        <v>3</v>
      </c>
      <c r="F11" s="22">
        <v>4</v>
      </c>
    </row>
    <row r="12" spans="2:9" x14ac:dyDescent="0.2">
      <c r="B12" s="273" t="s">
        <v>684</v>
      </c>
      <c r="C12" s="273" t="s">
        <v>44</v>
      </c>
      <c r="D12" s="273" t="s">
        <v>45</v>
      </c>
      <c r="E12" s="273" t="s">
        <v>47</v>
      </c>
      <c r="F12" s="273" t="s">
        <v>247</v>
      </c>
      <c r="G12" s="274"/>
      <c r="H12" s="273">
        <f>+(C10*D4)+(C10*E4)+(C10*C5)+(C10*2*E5)+(C10*F5)+(C10*C6)+(C10*F6)+(C10*2*C7)+(C10*D7)</f>
        <v>1250</v>
      </c>
      <c r="I12" s="275" t="s">
        <v>685</v>
      </c>
    </row>
    <row r="13" spans="2:9" x14ac:dyDescent="0.2">
      <c r="B13" s="22" t="s">
        <v>686</v>
      </c>
      <c r="C13" s="22" t="s">
        <v>44</v>
      </c>
      <c r="D13" s="22" t="s">
        <v>45</v>
      </c>
      <c r="E13" s="22" t="s">
        <v>247</v>
      </c>
      <c r="F13" s="22" t="s">
        <v>47</v>
      </c>
      <c r="H13" s="22">
        <f>+(C10*D4)+(C10*E4*2)+(C10*C5)+(C10*E5)+(C10*F5*2)+(C10*C6*2)+(C10*F6)+(C10*C7)+(C10*D7*2)</f>
        <v>1650</v>
      </c>
    </row>
    <row r="14" spans="2:9" x14ac:dyDescent="0.2">
      <c r="B14" s="22" t="s">
        <v>687</v>
      </c>
      <c r="C14" s="22" t="s">
        <v>44</v>
      </c>
      <c r="D14" s="22" t="s">
        <v>247</v>
      </c>
      <c r="E14" s="22" t="s">
        <v>45</v>
      </c>
      <c r="F14" s="22" t="s">
        <v>47</v>
      </c>
      <c r="H14" s="22">
        <f>+(C10*D4)+(C10*2*E4)+(C10*C5)+(C10*E5)+(C10*2*F5)+(C10*2*C6)+(C10*F6)+(C10*C7)+(C10*2*D7)</f>
        <v>1650</v>
      </c>
    </row>
    <row r="15" spans="2:9" x14ac:dyDescent="0.2">
      <c r="B15" s="22" t="s">
        <v>688</v>
      </c>
      <c r="C15" s="22" t="s">
        <v>44</v>
      </c>
      <c r="D15" s="22" t="s">
        <v>247</v>
      </c>
      <c r="E15" s="22" t="s">
        <v>47</v>
      </c>
      <c r="F15" s="22" t="s">
        <v>45</v>
      </c>
      <c r="H15" s="22">
        <f>+(C10*D4*2)+(C10*E4)+(C10*C5*2)+(C10*E5)+(C10*F5)+(C10*C6)+(C10*F6*2)+(C10*C7)+(C10*D7)</f>
        <v>1700</v>
      </c>
    </row>
    <row r="16" spans="2:9" x14ac:dyDescent="0.2">
      <c r="B16" s="276" t="s">
        <v>689</v>
      </c>
      <c r="C16" s="273" t="s">
        <v>44</v>
      </c>
      <c r="D16" s="273" t="s">
        <v>47</v>
      </c>
      <c r="E16" s="273" t="s">
        <v>45</v>
      </c>
      <c r="F16" s="273" t="s">
        <v>247</v>
      </c>
      <c r="G16" s="274"/>
      <c r="H16" s="273">
        <f>+(C10*D4)+(C10*E4)+(C10*C5)+(C10*E5*2)+(C10*F5)+(C10*C6)+(C10*F6)+(C10*C7*2)+(C10*D7)</f>
        <v>1250</v>
      </c>
      <c r="I16" s="275" t="s">
        <v>685</v>
      </c>
    </row>
    <row r="17" spans="2:8" x14ac:dyDescent="0.2">
      <c r="B17" s="277" t="s">
        <v>690</v>
      </c>
      <c r="C17" s="22" t="s">
        <v>44</v>
      </c>
      <c r="D17" s="22" t="s">
        <v>47</v>
      </c>
      <c r="E17" s="22" t="s">
        <v>247</v>
      </c>
      <c r="F17" s="22" t="s">
        <v>45</v>
      </c>
      <c r="H17" s="22">
        <f>+(C10*2*D4)+(C10*E4)+(C10*2*C5)+(C10*E5)+(C10*F5)+(C10*C6)+(C10*2*F6)+(C10*C7)+(C10*D7)</f>
        <v>1700</v>
      </c>
    </row>
    <row r="18" spans="2:8" x14ac:dyDescent="0.2">
      <c r="C18" s="22"/>
      <c r="D18" s="22"/>
      <c r="E18" s="22"/>
      <c r="F18" s="22"/>
    </row>
    <row r="20" spans="2:8" x14ac:dyDescent="0.2">
      <c r="H20" s="22"/>
    </row>
  </sheetData>
  <pageMargins left="0.75" right="0.75" top="1" bottom="1" header="0.5" footer="0.5"/>
  <pageSetup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zoomScalePageLayoutView="150" workbookViewId="0">
      <selection activeCell="L10" sqref="L10"/>
    </sheetView>
  </sheetViews>
  <sheetFormatPr baseColWidth="10" defaultRowHeight="16" x14ac:dyDescent="0.2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2"/>
  <sheetViews>
    <sheetView workbookViewId="0">
      <selection activeCell="C11" sqref="C11"/>
    </sheetView>
  </sheetViews>
  <sheetFormatPr baseColWidth="10" defaultRowHeight="13" x14ac:dyDescent="0.15"/>
  <cols>
    <col min="1" max="1" width="20" style="10" bestFit="1" customWidth="1"/>
    <col min="2" max="2" width="13.6640625" style="10" customWidth="1"/>
    <col min="3" max="3" width="14.83203125" style="10" customWidth="1"/>
    <col min="4" max="16384" width="10.83203125" style="10"/>
  </cols>
  <sheetData>
    <row r="1" spans="1:4" x14ac:dyDescent="0.15">
      <c r="A1" s="9" t="s">
        <v>20</v>
      </c>
    </row>
    <row r="2" spans="1:4" x14ac:dyDescent="0.15">
      <c r="C2" s="10" t="s">
        <v>6</v>
      </c>
    </row>
    <row r="3" spans="1:4" x14ac:dyDescent="0.15">
      <c r="A3" s="10" t="s">
        <v>21</v>
      </c>
      <c r="B3" s="10">
        <v>1</v>
      </c>
      <c r="C3" s="10">
        <v>700</v>
      </c>
      <c r="D3" s="10">
        <f>C3*B3</f>
        <v>700</v>
      </c>
    </row>
    <row r="4" spans="1:4" x14ac:dyDescent="0.15">
      <c r="A4" s="10" t="s">
        <v>22</v>
      </c>
      <c r="B4" s="10">
        <v>1.25</v>
      </c>
      <c r="C4" s="10">
        <v>900</v>
      </c>
      <c r="D4" s="10">
        <f>C4*B4</f>
        <v>1125</v>
      </c>
    </row>
    <row r="5" spans="1:4" x14ac:dyDescent="0.15">
      <c r="A5" s="10" t="s">
        <v>23</v>
      </c>
      <c r="B5" s="10">
        <v>0.8</v>
      </c>
      <c r="C5" s="10">
        <v>500</v>
      </c>
      <c r="D5" s="10">
        <f>C5*B5</f>
        <v>400</v>
      </c>
    </row>
    <row r="6" spans="1:4" x14ac:dyDescent="0.15">
      <c r="B6" s="10" t="s">
        <v>24</v>
      </c>
      <c r="D6" s="10">
        <f>SUM(D3:D5)</f>
        <v>2225</v>
      </c>
    </row>
    <row r="7" spans="1:4" x14ac:dyDescent="0.15">
      <c r="A7" s="10" t="s">
        <v>25</v>
      </c>
      <c r="B7" s="10">
        <v>5</v>
      </c>
    </row>
    <row r="8" spans="1:4" x14ac:dyDescent="0.15">
      <c r="A8" s="10" t="s">
        <v>26</v>
      </c>
      <c r="B8" s="10">
        <v>40</v>
      </c>
    </row>
    <row r="9" spans="1:4" x14ac:dyDescent="0.15">
      <c r="B9" s="10">
        <f>B7*B8</f>
        <v>200</v>
      </c>
    </row>
    <row r="10" spans="1:4" ht="42" x14ac:dyDescent="0.15">
      <c r="B10" s="11" t="s">
        <v>27</v>
      </c>
      <c r="C10" s="11" t="s">
        <v>28</v>
      </c>
    </row>
    <row r="11" spans="1:4" ht="18" x14ac:dyDescent="0.2">
      <c r="A11" s="12" t="s">
        <v>29</v>
      </c>
      <c r="B11" s="13">
        <f>D6/B9</f>
        <v>11.125</v>
      </c>
      <c r="C11" s="13">
        <f>B11*5</f>
        <v>55.625</v>
      </c>
    </row>
    <row r="14" spans="1:4" x14ac:dyDescent="0.15">
      <c r="A14" s="9" t="s">
        <v>30</v>
      </c>
    </row>
    <row r="16" spans="1:4" x14ac:dyDescent="0.15">
      <c r="C16" s="10" t="s">
        <v>6</v>
      </c>
    </row>
    <row r="17" spans="1:4" x14ac:dyDescent="0.15">
      <c r="A17" s="10" t="s">
        <v>21</v>
      </c>
      <c r="B17" s="10">
        <v>1</v>
      </c>
      <c r="C17" s="10">
        <v>700</v>
      </c>
      <c r="D17" s="10">
        <f>C17*B17</f>
        <v>700</v>
      </c>
    </row>
    <row r="18" spans="1:4" x14ac:dyDescent="0.15">
      <c r="A18" s="10" t="s">
        <v>22</v>
      </c>
      <c r="B18" s="10">
        <v>1.25</v>
      </c>
      <c r="C18" s="10">
        <v>700</v>
      </c>
      <c r="D18" s="10">
        <f>C18*B18</f>
        <v>875</v>
      </c>
    </row>
    <row r="19" spans="1:4" x14ac:dyDescent="0.15">
      <c r="A19" s="10" t="s">
        <v>23</v>
      </c>
      <c r="B19" s="10">
        <v>0.8</v>
      </c>
      <c r="C19" s="10">
        <v>700</v>
      </c>
      <c r="D19" s="10">
        <f>C19*B19</f>
        <v>560</v>
      </c>
    </row>
    <row r="20" spans="1:4" x14ac:dyDescent="0.15">
      <c r="D20" s="10">
        <f>SUM(D17:D19)</f>
        <v>2135</v>
      </c>
    </row>
    <row r="22" spans="1:4" ht="18" x14ac:dyDescent="0.2">
      <c r="A22" s="12" t="s">
        <v>29</v>
      </c>
      <c r="B22" s="13">
        <f>D20/B9</f>
        <v>10.675000000000001</v>
      </c>
      <c r="C22" s="13">
        <f>B22*5</f>
        <v>53.375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G16"/>
  <sheetViews>
    <sheetView workbookViewId="0">
      <selection activeCell="F28" sqref="F28"/>
    </sheetView>
  </sheetViews>
  <sheetFormatPr baseColWidth="10" defaultRowHeight="16" x14ac:dyDescent="0.2"/>
  <cols>
    <col min="6" max="6" width="15.1640625" bestFit="1" customWidth="1"/>
    <col min="7" max="7" width="16.33203125" bestFit="1" customWidth="1"/>
  </cols>
  <sheetData>
    <row r="3" spans="2:7" x14ac:dyDescent="0.2">
      <c r="B3" s="280" t="s">
        <v>216</v>
      </c>
      <c r="C3" s="280"/>
      <c r="D3" s="280" t="s">
        <v>219</v>
      </c>
      <c r="E3" s="280"/>
    </row>
    <row r="4" spans="2:7" x14ac:dyDescent="0.2">
      <c r="B4" s="52" t="s">
        <v>33</v>
      </c>
      <c r="C4" s="52">
        <v>13500</v>
      </c>
      <c r="D4" s="52" t="s">
        <v>217</v>
      </c>
      <c r="E4" s="52">
        <v>3650</v>
      </c>
    </row>
    <row r="5" spans="2:7" x14ac:dyDescent="0.2">
      <c r="B5" s="52" t="s">
        <v>215</v>
      </c>
      <c r="C5" s="52">
        <v>360</v>
      </c>
      <c r="D5" s="52" t="s">
        <v>218</v>
      </c>
      <c r="E5" s="52">
        <v>115</v>
      </c>
    </row>
    <row r="7" spans="2:7" x14ac:dyDescent="0.2">
      <c r="B7" t="s">
        <v>20</v>
      </c>
      <c r="C7" t="s">
        <v>220</v>
      </c>
      <c r="E7">
        <v>0.85</v>
      </c>
    </row>
    <row r="8" spans="2:7" x14ac:dyDescent="0.2">
      <c r="F8" t="s">
        <v>223</v>
      </c>
      <c r="G8" t="s">
        <v>222</v>
      </c>
    </row>
    <row r="9" spans="2:7" x14ac:dyDescent="0.2">
      <c r="C9" t="s">
        <v>221</v>
      </c>
      <c r="F9" s="142">
        <f>C5/E7</f>
        <v>423.52941176470591</v>
      </c>
      <c r="G9">
        <f>C4/F9</f>
        <v>31.874999999999996</v>
      </c>
    </row>
    <row r="10" spans="2:7" x14ac:dyDescent="0.2">
      <c r="C10" t="s">
        <v>224</v>
      </c>
      <c r="G10" s="64">
        <f>E4/E5</f>
        <v>31.739130434782609</v>
      </c>
    </row>
    <row r="11" spans="2:7" x14ac:dyDescent="0.2">
      <c r="F11" t="s">
        <v>225</v>
      </c>
      <c r="G11" s="143">
        <f>G10-G9</f>
        <v>-0.13586956521738713</v>
      </c>
    </row>
    <row r="12" spans="2:7" x14ac:dyDescent="0.2">
      <c r="F12" t="s">
        <v>226</v>
      </c>
    </row>
    <row r="13" spans="2:7" x14ac:dyDescent="0.2">
      <c r="B13" t="s">
        <v>30</v>
      </c>
    </row>
    <row r="14" spans="2:7" x14ac:dyDescent="0.2">
      <c r="C14" s="281" t="s">
        <v>227</v>
      </c>
      <c r="D14" s="281"/>
      <c r="E14" s="281"/>
      <c r="F14">
        <f>C5/0.9</f>
        <v>400</v>
      </c>
    </row>
    <row r="15" spans="2:7" x14ac:dyDescent="0.2">
      <c r="C15" s="281" t="s">
        <v>221</v>
      </c>
      <c r="D15" s="281"/>
      <c r="E15" s="281"/>
      <c r="F15" s="64">
        <f>(C4-E4)/(F14-E5)</f>
        <v>34.561403508771932</v>
      </c>
    </row>
    <row r="16" spans="2:7" x14ac:dyDescent="0.2">
      <c r="C16" s="281" t="s">
        <v>228</v>
      </c>
      <c r="D16" s="281"/>
      <c r="E16" s="281"/>
      <c r="F16" s="64">
        <f>F15-G9</f>
        <v>2.6864035087719351</v>
      </c>
    </row>
  </sheetData>
  <mergeCells count="5">
    <mergeCell ref="B3:C3"/>
    <mergeCell ref="D3:E3"/>
    <mergeCell ref="C14:E14"/>
    <mergeCell ref="C15:E15"/>
    <mergeCell ref="C16:E16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3592D-C0FA-F548-BB12-F78702523397}">
  <dimension ref="B2:X47"/>
  <sheetViews>
    <sheetView zoomScaleNormal="100" workbookViewId="0">
      <selection activeCell="X33" sqref="X33"/>
    </sheetView>
  </sheetViews>
  <sheetFormatPr baseColWidth="10" defaultRowHeight="16" x14ac:dyDescent="0.2"/>
  <cols>
    <col min="1" max="1" width="5.1640625" customWidth="1"/>
    <col min="2" max="2" width="20" style="22" customWidth="1"/>
    <col min="3" max="3" width="13.1640625" style="22" customWidth="1"/>
    <col min="4" max="4" width="14.6640625" bestFit="1" customWidth="1"/>
    <col min="5" max="5" width="17.83203125" bestFit="1" customWidth="1"/>
    <col min="6" max="6" width="11.6640625" bestFit="1" customWidth="1"/>
    <col min="7" max="7" width="14.6640625" bestFit="1" customWidth="1"/>
    <col min="8" max="8" width="4.6640625" customWidth="1"/>
    <col min="9" max="9" width="10.5" customWidth="1"/>
    <col min="10" max="19" width="5.83203125" customWidth="1"/>
    <col min="24" max="24" width="41.33203125" bestFit="1" customWidth="1"/>
    <col min="2003" max="2003" width="2.5" customWidth="1"/>
  </cols>
  <sheetData>
    <row r="2" spans="2:24" x14ac:dyDescent="0.2">
      <c r="B2" s="286" t="s">
        <v>376</v>
      </c>
      <c r="C2" s="286"/>
      <c r="D2" s="286"/>
      <c r="E2" s="286"/>
      <c r="F2" s="286"/>
      <c r="G2" s="286"/>
      <c r="I2" s="283" t="s">
        <v>377</v>
      </c>
      <c r="J2" s="284"/>
      <c r="K2" s="284"/>
      <c r="L2" s="284"/>
      <c r="M2" s="284"/>
      <c r="N2" s="284"/>
      <c r="O2" s="284"/>
      <c r="P2" s="284"/>
      <c r="Q2" s="284"/>
      <c r="R2" s="284"/>
      <c r="S2" s="285"/>
    </row>
    <row r="3" spans="2:24" x14ac:dyDescent="0.2">
      <c r="B3" s="70" t="s">
        <v>378</v>
      </c>
      <c r="C3" s="70" t="s">
        <v>379</v>
      </c>
      <c r="D3" s="70" t="s">
        <v>380</v>
      </c>
      <c r="E3" s="70" t="s">
        <v>378</v>
      </c>
      <c r="F3" s="70" t="s">
        <v>379</v>
      </c>
      <c r="G3" s="70" t="s">
        <v>380</v>
      </c>
      <c r="I3" s="181" t="s">
        <v>97</v>
      </c>
      <c r="J3" s="181">
        <v>1</v>
      </c>
      <c r="K3" s="181">
        <v>2</v>
      </c>
      <c r="L3" s="181">
        <v>3</v>
      </c>
      <c r="M3" s="181">
        <v>4</v>
      </c>
      <c r="N3" s="181">
        <v>5</v>
      </c>
      <c r="O3" s="181">
        <v>6</v>
      </c>
      <c r="P3" s="181">
        <v>7</v>
      </c>
      <c r="Q3" s="181">
        <v>8</v>
      </c>
      <c r="R3" s="181">
        <v>9</v>
      </c>
      <c r="S3" s="181">
        <v>10</v>
      </c>
    </row>
    <row r="4" spans="2:24" x14ac:dyDescent="0.2">
      <c r="B4" s="182" t="s">
        <v>381</v>
      </c>
      <c r="C4" s="67">
        <v>6</v>
      </c>
      <c r="D4" s="67" t="s">
        <v>382</v>
      </c>
      <c r="E4" s="182" t="s">
        <v>383</v>
      </c>
      <c r="F4" s="67">
        <v>1</v>
      </c>
      <c r="G4" s="67" t="s">
        <v>384</v>
      </c>
      <c r="I4" s="181" t="s">
        <v>385</v>
      </c>
      <c r="J4" s="52">
        <v>629</v>
      </c>
      <c r="K4" s="52">
        <v>730</v>
      </c>
      <c r="L4" s="52">
        <v>777</v>
      </c>
      <c r="M4" s="52">
        <v>648</v>
      </c>
      <c r="N4" s="52">
        <v>781</v>
      </c>
      <c r="O4" s="52">
        <v>710</v>
      </c>
      <c r="P4" s="52">
        <v>642</v>
      </c>
      <c r="Q4" s="52">
        <v>614</v>
      </c>
      <c r="R4" s="52">
        <v>783</v>
      </c>
      <c r="S4" s="52">
        <v>687</v>
      </c>
      <c r="T4" s="183">
        <f>SUM(J4:S4)</f>
        <v>7001</v>
      </c>
    </row>
    <row r="5" spans="2:24" x14ac:dyDescent="0.2">
      <c r="B5" s="182" t="s">
        <v>386</v>
      </c>
      <c r="C5" s="67">
        <v>4</v>
      </c>
      <c r="D5" s="67" t="s">
        <v>387</v>
      </c>
      <c r="E5" s="182" t="s">
        <v>388</v>
      </c>
      <c r="F5" s="67">
        <v>1</v>
      </c>
      <c r="G5" s="67" t="s">
        <v>389</v>
      </c>
      <c r="I5" s="181" t="s">
        <v>97</v>
      </c>
      <c r="J5" s="181">
        <v>11</v>
      </c>
      <c r="K5" s="181">
        <v>12</v>
      </c>
      <c r="L5" s="181">
        <v>13</v>
      </c>
      <c r="M5" s="181">
        <v>14</v>
      </c>
      <c r="N5" s="181">
        <v>15</v>
      </c>
      <c r="O5" s="181">
        <v>16</v>
      </c>
      <c r="P5" s="181">
        <v>17</v>
      </c>
      <c r="Q5" s="181">
        <v>18</v>
      </c>
      <c r="R5" s="181">
        <v>19</v>
      </c>
      <c r="S5" s="181">
        <v>20</v>
      </c>
      <c r="T5" s="183"/>
    </row>
    <row r="6" spans="2:24" x14ac:dyDescent="0.2">
      <c r="B6" s="182" t="s">
        <v>390</v>
      </c>
      <c r="C6" s="67">
        <v>1</v>
      </c>
      <c r="D6" s="67" t="s">
        <v>391</v>
      </c>
      <c r="E6" s="182" t="s">
        <v>392</v>
      </c>
      <c r="F6" s="67" t="s">
        <v>393</v>
      </c>
      <c r="G6" s="67" t="s">
        <v>394</v>
      </c>
      <c r="I6" s="181" t="s">
        <v>385</v>
      </c>
      <c r="J6" s="52">
        <v>769</v>
      </c>
      <c r="K6" s="52">
        <v>786</v>
      </c>
      <c r="L6" s="52">
        <v>702</v>
      </c>
      <c r="M6" s="52">
        <v>758</v>
      </c>
      <c r="N6" s="52">
        <v>618</v>
      </c>
      <c r="O6" s="52">
        <v>789</v>
      </c>
      <c r="P6" s="52">
        <v>617</v>
      </c>
      <c r="Q6" s="52">
        <v>677</v>
      </c>
      <c r="R6" s="52">
        <v>680</v>
      </c>
      <c r="S6" s="52">
        <v>751</v>
      </c>
      <c r="T6" s="183">
        <f>SUM(J6:S6)</f>
        <v>7147</v>
      </c>
    </row>
    <row r="7" spans="2:24" x14ac:dyDescent="0.2">
      <c r="B7" s="182" t="s">
        <v>395</v>
      </c>
      <c r="C7" s="67">
        <v>1</v>
      </c>
      <c r="D7" s="67" t="s">
        <v>396</v>
      </c>
      <c r="E7" s="182" t="s">
        <v>397</v>
      </c>
      <c r="F7" s="67">
        <v>2</v>
      </c>
      <c r="G7" s="67" t="s">
        <v>398</v>
      </c>
      <c r="I7" s="181" t="s">
        <v>97</v>
      </c>
      <c r="J7" s="181">
        <v>21</v>
      </c>
      <c r="K7" s="181">
        <v>22</v>
      </c>
      <c r="L7" s="181">
        <v>23</v>
      </c>
      <c r="M7" s="181">
        <v>24</v>
      </c>
      <c r="N7" s="181">
        <v>25</v>
      </c>
      <c r="O7" s="181">
        <v>26</v>
      </c>
      <c r="P7" s="181">
        <v>27</v>
      </c>
      <c r="Q7" s="181">
        <v>28</v>
      </c>
      <c r="R7" s="181">
        <v>29</v>
      </c>
      <c r="S7" s="181">
        <v>30</v>
      </c>
      <c r="T7" s="183"/>
      <c r="V7" s="280" t="s">
        <v>399</v>
      </c>
      <c r="W7" s="280"/>
      <c r="X7" s="280"/>
    </row>
    <row r="8" spans="2:24" x14ac:dyDescent="0.2">
      <c r="B8" s="182" t="s">
        <v>400</v>
      </c>
      <c r="C8" s="67">
        <v>1</v>
      </c>
      <c r="D8" s="67" t="s">
        <v>401</v>
      </c>
      <c r="E8" s="182" t="s">
        <v>402</v>
      </c>
      <c r="F8" s="67">
        <v>0.5</v>
      </c>
      <c r="G8" s="67" t="s">
        <v>403</v>
      </c>
      <c r="I8" s="181" t="s">
        <v>385</v>
      </c>
      <c r="J8" s="52">
        <v>616</v>
      </c>
      <c r="K8" s="52">
        <v>674</v>
      </c>
      <c r="L8" s="52">
        <v>652</v>
      </c>
      <c r="M8" s="52">
        <v>641</v>
      </c>
      <c r="N8" s="52">
        <v>641</v>
      </c>
      <c r="O8" s="52">
        <v>704</v>
      </c>
      <c r="P8" s="52">
        <v>716</v>
      </c>
      <c r="Q8" s="52">
        <v>682</v>
      </c>
      <c r="R8" s="52">
        <v>745</v>
      </c>
      <c r="S8" s="52">
        <v>690</v>
      </c>
      <c r="T8" s="183">
        <f>SUM(J8:S8)</f>
        <v>6761</v>
      </c>
      <c r="V8" s="282" t="s">
        <v>404</v>
      </c>
      <c r="W8" s="282"/>
      <c r="X8" s="184" t="s">
        <v>405</v>
      </c>
    </row>
    <row r="9" spans="2:24" x14ac:dyDescent="0.2">
      <c r="E9" s="151"/>
      <c r="F9" s="151"/>
      <c r="G9" s="151"/>
      <c r="T9" s="183">
        <f>T4+T6+T8</f>
        <v>20909</v>
      </c>
      <c r="V9" s="282" t="s">
        <v>406</v>
      </c>
      <c r="W9" s="282"/>
      <c r="X9" s="184" t="s">
        <v>407</v>
      </c>
    </row>
    <row r="10" spans="2:24" x14ac:dyDescent="0.2">
      <c r="B10" s="22" t="s">
        <v>408</v>
      </c>
      <c r="C10" s="185">
        <v>55.83</v>
      </c>
      <c r="E10" s="151"/>
      <c r="F10" s="151"/>
      <c r="G10" s="151"/>
      <c r="I10" s="283" t="s">
        <v>409</v>
      </c>
      <c r="J10" s="284"/>
      <c r="K10" s="284"/>
      <c r="L10" s="284"/>
      <c r="M10" s="284"/>
      <c r="N10" s="284"/>
      <c r="O10" s="284"/>
      <c r="P10" s="284"/>
      <c r="Q10" s="284"/>
      <c r="R10" s="284"/>
      <c r="S10" s="285"/>
      <c r="V10" s="52" t="s">
        <v>410</v>
      </c>
      <c r="W10" s="52"/>
      <c r="X10" s="186" t="s">
        <v>411</v>
      </c>
    </row>
    <row r="11" spans="2:24" x14ac:dyDescent="0.2">
      <c r="E11" s="151"/>
      <c r="F11" s="151"/>
      <c r="G11" s="151"/>
      <c r="I11" s="181" t="s">
        <v>97</v>
      </c>
      <c r="J11" s="181">
        <v>1</v>
      </c>
      <c r="K11" s="181">
        <v>2</v>
      </c>
      <c r="L11" s="181">
        <v>3</v>
      </c>
      <c r="M11" s="181">
        <v>4</v>
      </c>
      <c r="N11" s="181">
        <v>5</v>
      </c>
      <c r="O11" s="181">
        <v>6</v>
      </c>
      <c r="P11" s="181">
        <v>7</v>
      </c>
      <c r="Q11" s="181">
        <v>8</v>
      </c>
      <c r="R11" s="181">
        <v>9</v>
      </c>
      <c r="S11" s="181">
        <v>10</v>
      </c>
    </row>
    <row r="12" spans="2:24" x14ac:dyDescent="0.2">
      <c r="B12" s="281" t="s">
        <v>399</v>
      </c>
      <c r="C12" s="281"/>
      <c r="E12" s="281" t="s">
        <v>412</v>
      </c>
      <c r="F12" s="281"/>
      <c r="G12" s="151"/>
      <c r="I12" s="181" t="s">
        <v>385</v>
      </c>
      <c r="J12" s="187">
        <v>495</v>
      </c>
      <c r="K12" s="52">
        <v>459</v>
      </c>
      <c r="L12" s="52">
        <v>408</v>
      </c>
      <c r="M12" s="52">
        <v>467</v>
      </c>
      <c r="N12" s="52">
        <v>411</v>
      </c>
      <c r="O12" s="52">
        <v>485</v>
      </c>
      <c r="P12" s="52">
        <v>440</v>
      </c>
      <c r="Q12" s="52">
        <v>444</v>
      </c>
      <c r="R12" s="52">
        <v>405</v>
      </c>
      <c r="S12" s="52">
        <v>417</v>
      </c>
      <c r="T12">
        <f>SUM(J12:S12)</f>
        <v>4431</v>
      </c>
      <c r="V12" s="280" t="s">
        <v>412</v>
      </c>
      <c r="W12" s="280"/>
      <c r="X12" s="280"/>
    </row>
    <row r="13" spans="2:24" x14ac:dyDescent="0.2">
      <c r="B13" s="188" t="s">
        <v>413</v>
      </c>
      <c r="C13" s="189">
        <f>T25</f>
        <v>6697</v>
      </c>
      <c r="D13" s="22"/>
      <c r="E13" s="188" t="s">
        <v>414</v>
      </c>
      <c r="F13" s="22">
        <f>T17</f>
        <v>13445</v>
      </c>
      <c r="G13" s="151"/>
      <c r="I13" s="181" t="s">
        <v>97</v>
      </c>
      <c r="J13" s="181">
        <v>11</v>
      </c>
      <c r="K13" s="181">
        <v>12</v>
      </c>
      <c r="L13" s="181">
        <v>13</v>
      </c>
      <c r="M13" s="181">
        <v>14</v>
      </c>
      <c r="N13" s="181">
        <v>15</v>
      </c>
      <c r="O13" s="181">
        <v>16</v>
      </c>
      <c r="P13" s="181">
        <v>17</v>
      </c>
      <c r="Q13" s="181">
        <v>18</v>
      </c>
      <c r="R13" s="181">
        <v>19</v>
      </c>
      <c r="S13" s="181">
        <v>20</v>
      </c>
      <c r="V13" s="282" t="s">
        <v>404</v>
      </c>
      <c r="W13" s="282"/>
      <c r="X13" s="184" t="s">
        <v>415</v>
      </c>
    </row>
    <row r="14" spans="2:24" x14ac:dyDescent="0.2">
      <c r="B14" s="188" t="s">
        <v>416</v>
      </c>
      <c r="C14" s="190">
        <f>30.56/16.91</f>
        <v>1.8072146658781785</v>
      </c>
      <c r="E14" s="188" t="s">
        <v>416</v>
      </c>
      <c r="F14" s="190">
        <f>4/35.27</f>
        <v>0.11341083073433512</v>
      </c>
      <c r="I14" s="181" t="s">
        <v>385</v>
      </c>
      <c r="J14" s="52">
        <v>496</v>
      </c>
      <c r="K14" s="52">
        <v>432</v>
      </c>
      <c r="L14" s="52">
        <v>426</v>
      </c>
      <c r="M14" s="52">
        <v>451</v>
      </c>
      <c r="N14" s="52">
        <v>446</v>
      </c>
      <c r="O14" s="52">
        <v>421</v>
      </c>
      <c r="P14" s="52">
        <v>470</v>
      </c>
      <c r="Q14" s="52">
        <v>440</v>
      </c>
      <c r="R14" s="52">
        <v>461</v>
      </c>
      <c r="S14" s="52">
        <v>454</v>
      </c>
      <c r="T14">
        <f>SUM(J14:S14)</f>
        <v>4497</v>
      </c>
      <c r="V14" s="282" t="s">
        <v>406</v>
      </c>
      <c r="W14" s="282"/>
      <c r="X14" s="184" t="s">
        <v>417</v>
      </c>
    </row>
    <row r="15" spans="2:24" x14ac:dyDescent="0.2">
      <c r="B15" s="188" t="s">
        <v>418</v>
      </c>
      <c r="C15" s="190">
        <f>C13*C14</f>
        <v>12102.916617386161</v>
      </c>
      <c r="D15" s="191"/>
      <c r="E15" s="188" t="s">
        <v>418</v>
      </c>
      <c r="F15" s="190">
        <f>F13*F14</f>
        <v>1524.8086192231358</v>
      </c>
      <c r="I15" s="181" t="s">
        <v>97</v>
      </c>
      <c r="J15" s="181">
        <v>21</v>
      </c>
      <c r="K15" s="181">
        <v>22</v>
      </c>
      <c r="L15" s="181">
        <v>23</v>
      </c>
      <c r="M15" s="181">
        <v>24</v>
      </c>
      <c r="N15" s="181">
        <v>25</v>
      </c>
      <c r="O15" s="181">
        <v>26</v>
      </c>
      <c r="P15" s="181">
        <v>27</v>
      </c>
      <c r="Q15" s="181">
        <v>28</v>
      </c>
      <c r="R15" s="181">
        <v>29</v>
      </c>
      <c r="S15" s="181">
        <v>30</v>
      </c>
      <c r="V15" s="52" t="s">
        <v>410</v>
      </c>
      <c r="W15" s="52"/>
      <c r="X15" s="186" t="s">
        <v>411</v>
      </c>
    </row>
    <row r="16" spans="2:24" x14ac:dyDescent="0.2">
      <c r="B16" s="188" t="s">
        <v>419</v>
      </c>
      <c r="C16" s="190">
        <f>C10*(100*S23)</f>
        <v>167490</v>
      </c>
      <c r="E16" s="188" t="s">
        <v>419</v>
      </c>
      <c r="F16" s="190">
        <f>C16</f>
        <v>167490</v>
      </c>
      <c r="I16" s="181" t="s">
        <v>385</v>
      </c>
      <c r="J16" s="52">
        <v>454</v>
      </c>
      <c r="K16" s="52">
        <v>459</v>
      </c>
      <c r="L16" s="52">
        <v>460</v>
      </c>
      <c r="M16" s="52">
        <v>482</v>
      </c>
      <c r="N16" s="52">
        <v>469</v>
      </c>
      <c r="O16" s="52">
        <v>422</v>
      </c>
      <c r="P16" s="52">
        <v>431</v>
      </c>
      <c r="Q16" s="52">
        <v>481</v>
      </c>
      <c r="R16" s="52">
        <v>431</v>
      </c>
      <c r="S16" s="52">
        <v>428</v>
      </c>
      <c r="T16">
        <f>SUM(J16:S16)</f>
        <v>4517</v>
      </c>
    </row>
    <row r="17" spans="2:24" x14ac:dyDescent="0.2">
      <c r="B17" s="188" t="s">
        <v>420</v>
      </c>
      <c r="C17" s="185">
        <f>C16/C15</f>
        <v>13.838813014657655</v>
      </c>
      <c r="E17" s="188" t="s">
        <v>420</v>
      </c>
      <c r="F17" s="185">
        <f>F16/F15</f>
        <v>109.84329304574192</v>
      </c>
      <c r="T17">
        <f>T12+T14+T16</f>
        <v>13445</v>
      </c>
      <c r="V17" s="280" t="s">
        <v>421</v>
      </c>
      <c r="W17" s="280"/>
      <c r="X17" s="280"/>
    </row>
    <row r="18" spans="2:24" x14ac:dyDescent="0.2">
      <c r="B18" s="188" t="s">
        <v>422</v>
      </c>
      <c r="C18" s="185">
        <f>(C10*100*S23)/((100*30)*F7*C14)</f>
        <v>15.446421793193718</v>
      </c>
      <c r="E18" s="188" t="s">
        <v>422</v>
      </c>
      <c r="F18" s="190">
        <f>(100*C10*S15)/((100*30)*C5*F14)</f>
        <v>123.07025625</v>
      </c>
      <c r="I18" s="283" t="s">
        <v>423</v>
      </c>
      <c r="J18" s="284"/>
      <c r="K18" s="284"/>
      <c r="L18" s="284"/>
      <c r="M18" s="284"/>
      <c r="N18" s="284"/>
      <c r="O18" s="284"/>
      <c r="P18" s="284"/>
      <c r="Q18" s="284"/>
      <c r="R18" s="284"/>
      <c r="S18" s="285"/>
      <c r="V18" s="282" t="s">
        <v>404</v>
      </c>
      <c r="W18" s="282"/>
      <c r="X18" s="184" t="s">
        <v>424</v>
      </c>
    </row>
    <row r="19" spans="2:24" x14ac:dyDescent="0.2">
      <c r="I19" s="181" t="s">
        <v>97</v>
      </c>
      <c r="J19" s="181">
        <v>1</v>
      </c>
      <c r="K19" s="181">
        <v>2</v>
      </c>
      <c r="L19" s="181">
        <v>3</v>
      </c>
      <c r="M19" s="181">
        <v>4</v>
      </c>
      <c r="N19" s="181">
        <v>5</v>
      </c>
      <c r="O19" s="181">
        <v>6</v>
      </c>
      <c r="P19" s="181">
        <v>7</v>
      </c>
      <c r="Q19" s="181">
        <v>8</v>
      </c>
      <c r="R19" s="181">
        <v>9</v>
      </c>
      <c r="S19" s="181">
        <v>10</v>
      </c>
      <c r="V19" s="282" t="s">
        <v>406</v>
      </c>
      <c r="W19" s="282"/>
      <c r="X19" s="184" t="s">
        <v>425</v>
      </c>
    </row>
    <row r="20" spans="2:24" x14ac:dyDescent="0.2">
      <c r="B20" s="281" t="s">
        <v>421</v>
      </c>
      <c r="C20" s="281"/>
      <c r="E20" s="281" t="s">
        <v>426</v>
      </c>
      <c r="F20" s="281"/>
      <c r="I20" s="181" t="s">
        <v>385</v>
      </c>
      <c r="J20" s="52">
        <v>229</v>
      </c>
      <c r="K20" s="52">
        <v>237</v>
      </c>
      <c r="L20" s="52">
        <v>237</v>
      </c>
      <c r="M20" s="52">
        <v>219</v>
      </c>
      <c r="N20" s="52">
        <v>205</v>
      </c>
      <c r="O20" s="52">
        <v>234</v>
      </c>
      <c r="P20" s="52">
        <v>240</v>
      </c>
      <c r="Q20" s="52">
        <v>212</v>
      </c>
      <c r="R20" s="52">
        <v>247</v>
      </c>
      <c r="S20" s="52">
        <v>245</v>
      </c>
      <c r="T20">
        <f>SUM(J20:S20)</f>
        <v>2305</v>
      </c>
      <c r="V20" s="52" t="s">
        <v>410</v>
      </c>
      <c r="W20" s="52"/>
      <c r="X20" s="186" t="s">
        <v>411</v>
      </c>
    </row>
    <row r="21" spans="2:24" x14ac:dyDescent="0.2">
      <c r="B21" s="188" t="s">
        <v>427</v>
      </c>
      <c r="C21" s="189">
        <f>T9</f>
        <v>20909</v>
      </c>
      <c r="E21" s="188" t="s">
        <v>428</v>
      </c>
      <c r="F21" s="22">
        <f>T33</f>
        <v>1571</v>
      </c>
      <c r="I21" s="181" t="s">
        <v>97</v>
      </c>
      <c r="J21" s="181">
        <v>11</v>
      </c>
      <c r="K21" s="181">
        <v>12</v>
      </c>
      <c r="L21" s="181">
        <v>13</v>
      </c>
      <c r="M21" s="181">
        <v>14</v>
      </c>
      <c r="N21" s="181">
        <v>15</v>
      </c>
      <c r="O21" s="181">
        <v>16</v>
      </c>
      <c r="P21" s="181">
        <v>17</v>
      </c>
      <c r="Q21" s="181">
        <v>18</v>
      </c>
      <c r="R21" s="181">
        <v>19</v>
      </c>
      <c r="S21" s="181">
        <v>20</v>
      </c>
    </row>
    <row r="22" spans="2:24" x14ac:dyDescent="0.2">
      <c r="B22" s="188" t="s">
        <v>416</v>
      </c>
      <c r="C22" s="190">
        <f>7/17.64</f>
        <v>0.3968253968253968</v>
      </c>
      <c r="E22" s="188" t="s">
        <v>416</v>
      </c>
      <c r="F22" s="190">
        <f>3/0.68</f>
        <v>4.4117647058823524</v>
      </c>
      <c r="I22" s="181" t="s">
        <v>385</v>
      </c>
      <c r="J22" s="52">
        <v>227</v>
      </c>
      <c r="K22" s="52">
        <v>202</v>
      </c>
      <c r="L22" s="52">
        <v>200</v>
      </c>
      <c r="M22" s="52">
        <v>230</v>
      </c>
      <c r="N22" s="52">
        <v>236</v>
      </c>
      <c r="O22" s="52">
        <v>218</v>
      </c>
      <c r="P22" s="52">
        <v>205</v>
      </c>
      <c r="Q22" s="52">
        <v>206</v>
      </c>
      <c r="R22" s="52">
        <v>241</v>
      </c>
      <c r="S22" s="52">
        <v>237</v>
      </c>
      <c r="T22">
        <f>SUM(J22:S22)</f>
        <v>2202</v>
      </c>
      <c r="V22" s="280" t="s">
        <v>426</v>
      </c>
      <c r="W22" s="280"/>
      <c r="X22" s="280"/>
    </row>
    <row r="23" spans="2:24" x14ac:dyDescent="0.2">
      <c r="B23" s="188" t="s">
        <v>418</v>
      </c>
      <c r="C23" s="190">
        <f>C21*C22</f>
        <v>8297.2222222222226</v>
      </c>
      <c r="E23" s="188" t="s">
        <v>418</v>
      </c>
      <c r="F23" s="190">
        <f>F21*F22</f>
        <v>6930.8823529411757</v>
      </c>
      <c r="I23" s="181" t="s">
        <v>97</v>
      </c>
      <c r="J23" s="181">
        <v>21</v>
      </c>
      <c r="K23" s="181">
        <v>22</v>
      </c>
      <c r="L23" s="181">
        <v>23</v>
      </c>
      <c r="M23" s="181">
        <v>24</v>
      </c>
      <c r="N23" s="181">
        <v>25</v>
      </c>
      <c r="O23" s="181">
        <v>26</v>
      </c>
      <c r="P23" s="181">
        <v>27</v>
      </c>
      <c r="Q23" s="181">
        <v>28</v>
      </c>
      <c r="R23" s="181">
        <v>29</v>
      </c>
      <c r="S23" s="181">
        <v>30</v>
      </c>
      <c r="V23" s="282" t="s">
        <v>404</v>
      </c>
      <c r="W23" s="282"/>
      <c r="X23" s="184" t="s">
        <v>429</v>
      </c>
    </row>
    <row r="24" spans="2:24" x14ac:dyDescent="0.2">
      <c r="B24" s="188" t="s">
        <v>419</v>
      </c>
      <c r="C24" s="190">
        <f>C16</f>
        <v>167490</v>
      </c>
      <c r="E24" s="188" t="s">
        <v>419</v>
      </c>
      <c r="F24" s="190">
        <f>C16</f>
        <v>167490</v>
      </c>
      <c r="I24" s="181" t="s">
        <v>385</v>
      </c>
      <c r="J24" s="52">
        <v>238</v>
      </c>
      <c r="K24" s="52">
        <v>224</v>
      </c>
      <c r="L24" s="52">
        <v>205</v>
      </c>
      <c r="M24" s="52">
        <v>205</v>
      </c>
      <c r="N24" s="52">
        <v>201</v>
      </c>
      <c r="O24" s="52">
        <v>230</v>
      </c>
      <c r="P24" s="52">
        <v>222</v>
      </c>
      <c r="Q24" s="52">
        <v>207</v>
      </c>
      <c r="R24" s="52">
        <v>244</v>
      </c>
      <c r="S24" s="52">
        <v>214</v>
      </c>
      <c r="T24">
        <f>SUM(J24:S24)</f>
        <v>2190</v>
      </c>
      <c r="V24" s="282" t="s">
        <v>406</v>
      </c>
      <c r="W24" s="282"/>
      <c r="X24" s="184" t="s">
        <v>430</v>
      </c>
    </row>
    <row r="25" spans="2:24" x14ac:dyDescent="0.2">
      <c r="B25" s="188" t="s">
        <v>420</v>
      </c>
      <c r="C25" s="185">
        <f>C24/C23</f>
        <v>20.186273853364579</v>
      </c>
      <c r="E25" s="188" t="s">
        <v>420</v>
      </c>
      <c r="F25" s="185">
        <f>F24/F23</f>
        <v>24.165754296626357</v>
      </c>
      <c r="T25">
        <f>T20+T22+T24</f>
        <v>6697</v>
      </c>
      <c r="V25" s="52" t="s">
        <v>410</v>
      </c>
      <c r="W25" s="52"/>
      <c r="X25" s="186" t="s">
        <v>411</v>
      </c>
    </row>
    <row r="26" spans="2:24" x14ac:dyDescent="0.2">
      <c r="B26" s="188" t="s">
        <v>422</v>
      </c>
      <c r="C26" s="190">
        <f>(C10*100*S7)/((100*S7)*C4*C22)</f>
        <v>23.448600000000003</v>
      </c>
      <c r="E26" s="188" t="s">
        <v>422</v>
      </c>
      <c r="F26" s="190">
        <f>(C10*100*S31)/((100*S31)*F8*F22)</f>
        <v>25.309600000000003</v>
      </c>
      <c r="I26" s="283" t="s">
        <v>431</v>
      </c>
      <c r="J26" s="284"/>
      <c r="K26" s="284"/>
      <c r="L26" s="284"/>
      <c r="M26" s="284"/>
      <c r="N26" s="284"/>
      <c r="O26" s="284"/>
      <c r="P26" s="284"/>
      <c r="Q26" s="284"/>
      <c r="R26" s="284"/>
      <c r="S26" s="285"/>
    </row>
    <row r="27" spans="2:24" x14ac:dyDescent="0.2">
      <c r="B27"/>
      <c r="I27" s="181" t="s">
        <v>97</v>
      </c>
      <c r="J27" s="181">
        <v>1</v>
      </c>
      <c r="K27" s="181">
        <v>2</v>
      </c>
      <c r="L27" s="181">
        <v>3</v>
      </c>
      <c r="M27" s="181">
        <v>4</v>
      </c>
      <c r="N27" s="181">
        <v>5</v>
      </c>
      <c r="O27" s="181">
        <v>6</v>
      </c>
      <c r="P27" s="181">
        <v>7</v>
      </c>
      <c r="Q27" s="181">
        <v>8</v>
      </c>
      <c r="R27" s="181">
        <v>9</v>
      </c>
      <c r="S27" s="181">
        <v>10</v>
      </c>
    </row>
    <row r="28" spans="2:24" x14ac:dyDescent="0.2">
      <c r="I28" s="181" t="s">
        <v>385</v>
      </c>
      <c r="J28" s="52">
        <v>55</v>
      </c>
      <c r="K28" s="52">
        <v>56</v>
      </c>
      <c r="L28" s="52">
        <v>57</v>
      </c>
      <c r="M28" s="52">
        <v>58</v>
      </c>
      <c r="N28" s="52">
        <v>59</v>
      </c>
      <c r="O28" s="52">
        <v>53</v>
      </c>
      <c r="P28" s="52">
        <v>53</v>
      </c>
      <c r="Q28" s="52">
        <v>54</v>
      </c>
      <c r="R28" s="52">
        <v>58</v>
      </c>
      <c r="S28" s="52">
        <v>53</v>
      </c>
      <c r="T28">
        <f>SUM(J28:S28)</f>
        <v>556</v>
      </c>
    </row>
    <row r="29" spans="2:24" x14ac:dyDescent="0.2">
      <c r="I29" s="181" t="s">
        <v>97</v>
      </c>
      <c r="J29" s="181">
        <v>11</v>
      </c>
      <c r="K29" s="181">
        <v>12</v>
      </c>
      <c r="L29" s="181">
        <v>13</v>
      </c>
      <c r="M29" s="181">
        <v>14</v>
      </c>
      <c r="N29" s="181">
        <v>15</v>
      </c>
      <c r="O29" s="181">
        <v>16</v>
      </c>
      <c r="P29" s="181">
        <v>17</v>
      </c>
      <c r="Q29" s="181">
        <v>18</v>
      </c>
      <c r="R29" s="181">
        <v>19</v>
      </c>
      <c r="S29" s="181">
        <v>20</v>
      </c>
    </row>
    <row r="30" spans="2:24" x14ac:dyDescent="0.2">
      <c r="I30" s="181" t="s">
        <v>385</v>
      </c>
      <c r="J30" s="52">
        <v>59</v>
      </c>
      <c r="K30" s="52">
        <v>54</v>
      </c>
      <c r="L30" s="52">
        <v>47</v>
      </c>
      <c r="M30" s="52">
        <v>50</v>
      </c>
      <c r="N30" s="52">
        <v>58</v>
      </c>
      <c r="O30" s="52">
        <v>50</v>
      </c>
      <c r="P30" s="52">
        <v>53</v>
      </c>
      <c r="Q30" s="52">
        <v>50</v>
      </c>
      <c r="R30" s="52">
        <v>45</v>
      </c>
      <c r="S30" s="52">
        <v>46</v>
      </c>
      <c r="T30">
        <f>SUM(J30:S30)</f>
        <v>512</v>
      </c>
    </row>
    <row r="31" spans="2:24" x14ac:dyDescent="0.2">
      <c r="I31" s="181" t="s">
        <v>97</v>
      </c>
      <c r="J31" s="181">
        <v>21</v>
      </c>
      <c r="K31" s="181">
        <v>22</v>
      </c>
      <c r="L31" s="181">
        <v>23</v>
      </c>
      <c r="M31" s="181">
        <v>24</v>
      </c>
      <c r="N31" s="181">
        <v>25</v>
      </c>
      <c r="O31" s="181">
        <v>26</v>
      </c>
      <c r="P31" s="181">
        <v>27</v>
      </c>
      <c r="Q31" s="181">
        <v>28</v>
      </c>
      <c r="R31" s="181">
        <v>29</v>
      </c>
      <c r="S31" s="181">
        <v>30</v>
      </c>
    </row>
    <row r="32" spans="2:24" x14ac:dyDescent="0.2">
      <c r="I32" s="181" t="s">
        <v>385</v>
      </c>
      <c r="J32" s="52">
        <v>50</v>
      </c>
      <c r="K32" s="52">
        <v>45</v>
      </c>
      <c r="L32" s="52">
        <v>55</v>
      </c>
      <c r="M32" s="52">
        <v>53</v>
      </c>
      <c r="N32" s="52">
        <v>45</v>
      </c>
      <c r="O32" s="52">
        <v>49</v>
      </c>
      <c r="P32" s="52">
        <v>48</v>
      </c>
      <c r="Q32" s="52">
        <v>48</v>
      </c>
      <c r="R32" s="52">
        <v>58</v>
      </c>
      <c r="S32" s="52">
        <v>52</v>
      </c>
      <c r="T32">
        <f>SUM(J32:S32)</f>
        <v>503</v>
      </c>
    </row>
    <row r="33" spans="2:20" x14ac:dyDescent="0.2">
      <c r="T33">
        <f>T28+T30+T32</f>
        <v>1571</v>
      </c>
    </row>
    <row r="35" spans="2:20" x14ac:dyDescent="0.2">
      <c r="B35"/>
      <c r="C35"/>
    </row>
    <row r="36" spans="2:20" x14ac:dyDescent="0.2">
      <c r="B36"/>
      <c r="C36"/>
    </row>
    <row r="37" spans="2:20" x14ac:dyDescent="0.2">
      <c r="B37"/>
      <c r="C37"/>
    </row>
    <row r="38" spans="2:20" x14ac:dyDescent="0.2">
      <c r="B38"/>
      <c r="C38"/>
    </row>
    <row r="39" spans="2:20" x14ac:dyDescent="0.2">
      <c r="B39"/>
      <c r="C39"/>
    </row>
    <row r="40" spans="2:20" x14ac:dyDescent="0.2">
      <c r="B40"/>
      <c r="C40"/>
    </row>
    <row r="41" spans="2:20" x14ac:dyDescent="0.2">
      <c r="B41"/>
      <c r="C41"/>
    </row>
    <row r="42" spans="2:20" x14ac:dyDescent="0.2">
      <c r="B42"/>
      <c r="C42"/>
    </row>
    <row r="43" spans="2:20" x14ac:dyDescent="0.2">
      <c r="B43"/>
      <c r="C43"/>
    </row>
    <row r="44" spans="2:20" x14ac:dyDescent="0.2">
      <c r="B44"/>
      <c r="C44"/>
    </row>
    <row r="45" spans="2:20" x14ac:dyDescent="0.2">
      <c r="B45"/>
      <c r="C45"/>
    </row>
    <row r="46" spans="2:20" x14ac:dyDescent="0.2">
      <c r="B46"/>
      <c r="C46"/>
    </row>
    <row r="47" spans="2:20" x14ac:dyDescent="0.2">
      <c r="B47"/>
      <c r="C47"/>
    </row>
  </sheetData>
  <mergeCells count="21">
    <mergeCell ref="I10:S10"/>
    <mergeCell ref="B2:G2"/>
    <mergeCell ref="I2:S2"/>
    <mergeCell ref="V7:X7"/>
    <mergeCell ref="V8:W8"/>
    <mergeCell ref="V9:W9"/>
    <mergeCell ref="B20:C20"/>
    <mergeCell ref="E20:F20"/>
    <mergeCell ref="V22:X22"/>
    <mergeCell ref="B12:C12"/>
    <mergeCell ref="E12:F12"/>
    <mergeCell ref="V12:X12"/>
    <mergeCell ref="V13:W13"/>
    <mergeCell ref="V14:W14"/>
    <mergeCell ref="V17:X17"/>
    <mergeCell ref="V23:W23"/>
    <mergeCell ref="V24:W24"/>
    <mergeCell ref="I26:S26"/>
    <mergeCell ref="I18:S18"/>
    <mergeCell ref="V18:W18"/>
    <mergeCell ref="V19:W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858A6-19EA-604F-BAB6-E056CCE8F77D}">
  <dimension ref="A5:V41"/>
  <sheetViews>
    <sheetView zoomScale="110" zoomScaleNormal="110" workbookViewId="0">
      <selection activeCell="V27" sqref="V27"/>
    </sheetView>
  </sheetViews>
  <sheetFormatPr baseColWidth="10" defaultRowHeight="16" x14ac:dyDescent="0.2"/>
  <cols>
    <col min="3" max="3" width="22" customWidth="1"/>
    <col min="9" max="9" width="12.6640625" customWidth="1"/>
    <col min="13" max="13" width="11.33203125" customWidth="1"/>
    <col min="15" max="15" width="18" customWidth="1"/>
    <col min="21" max="21" width="40.1640625" customWidth="1"/>
    <col min="22" max="22" width="42.1640625" bestFit="1" customWidth="1"/>
  </cols>
  <sheetData>
    <row r="5" spans="9:22" ht="17" thickBot="1" x14ac:dyDescent="0.25"/>
    <row r="6" spans="9:22" x14ac:dyDescent="0.2">
      <c r="I6" s="287" t="s">
        <v>432</v>
      </c>
      <c r="J6" s="288"/>
      <c r="K6" s="288"/>
      <c r="L6" s="289"/>
      <c r="M6" s="192"/>
      <c r="O6" s="287" t="s">
        <v>433</v>
      </c>
      <c r="P6" s="288"/>
      <c r="Q6" s="288"/>
      <c r="R6" s="289"/>
      <c r="U6" s="193" t="s">
        <v>434</v>
      </c>
      <c r="V6" s="184" t="s">
        <v>435</v>
      </c>
    </row>
    <row r="7" spans="9:22" x14ac:dyDescent="0.2">
      <c r="I7" s="194"/>
      <c r="J7" s="290" t="s">
        <v>436</v>
      </c>
      <c r="K7" s="291"/>
      <c r="L7" s="292"/>
      <c r="M7" s="192"/>
      <c r="O7" s="195" t="s">
        <v>437</v>
      </c>
      <c r="P7" s="196">
        <v>10</v>
      </c>
      <c r="Q7" s="196">
        <v>15</v>
      </c>
      <c r="R7" s="197">
        <v>20</v>
      </c>
      <c r="U7" s="193" t="s">
        <v>438</v>
      </c>
      <c r="V7" s="184" t="s">
        <v>439</v>
      </c>
    </row>
    <row r="8" spans="9:22" x14ac:dyDescent="0.2">
      <c r="I8" s="195"/>
      <c r="J8" s="196">
        <v>10</v>
      </c>
      <c r="K8" s="196">
        <v>15</v>
      </c>
      <c r="L8" s="197">
        <v>20</v>
      </c>
      <c r="M8" s="192"/>
      <c r="O8" s="195" t="s">
        <v>440</v>
      </c>
      <c r="P8" s="196" t="s">
        <v>441</v>
      </c>
      <c r="Q8" s="196" t="s">
        <v>442</v>
      </c>
      <c r="R8" s="197" t="s">
        <v>443</v>
      </c>
      <c r="S8" s="198">
        <f>5+10+3</f>
        <v>18</v>
      </c>
      <c r="U8" s="52" t="s">
        <v>444</v>
      </c>
      <c r="V8" s="184" t="s">
        <v>445</v>
      </c>
    </row>
    <row r="9" spans="9:22" x14ac:dyDescent="0.2">
      <c r="I9" s="195" t="s">
        <v>446</v>
      </c>
      <c r="J9" s="196" t="s">
        <v>447</v>
      </c>
      <c r="K9" s="196" t="s">
        <v>448</v>
      </c>
      <c r="L9" s="197" t="s">
        <v>449</v>
      </c>
      <c r="M9" s="198">
        <f>15+4+1</f>
        <v>20</v>
      </c>
      <c r="O9" s="195" t="s">
        <v>437</v>
      </c>
      <c r="P9" s="67">
        <v>65</v>
      </c>
      <c r="Q9" s="67">
        <v>180</v>
      </c>
      <c r="R9" s="104">
        <v>310</v>
      </c>
      <c r="U9" s="193" t="s">
        <v>450</v>
      </c>
      <c r="V9" s="186" t="s">
        <v>451</v>
      </c>
    </row>
    <row r="10" spans="9:22" ht="17" thickBot="1" x14ac:dyDescent="0.25">
      <c r="I10" s="195" t="s">
        <v>211</v>
      </c>
      <c r="J10" s="196" t="s">
        <v>443</v>
      </c>
      <c r="K10" s="196" t="s">
        <v>452</v>
      </c>
      <c r="L10" s="197" t="s">
        <v>441</v>
      </c>
      <c r="M10" s="198">
        <f>3+9+5</f>
        <v>17</v>
      </c>
      <c r="O10" s="199" t="s">
        <v>453</v>
      </c>
      <c r="P10" s="200" t="s">
        <v>454</v>
      </c>
      <c r="Q10" s="200" t="s">
        <v>455</v>
      </c>
      <c r="R10" s="201" t="s">
        <v>456</v>
      </c>
      <c r="S10" s="198">
        <f>18+12+7</f>
        <v>37</v>
      </c>
      <c r="U10" s="193" t="s">
        <v>457</v>
      </c>
      <c r="V10" s="186" t="s">
        <v>458</v>
      </c>
    </row>
    <row r="11" spans="9:22" ht="17" thickBot="1" x14ac:dyDescent="0.25">
      <c r="I11" s="199" t="s">
        <v>459</v>
      </c>
      <c r="J11" s="200" t="s">
        <v>449</v>
      </c>
      <c r="K11" s="200" t="s">
        <v>460</v>
      </c>
      <c r="L11" s="201" t="s">
        <v>461</v>
      </c>
      <c r="M11" s="198">
        <f>1+4+4</f>
        <v>9</v>
      </c>
    </row>
    <row r="12" spans="9:22" x14ac:dyDescent="0.2">
      <c r="I12" s="192"/>
      <c r="J12" s="192"/>
      <c r="K12" s="192"/>
      <c r="L12" s="192"/>
      <c r="M12" s="192"/>
    </row>
    <row r="13" spans="9:22" x14ac:dyDescent="0.2">
      <c r="I13" s="192" t="s">
        <v>462</v>
      </c>
      <c r="J13" s="192"/>
      <c r="K13" s="192"/>
      <c r="L13" s="192"/>
      <c r="M13" s="198"/>
      <c r="O13" s="192" t="s">
        <v>463</v>
      </c>
      <c r="P13" s="192"/>
      <c r="Q13" s="192"/>
      <c r="R13" s="192"/>
      <c r="S13" s="198"/>
    </row>
    <row r="14" spans="9:22" x14ac:dyDescent="0.2">
      <c r="I14" s="196" t="s">
        <v>154</v>
      </c>
      <c r="J14" s="196">
        <v>10</v>
      </c>
      <c r="K14" s="196">
        <v>15</v>
      </c>
      <c r="L14" s="196">
        <v>20</v>
      </c>
      <c r="M14" s="196" t="s">
        <v>464</v>
      </c>
      <c r="O14" s="196" t="s">
        <v>154</v>
      </c>
      <c r="P14" s="196">
        <v>5</v>
      </c>
      <c r="Q14" s="196">
        <v>10</v>
      </c>
      <c r="R14" s="196">
        <v>15</v>
      </c>
      <c r="S14" s="196" t="s">
        <v>464</v>
      </c>
    </row>
    <row r="15" spans="9:22" x14ac:dyDescent="0.2">
      <c r="I15" s="202" t="s">
        <v>446</v>
      </c>
      <c r="J15" s="203">
        <f>15/(15+4+1)</f>
        <v>0.75</v>
      </c>
      <c r="K15" s="203">
        <f>4/(15+4+1)</f>
        <v>0.2</v>
      </c>
      <c r="L15" s="203">
        <f>1/(15+4+1)</f>
        <v>0.05</v>
      </c>
      <c r="M15" s="203">
        <f>SUMPRODUCT($J$14:$L$14,J15:L15)</f>
        <v>11.5</v>
      </c>
      <c r="O15" s="202" t="s">
        <v>440</v>
      </c>
      <c r="P15" s="203">
        <f>5/(5+10+3)</f>
        <v>0.27777777777777779</v>
      </c>
      <c r="Q15" s="203">
        <f>10/(5+10+3)</f>
        <v>0.55555555555555558</v>
      </c>
      <c r="R15" s="203">
        <f>3/(5+10+3)</f>
        <v>0.16666666666666666</v>
      </c>
      <c r="S15" s="203">
        <f>SUMPRODUCT($P$14:$R$14,P15:R15)</f>
        <v>9.4444444444444446</v>
      </c>
    </row>
    <row r="16" spans="9:22" x14ac:dyDescent="0.2">
      <c r="I16" s="202" t="s">
        <v>211</v>
      </c>
      <c r="J16" s="203">
        <f>3/(3+9+5)</f>
        <v>0.17647058823529413</v>
      </c>
      <c r="K16" s="203">
        <f>9/(3+9+5)</f>
        <v>0.52941176470588236</v>
      </c>
      <c r="L16" s="203">
        <f>5/(3+9+5)</f>
        <v>0.29411764705882354</v>
      </c>
      <c r="M16" s="203">
        <f t="shared" ref="M16:M17" si="0">SUMPRODUCT($J$14:$L$14,J16:L16)</f>
        <v>15.588235294117649</v>
      </c>
      <c r="O16" s="196" t="s">
        <v>154</v>
      </c>
      <c r="P16" s="196">
        <v>65</v>
      </c>
      <c r="Q16" s="196">
        <v>180</v>
      </c>
      <c r="R16" s="196">
        <v>310</v>
      </c>
      <c r="S16" s="196" t="s">
        <v>464</v>
      </c>
    </row>
    <row r="17" spans="2:19" x14ac:dyDescent="0.2">
      <c r="I17" s="202" t="s">
        <v>459</v>
      </c>
      <c r="J17" s="203">
        <f>1/(1+2+6)</f>
        <v>0.1111111111111111</v>
      </c>
      <c r="K17" s="203">
        <f>2/(1+2+6)</f>
        <v>0.22222222222222221</v>
      </c>
      <c r="L17" s="203">
        <f>6/(1+2+6)</f>
        <v>0.66666666666666663</v>
      </c>
      <c r="M17" s="203">
        <f t="shared" si="0"/>
        <v>17.777777777777779</v>
      </c>
      <c r="O17" s="202" t="s">
        <v>453</v>
      </c>
      <c r="P17" s="203">
        <f>18/(18+12+7)</f>
        <v>0.48648648648648651</v>
      </c>
      <c r="Q17" s="203">
        <f>12/(18+12+7)</f>
        <v>0.32432432432432434</v>
      </c>
      <c r="R17" s="203">
        <f>7/(18+12+7)</f>
        <v>0.1891891891891892</v>
      </c>
      <c r="S17" s="203">
        <f>SUMPRODUCT($P$16:$R$16,P17:R17)</f>
        <v>148.64864864864865</v>
      </c>
    </row>
    <row r="19" spans="2:19" x14ac:dyDescent="0.2">
      <c r="I19" s="192" t="s">
        <v>465</v>
      </c>
      <c r="J19" s="192"/>
      <c r="K19" s="192"/>
      <c r="L19" s="192"/>
      <c r="O19" s="192" t="s">
        <v>465</v>
      </c>
      <c r="P19" s="192"/>
    </row>
    <row r="20" spans="2:19" x14ac:dyDescent="0.2">
      <c r="I20" s="202" t="s">
        <v>446</v>
      </c>
      <c r="J20" s="203">
        <f>M9/($M$9+$M$10+$M$11)</f>
        <v>0.43478260869565216</v>
      </c>
      <c r="K20" s="192"/>
      <c r="L20" s="192"/>
      <c r="O20" s="202" t="s">
        <v>440</v>
      </c>
      <c r="P20" s="203">
        <f>S8/(S8+S10)</f>
        <v>0.32727272727272727</v>
      </c>
    </row>
    <row r="21" spans="2:19" x14ac:dyDescent="0.2">
      <c r="I21" s="202" t="s">
        <v>211</v>
      </c>
      <c r="J21" s="203">
        <f t="shared" ref="J21:J22" si="1">M10/($M$9+$M$10+$M$11)</f>
        <v>0.36956521739130432</v>
      </c>
      <c r="K21" s="192"/>
      <c r="L21" s="192"/>
      <c r="O21" s="202" t="s">
        <v>453</v>
      </c>
      <c r="P21" s="203">
        <f>S10/(S8+S10)</f>
        <v>0.67272727272727273</v>
      </c>
    </row>
    <row r="22" spans="2:19" x14ac:dyDescent="0.2">
      <c r="I22" s="202" t="s">
        <v>459</v>
      </c>
      <c r="J22" s="203">
        <f t="shared" si="1"/>
        <v>0.19565217391304349</v>
      </c>
      <c r="K22" s="192"/>
      <c r="L22" s="192"/>
    </row>
    <row r="23" spans="2:19" x14ac:dyDescent="0.2">
      <c r="O23" t="s">
        <v>466</v>
      </c>
      <c r="P23" s="185">
        <f>(S15*P20)+(S17*P21)</f>
        <v>103.09090909090909</v>
      </c>
    </row>
    <row r="24" spans="2:19" ht="17" thickBot="1" x14ac:dyDescent="0.25">
      <c r="I24" t="s">
        <v>464</v>
      </c>
      <c r="J24" s="185">
        <f>(M15*J20)+(M16*J21)+(M17*J22)</f>
        <v>14.239130434782609</v>
      </c>
    </row>
    <row r="25" spans="2:19" x14ac:dyDescent="0.2">
      <c r="O25" s="287" t="s">
        <v>467</v>
      </c>
      <c r="P25" s="288"/>
      <c r="Q25" s="288"/>
      <c r="R25" s="289"/>
    </row>
    <row r="26" spans="2:19" x14ac:dyDescent="0.2">
      <c r="B26" t="s">
        <v>468</v>
      </c>
      <c r="D26">
        <f>26*7*60</f>
        <v>10920</v>
      </c>
      <c r="I26" t="s">
        <v>469</v>
      </c>
      <c r="K26" s="22">
        <v>5</v>
      </c>
      <c r="O26" s="195" t="s">
        <v>437</v>
      </c>
      <c r="P26" s="196">
        <v>70</v>
      </c>
      <c r="Q26" s="196">
        <v>210</v>
      </c>
      <c r="R26" s="197">
        <v>350</v>
      </c>
    </row>
    <row r="27" spans="2:19" x14ac:dyDescent="0.2">
      <c r="O27" s="195" t="s">
        <v>470</v>
      </c>
      <c r="P27" s="196" t="s">
        <v>471</v>
      </c>
      <c r="Q27" s="196" t="s">
        <v>456</v>
      </c>
      <c r="R27" s="197" t="s">
        <v>460</v>
      </c>
      <c r="S27" s="198">
        <f>16+7+2</f>
        <v>25</v>
      </c>
    </row>
    <row r="28" spans="2:19" ht="17" thickBot="1" x14ac:dyDescent="0.25">
      <c r="B28" t="s">
        <v>472</v>
      </c>
      <c r="D28">
        <v>200</v>
      </c>
      <c r="O28" s="199" t="s">
        <v>473</v>
      </c>
      <c r="P28" s="204">
        <f>16/S27</f>
        <v>0.64</v>
      </c>
      <c r="Q28" s="204">
        <f>7/S27</f>
        <v>0.28000000000000003</v>
      </c>
      <c r="R28" s="113">
        <f>2/S27</f>
        <v>0.08</v>
      </c>
    </row>
    <row r="29" spans="2:19" x14ac:dyDescent="0.2">
      <c r="B29" t="s">
        <v>474</v>
      </c>
      <c r="D29" s="142">
        <f>(M9+M10+M11)/(M9+M10+M11+S8+S10+S27)</f>
        <v>0.36507936507936506</v>
      </c>
    </row>
    <row r="30" spans="2:19" x14ac:dyDescent="0.2">
      <c r="B30" t="s">
        <v>475</v>
      </c>
      <c r="D30" s="142">
        <f>(S8+S10+S27)/(M9+M10+M11+S8+S10+S27)</f>
        <v>0.63492063492063489</v>
      </c>
      <c r="O30" s="192" t="s">
        <v>476</v>
      </c>
      <c r="P30" s="22">
        <f>SUMPRODUCT(P26:R26,P28:R28)</f>
        <v>131.60000000000002</v>
      </c>
      <c r="Q30" s="22"/>
      <c r="R30" s="22"/>
    </row>
    <row r="32" spans="2:19" x14ac:dyDescent="0.2">
      <c r="B32" t="s">
        <v>477</v>
      </c>
      <c r="D32">
        <v>10</v>
      </c>
      <c r="O32" t="s">
        <v>478</v>
      </c>
    </row>
    <row r="33" spans="1:17" x14ac:dyDescent="0.2">
      <c r="B33" t="s">
        <v>479</v>
      </c>
      <c r="D33">
        <v>5</v>
      </c>
      <c r="E33" s="183"/>
      <c r="L33" s="185"/>
      <c r="O33" t="s">
        <v>103</v>
      </c>
      <c r="P33">
        <f>S8+S10</f>
        <v>55</v>
      </c>
      <c r="Q33" s="142">
        <f>P33/P35</f>
        <v>0.6875</v>
      </c>
    </row>
    <row r="34" spans="1:17" x14ac:dyDescent="0.2">
      <c r="A34" s="205" t="s">
        <v>20</v>
      </c>
      <c r="B34" t="s">
        <v>434</v>
      </c>
      <c r="E34" s="183">
        <f>((D26-(E35*K26))/J24)*D32</f>
        <v>5957.1755725190833</v>
      </c>
      <c r="F34" t="s">
        <v>480</v>
      </c>
      <c r="L34" s="185"/>
      <c r="O34" t="s">
        <v>481</v>
      </c>
      <c r="P34">
        <f>S27</f>
        <v>25</v>
      </c>
      <c r="Q34" s="142">
        <f>P34/P35</f>
        <v>0.3125</v>
      </c>
    </row>
    <row r="35" spans="1:17" x14ac:dyDescent="0.2">
      <c r="A35" s="205" t="s">
        <v>30</v>
      </c>
      <c r="B35" t="s">
        <v>438</v>
      </c>
      <c r="E35" s="183">
        <f>(D26/P37)*D33</f>
        <v>487.5</v>
      </c>
      <c r="F35" t="s">
        <v>480</v>
      </c>
      <c r="P35">
        <f>P33+P34</f>
        <v>80</v>
      </c>
    </row>
    <row r="36" spans="1:17" x14ac:dyDescent="0.2">
      <c r="A36" s="205" t="s">
        <v>31</v>
      </c>
      <c r="B36" t="s">
        <v>444</v>
      </c>
      <c r="E36" s="183">
        <f>E34+E35</f>
        <v>6444.6755725190833</v>
      </c>
      <c r="F36" t="s">
        <v>480</v>
      </c>
    </row>
    <row r="37" spans="1:17" x14ac:dyDescent="0.2">
      <c r="A37" s="205" t="s">
        <v>46</v>
      </c>
      <c r="B37" t="s">
        <v>482</v>
      </c>
      <c r="C37">
        <v>3000</v>
      </c>
      <c r="O37" t="s">
        <v>483</v>
      </c>
      <c r="P37">
        <f>(P23*Q33)+(P30*Q34)</f>
        <v>112</v>
      </c>
      <c r="Q37" t="s">
        <v>484</v>
      </c>
    </row>
    <row r="38" spans="1:17" x14ac:dyDescent="0.2">
      <c r="A38" s="205"/>
      <c r="B38" t="s">
        <v>485</v>
      </c>
      <c r="D38" s="183">
        <f>C37*D29</f>
        <v>1095.2380952380952</v>
      </c>
    </row>
    <row r="39" spans="1:17" x14ac:dyDescent="0.2">
      <c r="B39" t="s">
        <v>486</v>
      </c>
      <c r="D39" s="183">
        <f>C37*D30</f>
        <v>1904.7619047619046</v>
      </c>
    </row>
    <row r="40" spans="1:17" x14ac:dyDescent="0.2">
      <c r="B40" t="s">
        <v>487</v>
      </c>
    </row>
    <row r="41" spans="1:17" x14ac:dyDescent="0.2">
      <c r="A41" s="205" t="s">
        <v>488</v>
      </c>
      <c r="B41" t="s">
        <v>489</v>
      </c>
    </row>
  </sheetData>
  <mergeCells count="4">
    <mergeCell ref="I6:L6"/>
    <mergeCell ref="O6:R6"/>
    <mergeCell ref="J7:L7"/>
    <mergeCell ref="O25:R2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30160-D703-6E45-BC1C-4FE847014A64}">
  <dimension ref="B1:T57"/>
  <sheetViews>
    <sheetView zoomScaleNormal="100" workbookViewId="0">
      <selection activeCell="G10" sqref="G10"/>
    </sheetView>
  </sheetViews>
  <sheetFormatPr baseColWidth="10" defaultRowHeight="16" x14ac:dyDescent="0.2"/>
  <cols>
    <col min="1" max="1" width="10.83203125" style="192"/>
    <col min="2" max="2" width="25.5" style="192" customWidth="1"/>
    <col min="3" max="3" width="51.1640625" style="192" customWidth="1"/>
    <col min="4" max="4" width="15.6640625" style="192" customWidth="1"/>
    <col min="5" max="5" width="15.83203125" style="192" customWidth="1"/>
    <col min="6" max="6" width="10.83203125" style="192"/>
    <col min="7" max="8" width="15.5" style="192" customWidth="1"/>
    <col min="9" max="9" width="18.6640625" style="192" customWidth="1"/>
    <col min="10" max="10" width="13" style="192" customWidth="1"/>
    <col min="11" max="11" width="4" style="192" customWidth="1"/>
    <col min="12" max="12" width="15.33203125" style="192" customWidth="1"/>
    <col min="13" max="13" width="16" style="192" customWidth="1"/>
    <col min="14" max="14" width="18.83203125" style="192" customWidth="1"/>
    <col min="15" max="15" width="14.33203125" style="192" customWidth="1"/>
    <col min="16" max="16" width="4.5" style="192" customWidth="1"/>
    <col min="17" max="17" width="18" style="192" customWidth="1"/>
    <col min="18" max="18" width="17.33203125" style="192" customWidth="1"/>
    <col min="19" max="19" width="20" style="192" customWidth="1"/>
    <col min="20" max="20" width="16.1640625" style="192" customWidth="1"/>
    <col min="21" max="16384" width="10.83203125" style="192"/>
  </cols>
  <sheetData>
    <row r="1" spans="2:19" ht="17" thickBot="1" x14ac:dyDescent="0.25"/>
    <row r="2" spans="2:19" x14ac:dyDescent="0.2">
      <c r="B2" s="293" t="s">
        <v>490</v>
      </c>
      <c r="C2" s="293"/>
      <c r="D2" s="293"/>
      <c r="E2" s="293"/>
      <c r="G2" s="294" t="s">
        <v>491</v>
      </c>
      <c r="H2" s="295"/>
      <c r="I2" s="206" t="s">
        <v>492</v>
      </c>
    </row>
    <row r="3" spans="2:19" x14ac:dyDescent="0.2">
      <c r="B3" s="207"/>
      <c r="C3" s="290" t="s">
        <v>193</v>
      </c>
      <c r="D3" s="291"/>
      <c r="E3" s="296"/>
      <c r="G3" s="208" t="s">
        <v>493</v>
      </c>
      <c r="H3" s="209">
        <v>0.33</v>
      </c>
      <c r="I3" s="210">
        <v>7.0000000000000007E-2</v>
      </c>
    </row>
    <row r="4" spans="2:19" x14ac:dyDescent="0.2">
      <c r="B4" s="202" t="s">
        <v>494</v>
      </c>
      <c r="C4" s="196" t="s">
        <v>495</v>
      </c>
      <c r="D4" s="196" t="s">
        <v>496</v>
      </c>
      <c r="E4" s="196" t="s">
        <v>497</v>
      </c>
      <c r="G4" s="208" t="s">
        <v>498</v>
      </c>
      <c r="H4" s="209">
        <v>0.32</v>
      </c>
      <c r="I4" s="210">
        <v>0.4</v>
      </c>
    </row>
    <row r="5" spans="2:19" x14ac:dyDescent="0.2">
      <c r="B5" s="202" t="s">
        <v>499</v>
      </c>
      <c r="C5" s="196" t="s">
        <v>441</v>
      </c>
      <c r="D5" s="196" t="s">
        <v>443</v>
      </c>
      <c r="E5" s="196" t="s">
        <v>460</v>
      </c>
      <c r="F5" s="198">
        <f>5+3+2</f>
        <v>10</v>
      </c>
      <c r="G5" s="208" t="s">
        <v>500</v>
      </c>
      <c r="H5" s="209">
        <v>0.2</v>
      </c>
      <c r="I5" s="210">
        <v>0.08</v>
      </c>
    </row>
    <row r="6" spans="2:19" ht="17" thickBot="1" x14ac:dyDescent="0.25">
      <c r="B6" s="202" t="s">
        <v>501</v>
      </c>
      <c r="C6" s="196" t="s">
        <v>460</v>
      </c>
      <c r="D6" s="196" t="s">
        <v>456</v>
      </c>
      <c r="E6" s="196" t="s">
        <v>448</v>
      </c>
      <c r="F6" s="198">
        <f>2+7+4</f>
        <v>13</v>
      </c>
      <c r="G6" s="211" t="s">
        <v>392</v>
      </c>
      <c r="H6" s="212">
        <v>0.15</v>
      </c>
      <c r="I6" s="213">
        <v>0.05</v>
      </c>
    </row>
    <row r="7" spans="2:19" x14ac:dyDescent="0.2">
      <c r="B7" s="202" t="s">
        <v>502</v>
      </c>
      <c r="C7" s="196" t="s">
        <v>449</v>
      </c>
      <c r="D7" s="196" t="s">
        <v>448</v>
      </c>
      <c r="E7" s="196" t="s">
        <v>448</v>
      </c>
      <c r="F7" s="198">
        <f>1+4+4</f>
        <v>9</v>
      </c>
    </row>
    <row r="8" spans="2:19" x14ac:dyDescent="0.2">
      <c r="C8" s="198"/>
      <c r="D8" s="198"/>
      <c r="E8" s="198"/>
      <c r="F8" s="198"/>
    </row>
    <row r="9" spans="2:19" x14ac:dyDescent="0.2">
      <c r="B9" s="192" t="s">
        <v>503</v>
      </c>
      <c r="F9" s="198"/>
    </row>
    <row r="10" spans="2:19" x14ac:dyDescent="0.2">
      <c r="B10" s="202" t="s">
        <v>494</v>
      </c>
      <c r="C10" s="196" t="s">
        <v>504</v>
      </c>
      <c r="D10" s="196" t="s">
        <v>505</v>
      </c>
      <c r="E10" s="196" t="s">
        <v>506</v>
      </c>
    </row>
    <row r="11" spans="2:19" x14ac:dyDescent="0.2">
      <c r="B11" s="202" t="s">
        <v>499</v>
      </c>
      <c r="C11" s="203">
        <f>5/(5+3+2)</f>
        <v>0.5</v>
      </c>
      <c r="D11" s="203">
        <f>3/(5+3+2)</f>
        <v>0.3</v>
      </c>
      <c r="E11" s="203">
        <f>2/(5+3+2)</f>
        <v>0.2</v>
      </c>
    </row>
    <row r="12" spans="2:19" x14ac:dyDescent="0.2">
      <c r="B12" s="202" t="s">
        <v>501</v>
      </c>
      <c r="C12" s="203">
        <f>2/(2+7+4)</f>
        <v>0.15384615384615385</v>
      </c>
      <c r="D12" s="203">
        <f>7/(2+7+4)</f>
        <v>0.53846153846153844</v>
      </c>
      <c r="E12" s="203">
        <f>4/(2+7+4)</f>
        <v>0.30769230769230771</v>
      </c>
    </row>
    <row r="13" spans="2:19" x14ac:dyDescent="0.2">
      <c r="B13" s="202" t="s">
        <v>502</v>
      </c>
      <c r="C13" s="203">
        <f>1/(1+4+4)</f>
        <v>0.1111111111111111</v>
      </c>
      <c r="D13" s="203">
        <f>4/(1+4+4)</f>
        <v>0.44444444444444442</v>
      </c>
      <c r="E13" s="203">
        <f>4/(1+4+4)</f>
        <v>0.44444444444444442</v>
      </c>
    </row>
    <row r="15" spans="2:19" x14ac:dyDescent="0.2">
      <c r="B15" s="192" t="s">
        <v>507</v>
      </c>
    </row>
    <row r="16" spans="2:19" x14ac:dyDescent="0.2">
      <c r="B16" s="202" t="s">
        <v>499</v>
      </c>
      <c r="C16" s="203">
        <f>F5/($F$5+$F$6+$F$7)</f>
        <v>0.3125</v>
      </c>
      <c r="G16" s="198" t="s">
        <v>508</v>
      </c>
      <c r="H16" s="198">
        <v>90</v>
      </c>
      <c r="I16" s="198" t="s">
        <v>509</v>
      </c>
      <c r="L16" s="198" t="s">
        <v>508</v>
      </c>
      <c r="M16" s="198">
        <v>120</v>
      </c>
      <c r="N16" s="198" t="s">
        <v>509</v>
      </c>
      <c r="Q16" s="198" t="s">
        <v>508</v>
      </c>
      <c r="R16" s="198">
        <v>150</v>
      </c>
      <c r="S16" s="198" t="s">
        <v>509</v>
      </c>
    </row>
    <row r="17" spans="2:20" x14ac:dyDescent="0.2">
      <c r="B17" s="202" t="s">
        <v>501</v>
      </c>
      <c r="C17" s="203">
        <f>F6/($F$5+$F$6+$F$7)</f>
        <v>0.40625</v>
      </c>
      <c r="G17" s="192" t="s">
        <v>510</v>
      </c>
      <c r="H17" s="192" t="s">
        <v>511</v>
      </c>
      <c r="I17" s="192" t="s">
        <v>512</v>
      </c>
      <c r="L17" s="192" t="s">
        <v>510</v>
      </c>
      <c r="M17" s="192" t="s">
        <v>511</v>
      </c>
      <c r="N17" s="192" t="s">
        <v>512</v>
      </c>
      <c r="Q17" s="192" t="s">
        <v>510</v>
      </c>
      <c r="R17" s="192" t="s">
        <v>511</v>
      </c>
      <c r="S17" s="192" t="s">
        <v>512</v>
      </c>
    </row>
    <row r="18" spans="2:20" x14ac:dyDescent="0.2">
      <c r="B18" s="202" t="s">
        <v>502</v>
      </c>
      <c r="C18" s="203">
        <f>F7/($F$5+$F$6+$F$7)</f>
        <v>0.28125</v>
      </c>
      <c r="G18" s="192" t="s">
        <v>513</v>
      </c>
      <c r="H18" s="192">
        <f>$H$16*$C$22</f>
        <v>4950</v>
      </c>
      <c r="I18" s="214">
        <f>((H18/(1-$C$28)))/(1-$C$27)</f>
        <v>5848.9897199574625</v>
      </c>
      <c r="L18" s="192" t="s">
        <v>513</v>
      </c>
      <c r="M18" s="192">
        <f>$M$16*$C$22</f>
        <v>6600</v>
      </c>
      <c r="N18" s="214">
        <f>((M18/(1-$C$28)))/(1-$C$27)</f>
        <v>7798.6529599432824</v>
      </c>
      <c r="Q18" s="192" t="s">
        <v>513</v>
      </c>
      <c r="R18" s="192">
        <f>$R$16*$C$22</f>
        <v>8250</v>
      </c>
      <c r="S18" s="214">
        <f>((R18/(1-$C$28)))/(1-$C$27)</f>
        <v>9748.3161999291042</v>
      </c>
    </row>
    <row r="19" spans="2:20" x14ac:dyDescent="0.2">
      <c r="G19" s="192" t="s">
        <v>514</v>
      </c>
      <c r="H19" s="192">
        <f>$H$16*$C$23</f>
        <v>5850</v>
      </c>
      <c r="I19" s="214">
        <f t="shared" ref="I19:I20" si="0">((H19/(1-$C$28)))/(1-$C$27)</f>
        <v>6912.442396313364</v>
      </c>
      <c r="L19" s="192" t="s">
        <v>514</v>
      </c>
      <c r="M19" s="192">
        <f>$M$16*$C$23</f>
        <v>7800</v>
      </c>
      <c r="N19" s="214">
        <f t="shared" ref="N19:N20" si="1">((M19/(1-$C$28)))/(1-$C$27)</f>
        <v>9216.5898617511521</v>
      </c>
      <c r="Q19" s="192" t="s">
        <v>514</v>
      </c>
      <c r="R19" s="192">
        <f>$R$16*$C$23</f>
        <v>9750</v>
      </c>
      <c r="S19" s="214">
        <f t="shared" ref="S19:S20" si="2">((R19/(1-$C$28)))/(1-$C$27)</f>
        <v>11520.737327188939</v>
      </c>
    </row>
    <row r="20" spans="2:20" x14ac:dyDescent="0.2">
      <c r="B20" s="297" t="s">
        <v>515</v>
      </c>
      <c r="C20" s="297"/>
      <c r="D20" s="297"/>
      <c r="G20" s="192" t="s">
        <v>516</v>
      </c>
      <c r="H20" s="192">
        <f>$H$16*$C$24</f>
        <v>6750</v>
      </c>
      <c r="I20" s="214">
        <f t="shared" si="0"/>
        <v>7975.8950726692665</v>
      </c>
      <c r="L20" s="192" t="s">
        <v>516</v>
      </c>
      <c r="M20" s="192">
        <f>$M$16*$C$24</f>
        <v>9000</v>
      </c>
      <c r="N20" s="214">
        <f t="shared" si="1"/>
        <v>10634.526763559023</v>
      </c>
      <c r="Q20" s="192" t="s">
        <v>516</v>
      </c>
      <c r="R20" s="192">
        <f>$R$16*$C$24</f>
        <v>11250</v>
      </c>
      <c r="S20" s="214">
        <f t="shared" si="2"/>
        <v>13293.158454448778</v>
      </c>
    </row>
    <row r="21" spans="2:20" x14ac:dyDescent="0.2">
      <c r="B21" s="202" t="s">
        <v>494</v>
      </c>
      <c r="C21" s="196" t="s">
        <v>517</v>
      </c>
      <c r="D21" s="196" t="s">
        <v>518</v>
      </c>
      <c r="G21" s="192" t="s">
        <v>519</v>
      </c>
      <c r="L21" s="192" t="s">
        <v>519</v>
      </c>
      <c r="Q21" s="192" t="s">
        <v>519</v>
      </c>
    </row>
    <row r="22" spans="2:20" x14ac:dyDescent="0.2">
      <c r="B22" s="202" t="s">
        <v>499</v>
      </c>
      <c r="C22" s="196">
        <v>55</v>
      </c>
      <c r="D22" s="215">
        <v>40</v>
      </c>
      <c r="H22" s="216" t="s">
        <v>513</v>
      </c>
      <c r="I22" s="216" t="s">
        <v>514</v>
      </c>
      <c r="J22" s="216" t="s">
        <v>516</v>
      </c>
      <c r="M22" s="216" t="s">
        <v>513</v>
      </c>
      <c r="N22" s="216" t="s">
        <v>514</v>
      </c>
      <c r="O22" s="216" t="s">
        <v>516</v>
      </c>
      <c r="R22" s="216" t="s">
        <v>513</v>
      </c>
      <c r="S22" s="216" t="s">
        <v>514</v>
      </c>
      <c r="T22" s="216" t="s">
        <v>516</v>
      </c>
    </row>
    <row r="23" spans="2:20" x14ac:dyDescent="0.2">
      <c r="B23" s="202" t="s">
        <v>501</v>
      </c>
      <c r="C23" s="196">
        <v>65</v>
      </c>
      <c r="D23" s="215">
        <v>45</v>
      </c>
      <c r="G23" s="192" t="s">
        <v>520</v>
      </c>
      <c r="H23" s="217">
        <f>I18*$H$3*$I$3</f>
        <v>135.1116625310174</v>
      </c>
      <c r="I23" s="217">
        <f>I19*$H$3*$I$3</f>
        <v>159.67741935483872</v>
      </c>
      <c r="J23" s="217">
        <f>I20*$H$3*$I$3</f>
        <v>184.24317617866009</v>
      </c>
      <c r="L23" s="192" t="s">
        <v>520</v>
      </c>
      <c r="M23" s="217">
        <f>N18*$H$3*$I$3</f>
        <v>180.14888337468983</v>
      </c>
      <c r="N23" s="217">
        <f>N19*$H$3*$I$3</f>
        <v>212.90322580645164</v>
      </c>
      <c r="O23" s="217">
        <f>N20*$H$3*$I$3</f>
        <v>245.65756823821346</v>
      </c>
      <c r="Q23" s="192" t="s">
        <v>520</v>
      </c>
      <c r="R23" s="217">
        <f>S18*$H$3*$I$3</f>
        <v>225.18610421836232</v>
      </c>
      <c r="S23" s="217">
        <f>S19*$H$3*$I$3</f>
        <v>266.12903225806451</v>
      </c>
      <c r="T23" s="217">
        <f>S20*$H$3*$I$3</f>
        <v>307.07196029776679</v>
      </c>
    </row>
    <row r="24" spans="2:20" x14ac:dyDescent="0.2">
      <c r="B24" s="202" t="s">
        <v>502</v>
      </c>
      <c r="C24" s="196">
        <v>75</v>
      </c>
      <c r="D24" s="215">
        <v>55</v>
      </c>
      <c r="G24" s="192" t="s">
        <v>498</v>
      </c>
      <c r="H24" s="217">
        <f>I18*$H$4*$I$4</f>
        <v>748.67068415455526</v>
      </c>
      <c r="I24" s="217">
        <f>I19*$H$4*$I$4</f>
        <v>884.79262672811058</v>
      </c>
      <c r="J24" s="217">
        <f>I20*$H$4*$I$4</f>
        <v>1020.9145693016661</v>
      </c>
      <c r="L24" s="192" t="s">
        <v>498</v>
      </c>
      <c r="M24" s="217">
        <f>N18*$H$4*$I$4</f>
        <v>998.2275788727402</v>
      </c>
      <c r="N24" s="217">
        <f>N19*$H$4*$I$4</f>
        <v>1179.7235023041474</v>
      </c>
      <c r="O24" s="217">
        <f>N20*$H$4*$I$4</f>
        <v>1361.219425735555</v>
      </c>
      <c r="Q24" s="192" t="s">
        <v>498</v>
      </c>
      <c r="R24" s="217">
        <f>S18*$H$4*$I$4</f>
        <v>1247.7844735909255</v>
      </c>
      <c r="S24" s="217">
        <f>S19*$H$4*$I$4</f>
        <v>1474.6543778801843</v>
      </c>
      <c r="T24" s="217">
        <f>S20*$H$4*$I$4</f>
        <v>1701.5242821694437</v>
      </c>
    </row>
    <row r="25" spans="2:20" x14ac:dyDescent="0.2">
      <c r="G25" s="192" t="s">
        <v>521</v>
      </c>
      <c r="H25" s="217">
        <f>I18*$H$5*$I$5</f>
        <v>93.583835519319408</v>
      </c>
      <c r="I25" s="217">
        <f>I19*$H$5*$I$5</f>
        <v>110.59907834101384</v>
      </c>
      <c r="J25" s="217">
        <f>I20*$H$5*$I$5</f>
        <v>127.61432116270828</v>
      </c>
      <c r="L25" s="192" t="s">
        <v>521</v>
      </c>
      <c r="M25" s="217">
        <f>N18*$H$5*$I$5</f>
        <v>124.77844735909254</v>
      </c>
      <c r="N25" s="217">
        <f>N19*$H$5*$I$5</f>
        <v>147.46543778801845</v>
      </c>
      <c r="O25" s="217">
        <f>N20*$H$5*$I$5</f>
        <v>170.15242821694434</v>
      </c>
      <c r="Q25" s="192" t="s">
        <v>521</v>
      </c>
      <c r="R25" s="217">
        <f>S18*$H$5*$I$5</f>
        <v>155.97305919886568</v>
      </c>
      <c r="S25" s="217">
        <f>S19*$H$5*$I$5</f>
        <v>184.33179723502303</v>
      </c>
      <c r="T25" s="217">
        <f>S20*$H$5*$I$5</f>
        <v>212.69053527118047</v>
      </c>
    </row>
    <row r="26" spans="2:20" x14ac:dyDescent="0.2">
      <c r="B26" s="192" t="s">
        <v>522</v>
      </c>
      <c r="G26" s="192" t="s">
        <v>392</v>
      </c>
      <c r="H26" s="217">
        <f>I18*$H$6*$I$6</f>
        <v>43.867422899680975</v>
      </c>
      <c r="I26" s="217">
        <f>I19*$H$6*$I$6</f>
        <v>51.843317972350228</v>
      </c>
      <c r="J26" s="217">
        <f>I20*$H$6*$I$6</f>
        <v>59.819213045019502</v>
      </c>
      <c r="L26" s="192" t="s">
        <v>392</v>
      </c>
      <c r="M26" s="217">
        <f>N18*$H$6*$I$6</f>
        <v>58.489897199574614</v>
      </c>
      <c r="N26" s="217">
        <f>N19*$H$6*$I$6</f>
        <v>69.124423963133651</v>
      </c>
      <c r="O26" s="217">
        <f>N20*$H$6*$I$6</f>
        <v>79.758950726692674</v>
      </c>
      <c r="Q26" s="192" t="s">
        <v>392</v>
      </c>
      <c r="R26" s="217">
        <f>S18*$H$6*$I$6</f>
        <v>73.112371499468281</v>
      </c>
      <c r="S26" s="217">
        <f>S19*$H$6*$I$6</f>
        <v>86.405529953917039</v>
      </c>
      <c r="T26" s="217">
        <f>S20*$H$6*$I$6</f>
        <v>99.69868840836584</v>
      </c>
    </row>
    <row r="27" spans="2:20" x14ac:dyDescent="0.2">
      <c r="B27" s="192" t="s">
        <v>523</v>
      </c>
      <c r="C27" s="218">
        <v>0.09</v>
      </c>
      <c r="G27" s="192" t="s">
        <v>524</v>
      </c>
      <c r="H27" s="217">
        <f>$C$31*I18</f>
        <v>877.34845799361938</v>
      </c>
      <c r="I27" s="217">
        <f>I19*$C$31</f>
        <v>1036.8663594470045</v>
      </c>
      <c r="J27" s="217">
        <f>I20*$C$31</f>
        <v>1196.38426090039</v>
      </c>
      <c r="L27" s="192" t="s">
        <v>524</v>
      </c>
      <c r="M27" s="217">
        <f>$C$31*N18</f>
        <v>1169.7979439914923</v>
      </c>
      <c r="N27" s="217">
        <f>N19*$C$31</f>
        <v>1382.4884792626729</v>
      </c>
      <c r="O27" s="217">
        <f>N20*$C$31</f>
        <v>1595.1790145338534</v>
      </c>
      <c r="Q27" s="192" t="s">
        <v>524</v>
      </c>
      <c r="R27" s="217">
        <f>$C$31*S18</f>
        <v>1462.2474299893656</v>
      </c>
      <c r="S27" s="217">
        <f>S19*$C$31</f>
        <v>1728.1105990783408</v>
      </c>
      <c r="T27" s="217">
        <f>S20*$C$31</f>
        <v>1993.9737681673166</v>
      </c>
    </row>
    <row r="28" spans="2:20" x14ac:dyDescent="0.2">
      <c r="B28" s="192" t="s">
        <v>525</v>
      </c>
      <c r="C28" s="218">
        <v>7.0000000000000007E-2</v>
      </c>
      <c r="G28" s="192" t="s">
        <v>0</v>
      </c>
      <c r="H28" s="217">
        <f>(H16*$C$33)*$C$32</f>
        <v>72</v>
      </c>
      <c r="I28" s="217">
        <f>(H16*$C$33)*$C$32</f>
        <v>72</v>
      </c>
      <c r="J28" s="217">
        <f>(H16*$C$33)*$C$32</f>
        <v>72</v>
      </c>
      <c r="L28" s="192" t="s">
        <v>0</v>
      </c>
      <c r="M28" s="217">
        <f>(M16*$C$33)*$C$32</f>
        <v>96</v>
      </c>
      <c r="N28" s="217">
        <f>(M16*$C$33)*$C$32</f>
        <v>96</v>
      </c>
      <c r="O28" s="217">
        <f>(M16*$C$33)*$C$32</f>
        <v>96</v>
      </c>
      <c r="Q28" s="192" t="s">
        <v>0</v>
      </c>
      <c r="R28" s="217">
        <f>(R16*$C$33)*$C$32</f>
        <v>120</v>
      </c>
      <c r="S28" s="217">
        <f>(R16*$C$33)*$C$32</f>
        <v>120</v>
      </c>
      <c r="T28" s="217">
        <f>(R16*$C$33)*$C$32</f>
        <v>120</v>
      </c>
    </row>
    <row r="29" spans="2:20" x14ac:dyDescent="0.2">
      <c r="G29" s="192" t="s">
        <v>526</v>
      </c>
      <c r="H29" s="217">
        <f>SUM(H23:H28)</f>
        <v>1970.5820630981925</v>
      </c>
      <c r="I29" s="217">
        <f>SUM(I23:I28)</f>
        <v>2315.7788018433175</v>
      </c>
      <c r="J29" s="217">
        <f>SUM(J23:J28)</f>
        <v>2660.9755405884443</v>
      </c>
      <c r="L29" s="192" t="s">
        <v>526</v>
      </c>
      <c r="M29" s="217">
        <f>SUM(M23:M28)</f>
        <v>2627.4427507975897</v>
      </c>
      <c r="N29" s="217">
        <f>SUM(N23:N28)</f>
        <v>3087.705069124424</v>
      </c>
      <c r="O29" s="217">
        <f>SUM(O23:O28)</f>
        <v>3547.9673874512591</v>
      </c>
      <c r="Q29" s="192" t="s">
        <v>526</v>
      </c>
      <c r="R29" s="217">
        <f>SUM(R23:R28)</f>
        <v>3284.3034384969874</v>
      </c>
      <c r="S29" s="217">
        <f>SUM(S23:S28)</f>
        <v>3859.6313364055295</v>
      </c>
      <c r="T29" s="217">
        <f>SUM(T23:T28)</f>
        <v>4434.959234314073</v>
      </c>
    </row>
    <row r="30" spans="2:20" x14ac:dyDescent="0.2">
      <c r="B30" s="192" t="s">
        <v>527</v>
      </c>
      <c r="G30" s="192" t="s">
        <v>528</v>
      </c>
      <c r="H30" s="217">
        <f>H16*$D$22</f>
        <v>3600</v>
      </c>
      <c r="I30" s="217">
        <f>H16*$D$23</f>
        <v>4050</v>
      </c>
      <c r="J30" s="217">
        <f>H16*$D$24</f>
        <v>4950</v>
      </c>
      <c r="L30" s="192" t="s">
        <v>528</v>
      </c>
      <c r="M30" s="217">
        <f>M16*$D$22</f>
        <v>4800</v>
      </c>
      <c r="N30" s="217">
        <f>M16*$D$23</f>
        <v>5400</v>
      </c>
      <c r="O30" s="217">
        <f>M16*$D$24</f>
        <v>6600</v>
      </c>
      <c r="Q30" s="192" t="s">
        <v>528</v>
      </c>
      <c r="R30" s="217">
        <f>R16*$D$22</f>
        <v>6000</v>
      </c>
      <c r="S30" s="217">
        <f>R16*$D$23</f>
        <v>6750</v>
      </c>
      <c r="T30" s="217">
        <f>R16*$D$24</f>
        <v>8250</v>
      </c>
    </row>
    <row r="31" spans="2:20" x14ac:dyDescent="0.2">
      <c r="B31" s="192" t="s">
        <v>524</v>
      </c>
      <c r="C31" s="217">
        <v>0.15</v>
      </c>
      <c r="D31" s="192" t="s">
        <v>529</v>
      </c>
      <c r="G31" s="192" t="s">
        <v>530</v>
      </c>
      <c r="H31" s="217">
        <f>H30-H29</f>
        <v>1629.4179369018075</v>
      </c>
      <c r="I31" s="217">
        <f t="shared" ref="I31:J31" si="3">I30-I29</f>
        <v>1734.2211981566825</v>
      </c>
      <c r="J31" s="217">
        <f t="shared" si="3"/>
        <v>2289.0244594115557</v>
      </c>
      <c r="L31" s="192" t="s">
        <v>530</v>
      </c>
      <c r="M31" s="217">
        <f>M30-M29</f>
        <v>2172.5572492024103</v>
      </c>
      <c r="N31" s="217">
        <f t="shared" ref="N31:O31" si="4">N30-N29</f>
        <v>2312.294930875576</v>
      </c>
      <c r="O31" s="217">
        <f t="shared" si="4"/>
        <v>3052.0326125487409</v>
      </c>
      <c r="Q31" s="192" t="s">
        <v>530</v>
      </c>
      <c r="R31" s="217">
        <f>R30-R29</f>
        <v>2715.6965615030126</v>
      </c>
      <c r="S31" s="217">
        <f t="shared" ref="S31:T31" si="5">S30-S29</f>
        <v>2890.3686635944705</v>
      </c>
      <c r="T31" s="217">
        <f t="shared" si="5"/>
        <v>3815.040765685927</v>
      </c>
    </row>
    <row r="32" spans="2:20" x14ac:dyDescent="0.2">
      <c r="B32" s="192" t="s">
        <v>0</v>
      </c>
      <c r="C32" s="217">
        <v>4</v>
      </c>
      <c r="D32" s="192" t="s">
        <v>531</v>
      </c>
    </row>
    <row r="33" spans="2:13" x14ac:dyDescent="0.2">
      <c r="B33" s="192" t="s">
        <v>532</v>
      </c>
      <c r="C33" s="198">
        <v>0.2</v>
      </c>
      <c r="D33" s="192" t="s">
        <v>533</v>
      </c>
      <c r="G33" s="192" t="s">
        <v>534</v>
      </c>
      <c r="H33" s="219"/>
    </row>
    <row r="34" spans="2:13" x14ac:dyDescent="0.2">
      <c r="G34" s="192" t="s">
        <v>535</v>
      </c>
      <c r="H34" s="219"/>
    </row>
    <row r="35" spans="2:13" x14ac:dyDescent="0.2">
      <c r="B35" s="192" t="s">
        <v>536</v>
      </c>
      <c r="G35" s="192" t="s">
        <v>513</v>
      </c>
      <c r="H35" s="220">
        <f>H30/H29</f>
        <v>1.8268713936936991</v>
      </c>
      <c r="I35" s="192" t="s">
        <v>537</v>
      </c>
    </row>
    <row r="36" spans="2:13" x14ac:dyDescent="0.2">
      <c r="B36" s="192" t="s">
        <v>538</v>
      </c>
      <c r="D36" s="192">
        <v>140</v>
      </c>
      <c r="E36" s="192" t="s">
        <v>539</v>
      </c>
      <c r="G36" s="192" t="s">
        <v>514</v>
      </c>
      <c r="H36" s="220">
        <f>I30/I29</f>
        <v>1.7488716956802066</v>
      </c>
      <c r="I36" s="192" t="s">
        <v>537</v>
      </c>
    </row>
    <row r="37" spans="2:13" x14ac:dyDescent="0.2">
      <c r="G37" s="192" t="s">
        <v>516</v>
      </c>
      <c r="H37" s="220">
        <f>J30/J29</f>
        <v>1.8602200300215326</v>
      </c>
      <c r="I37" s="192" t="s">
        <v>537</v>
      </c>
    </row>
    <row r="39" spans="2:13" x14ac:dyDescent="0.2">
      <c r="B39" s="192" t="s">
        <v>540</v>
      </c>
      <c r="G39" s="192" t="s">
        <v>541</v>
      </c>
    </row>
    <row r="40" spans="2:13" x14ac:dyDescent="0.2">
      <c r="B40" s="192" t="s">
        <v>513</v>
      </c>
      <c r="C40" s="214">
        <f>D36*C16</f>
        <v>43.75</v>
      </c>
    </row>
    <row r="41" spans="2:13" x14ac:dyDescent="0.2">
      <c r="B41" s="192" t="s">
        <v>514</v>
      </c>
      <c r="C41" s="214">
        <f>D36*C17</f>
        <v>56.875</v>
      </c>
      <c r="G41" s="192" t="s">
        <v>513</v>
      </c>
      <c r="H41" s="221">
        <f>((C40*C11)*H31)+((C40*D11)*M31)+((C40*E11)*R31)</f>
        <v>87920.676178660025</v>
      </c>
      <c r="M41" s="222"/>
    </row>
    <row r="42" spans="2:13" x14ac:dyDescent="0.2">
      <c r="B42" s="192" t="s">
        <v>516</v>
      </c>
      <c r="C42" s="214">
        <f>D36*C18</f>
        <v>39.375</v>
      </c>
      <c r="G42" s="192" t="s">
        <v>514</v>
      </c>
      <c r="H42" s="221">
        <f>((C41*C12)*I31)+((C41*D12)*N31)+((C41*E12)*S31)</f>
        <v>136569.91935483873</v>
      </c>
      <c r="M42" s="222"/>
    </row>
    <row r="43" spans="2:13" x14ac:dyDescent="0.2">
      <c r="G43" s="192" t="s">
        <v>516</v>
      </c>
      <c r="H43" s="221">
        <f>((C42*C13)*J31)+((C42*D13)*O31)+((C42*E13)*T31)</f>
        <v>130188.26612903226</v>
      </c>
      <c r="M43" s="222"/>
    </row>
    <row r="44" spans="2:13" x14ac:dyDescent="0.2">
      <c r="G44" s="192" t="s">
        <v>542</v>
      </c>
      <c r="H44" s="221">
        <f>H41+H42+H43</f>
        <v>354678.86166253098</v>
      </c>
    </row>
    <row r="48" spans="2:13" x14ac:dyDescent="0.2">
      <c r="B48" s="298" t="s">
        <v>543</v>
      </c>
      <c r="C48" s="298"/>
    </row>
    <row r="49" spans="2:3" x14ac:dyDescent="0.2">
      <c r="B49" s="223" t="s">
        <v>513</v>
      </c>
      <c r="C49" s="224" t="s">
        <v>544</v>
      </c>
    </row>
    <row r="50" spans="2:3" x14ac:dyDescent="0.2">
      <c r="B50" s="223" t="s">
        <v>514</v>
      </c>
      <c r="C50" s="224" t="s">
        <v>545</v>
      </c>
    </row>
    <row r="51" spans="2:3" x14ac:dyDescent="0.2">
      <c r="B51" s="223" t="s">
        <v>516</v>
      </c>
      <c r="C51" s="224" t="s">
        <v>546</v>
      </c>
    </row>
    <row r="53" spans="2:3" x14ac:dyDescent="0.2">
      <c r="B53" s="298" t="s">
        <v>547</v>
      </c>
      <c r="C53" s="298"/>
    </row>
    <row r="54" spans="2:3" x14ac:dyDescent="0.2">
      <c r="B54" s="223" t="s">
        <v>513</v>
      </c>
      <c r="C54" s="224" t="s">
        <v>548</v>
      </c>
    </row>
    <row r="55" spans="2:3" x14ac:dyDescent="0.2">
      <c r="B55" s="223" t="s">
        <v>514</v>
      </c>
      <c r="C55" s="224" t="s">
        <v>549</v>
      </c>
    </row>
    <row r="56" spans="2:3" x14ac:dyDescent="0.2">
      <c r="B56" s="223" t="s">
        <v>516</v>
      </c>
      <c r="C56" s="224" t="s">
        <v>550</v>
      </c>
    </row>
    <row r="57" spans="2:3" x14ac:dyDescent="0.2">
      <c r="B57" s="223" t="s">
        <v>551</v>
      </c>
      <c r="C57" s="224" t="s">
        <v>552</v>
      </c>
    </row>
  </sheetData>
  <mergeCells count="6">
    <mergeCell ref="B53:C53"/>
    <mergeCell ref="B2:E2"/>
    <mergeCell ref="G2:H2"/>
    <mergeCell ref="C3:E3"/>
    <mergeCell ref="B20:D20"/>
    <mergeCell ref="B48:C4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1E1C7-7BD5-C549-B2C2-F5AF69CE1BC3}">
  <dimension ref="B2:U35"/>
  <sheetViews>
    <sheetView zoomScale="70" zoomScaleNormal="70" workbookViewId="0">
      <selection activeCell="P13" sqref="P13"/>
    </sheetView>
  </sheetViews>
  <sheetFormatPr baseColWidth="10" defaultRowHeight="16" x14ac:dyDescent="0.2"/>
  <cols>
    <col min="1" max="1" width="10.83203125" style="192"/>
    <col min="2" max="2" width="23.5" style="192" customWidth="1"/>
    <col min="3" max="3" width="14.33203125" style="192" customWidth="1"/>
    <col min="4" max="4" width="14.6640625" style="192" customWidth="1"/>
    <col min="5" max="5" width="15.83203125" style="192" customWidth="1"/>
    <col min="6" max="6" width="17.83203125" style="192" bestFit="1" customWidth="1"/>
    <col min="7" max="7" width="20.33203125" style="192" customWidth="1"/>
    <col min="8" max="8" width="15" style="192" customWidth="1"/>
    <col min="9" max="12" width="10.83203125" style="192"/>
    <col min="13" max="13" width="17.6640625" style="192" customWidth="1"/>
    <col min="14" max="19" width="10.83203125" style="192"/>
    <col min="20" max="20" width="46.1640625" style="192" customWidth="1"/>
    <col min="21" max="21" width="36.33203125" style="192" customWidth="1"/>
    <col min="22" max="16384" width="10.83203125" style="192"/>
  </cols>
  <sheetData>
    <row r="2" spans="2:21" ht="26" x14ac:dyDescent="0.3">
      <c r="B2" s="299" t="s">
        <v>553</v>
      </c>
      <c r="C2" s="299"/>
      <c r="D2" s="299"/>
      <c r="E2" s="299"/>
      <c r="G2" s="225" t="s">
        <v>554</v>
      </c>
      <c r="M2" s="225" t="s">
        <v>555</v>
      </c>
    </row>
    <row r="3" spans="2:21" ht="26" x14ac:dyDescent="0.3">
      <c r="B3" s="226"/>
      <c r="C3" s="300" t="s">
        <v>556</v>
      </c>
      <c r="D3" s="301"/>
      <c r="E3" s="302"/>
      <c r="G3" s="225" t="s">
        <v>557</v>
      </c>
      <c r="H3" s="225"/>
      <c r="I3" s="225"/>
      <c r="J3" s="225"/>
      <c r="M3" s="225" t="s">
        <v>558</v>
      </c>
      <c r="N3" s="225"/>
      <c r="O3" s="225"/>
    </row>
    <row r="4" spans="2:21" ht="26" x14ac:dyDescent="0.3">
      <c r="B4" s="227" t="s">
        <v>559</v>
      </c>
      <c r="C4" s="228">
        <v>5</v>
      </c>
      <c r="D4" s="228">
        <v>10</v>
      </c>
      <c r="E4" s="228">
        <v>15</v>
      </c>
      <c r="G4" s="225" t="s">
        <v>560</v>
      </c>
      <c r="H4" s="229">
        <v>40</v>
      </c>
      <c r="I4" s="225" t="s">
        <v>561</v>
      </c>
      <c r="J4" s="225"/>
      <c r="M4" s="225" t="s">
        <v>562</v>
      </c>
      <c r="N4" s="229">
        <v>15</v>
      </c>
      <c r="O4" s="225" t="s">
        <v>563</v>
      </c>
    </row>
    <row r="5" spans="2:21" ht="26" x14ac:dyDescent="0.3">
      <c r="B5" s="227" t="s">
        <v>564</v>
      </c>
      <c r="C5" s="228" t="s">
        <v>441</v>
      </c>
      <c r="D5" s="228" t="s">
        <v>443</v>
      </c>
      <c r="E5" s="228" t="s">
        <v>460</v>
      </c>
      <c r="F5" s="229">
        <f>5+3+2</f>
        <v>10</v>
      </c>
      <c r="G5" s="225" t="s">
        <v>565</v>
      </c>
      <c r="H5" s="229">
        <v>20</v>
      </c>
      <c r="I5" s="225" t="s">
        <v>561</v>
      </c>
      <c r="J5" s="225"/>
      <c r="M5" s="225" t="s">
        <v>566</v>
      </c>
      <c r="N5" s="229"/>
      <c r="O5" s="225"/>
      <c r="Q5" s="229">
        <v>3</v>
      </c>
      <c r="R5" s="225" t="s">
        <v>567</v>
      </c>
    </row>
    <row r="6" spans="2:21" ht="26" x14ac:dyDescent="0.3">
      <c r="B6" s="227" t="s">
        <v>568</v>
      </c>
      <c r="C6" s="228" t="s">
        <v>460</v>
      </c>
      <c r="D6" s="228" t="s">
        <v>456</v>
      </c>
      <c r="E6" s="228" t="s">
        <v>448</v>
      </c>
      <c r="F6" s="229">
        <f>2+7+4</f>
        <v>13</v>
      </c>
      <c r="G6" s="225" t="s">
        <v>569</v>
      </c>
      <c r="H6" s="229">
        <f>C22*2</f>
        <v>6</v>
      </c>
      <c r="I6" s="225" t="s">
        <v>570</v>
      </c>
      <c r="J6" s="225"/>
      <c r="M6" s="225" t="s">
        <v>571</v>
      </c>
      <c r="N6" s="229"/>
      <c r="O6" s="225"/>
      <c r="Q6" s="229">
        <v>0.5</v>
      </c>
      <c r="R6" s="225" t="s">
        <v>572</v>
      </c>
    </row>
    <row r="7" spans="2:21" ht="26" x14ac:dyDescent="0.3">
      <c r="B7" s="227" t="s">
        <v>573</v>
      </c>
      <c r="C7" s="228" t="s">
        <v>449</v>
      </c>
      <c r="D7" s="228" t="s">
        <v>448</v>
      </c>
      <c r="E7" s="228" t="s">
        <v>448</v>
      </c>
      <c r="F7" s="229">
        <f>1+4+4</f>
        <v>9</v>
      </c>
      <c r="G7" s="225"/>
      <c r="H7" s="225"/>
      <c r="I7" s="225"/>
      <c r="J7" s="225"/>
      <c r="M7" s="225" t="s">
        <v>574</v>
      </c>
      <c r="P7" s="229">
        <v>5</v>
      </c>
      <c r="Q7" s="225" t="s">
        <v>570</v>
      </c>
    </row>
    <row r="9" spans="2:21" ht="26" customHeight="1" x14ac:dyDescent="0.3">
      <c r="B9" s="225" t="s">
        <v>575</v>
      </c>
      <c r="C9" s="225"/>
      <c r="D9" s="225"/>
      <c r="E9" s="225"/>
      <c r="F9" s="229"/>
    </row>
    <row r="10" spans="2:21" ht="26" customHeight="1" x14ac:dyDescent="0.3">
      <c r="B10" s="228" t="s">
        <v>154</v>
      </c>
      <c r="C10" s="228">
        <v>5</v>
      </c>
      <c r="D10" s="228">
        <v>10</v>
      </c>
      <c r="E10" s="228">
        <v>15</v>
      </c>
      <c r="F10" s="228" t="s">
        <v>464</v>
      </c>
      <c r="H10" s="230" t="s">
        <v>576</v>
      </c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</row>
    <row r="11" spans="2:21" ht="26" x14ac:dyDescent="0.3">
      <c r="B11" s="228" t="s">
        <v>564</v>
      </c>
      <c r="C11" s="231">
        <f>5/(5+3+2)</f>
        <v>0.5</v>
      </c>
      <c r="D11" s="231">
        <f>3/(5+3+2)</f>
        <v>0.3</v>
      </c>
      <c r="E11" s="231">
        <f>2/(5+3+2)</f>
        <v>0.2</v>
      </c>
      <c r="F11" s="228">
        <f>SUMPRODUCT($C$10:$E$10,C11:E11)</f>
        <v>8.5</v>
      </c>
      <c r="H11" s="232" t="s">
        <v>577</v>
      </c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303" t="s">
        <v>578</v>
      </c>
      <c r="U11" s="303"/>
    </row>
    <row r="12" spans="2:21" ht="26" x14ac:dyDescent="0.3">
      <c r="B12" s="228" t="s">
        <v>568</v>
      </c>
      <c r="C12" s="231">
        <f>2/(2+7+4)</f>
        <v>0.15384615384615385</v>
      </c>
      <c r="D12" s="231">
        <f>7/(2+7+4)</f>
        <v>0.53846153846153844</v>
      </c>
      <c r="E12" s="231">
        <f>4/(2+7+4)</f>
        <v>0.30769230769230771</v>
      </c>
      <c r="F12" s="231">
        <f>SUMPRODUCT($C$10:$E$10,C12:E12)</f>
        <v>10.76923076923077</v>
      </c>
      <c r="H12" s="225" t="s">
        <v>579</v>
      </c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33" t="s">
        <v>580</v>
      </c>
      <c r="U12" s="234" t="s">
        <v>581</v>
      </c>
    </row>
    <row r="13" spans="2:21" ht="26" x14ac:dyDescent="0.3">
      <c r="B13" s="228" t="s">
        <v>573</v>
      </c>
      <c r="C13" s="231">
        <f>1/(1+4+4)</f>
        <v>0.1111111111111111</v>
      </c>
      <c r="D13" s="231">
        <f>4/(1+4+4)</f>
        <v>0.44444444444444442</v>
      </c>
      <c r="E13" s="231">
        <f>4/(1+4+4)</f>
        <v>0.44444444444444442</v>
      </c>
      <c r="F13" s="231">
        <f>SUMPRODUCT($C$10:$E$10,C13:E13)</f>
        <v>11.666666666666666</v>
      </c>
      <c r="H13" s="225" t="s">
        <v>564</v>
      </c>
      <c r="I13" s="235">
        <f>(E25*C16)/F11</f>
        <v>344.11764705882354</v>
      </c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33" t="s">
        <v>554</v>
      </c>
      <c r="U13" s="234" t="s">
        <v>582</v>
      </c>
    </row>
    <row r="14" spans="2:21" ht="26" x14ac:dyDescent="0.3">
      <c r="H14" s="225" t="s">
        <v>568</v>
      </c>
      <c r="I14" s="235">
        <f>(E25*C17)/F12</f>
        <v>353.08928571428567</v>
      </c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33" t="s">
        <v>555</v>
      </c>
      <c r="U14" s="234" t="s">
        <v>583</v>
      </c>
    </row>
    <row r="15" spans="2:21" ht="26" x14ac:dyDescent="0.3">
      <c r="B15" s="225" t="s">
        <v>584</v>
      </c>
      <c r="H15" s="225" t="s">
        <v>573</v>
      </c>
      <c r="I15" s="235">
        <f>(E25*C18)/F13</f>
        <v>225.64285714285717</v>
      </c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33" t="s">
        <v>585</v>
      </c>
      <c r="U15" s="234" t="s">
        <v>586</v>
      </c>
    </row>
    <row r="16" spans="2:21" ht="26" x14ac:dyDescent="0.3">
      <c r="B16" s="228" t="s">
        <v>564</v>
      </c>
      <c r="C16" s="231">
        <f>F5/($F$5+$F$6+$F$7)</f>
        <v>0.3125</v>
      </c>
      <c r="H16" s="225" t="s">
        <v>195</v>
      </c>
      <c r="I16" s="235">
        <f>I13+I14+I15</f>
        <v>922.84978991596631</v>
      </c>
      <c r="J16" s="225"/>
      <c r="K16" s="225"/>
      <c r="L16" s="225"/>
      <c r="M16" s="225"/>
      <c r="N16" s="225"/>
      <c r="O16" s="225"/>
      <c r="P16" s="225"/>
      <c r="Q16" s="225"/>
      <c r="R16" s="225"/>
      <c r="S16" s="225"/>
    </row>
    <row r="17" spans="2:21" ht="26" x14ac:dyDescent="0.3">
      <c r="B17" s="228" t="s">
        <v>568</v>
      </c>
      <c r="C17" s="231">
        <f t="shared" ref="C17:C18" si="0">F6/($F$5+$F$6+$F$7)</f>
        <v>0.40625</v>
      </c>
      <c r="H17" s="236" t="s">
        <v>587</v>
      </c>
      <c r="I17" s="236"/>
      <c r="J17" s="236"/>
      <c r="K17" s="236"/>
      <c r="L17" s="237">
        <f>I16/C21</f>
        <v>184.56995798319326</v>
      </c>
      <c r="M17" s="236" t="s">
        <v>588</v>
      </c>
      <c r="N17" s="236"/>
      <c r="O17" s="236"/>
      <c r="P17" s="236"/>
      <c r="Q17" s="225"/>
      <c r="R17" s="225"/>
      <c r="S17" s="225"/>
      <c r="T17" s="233" t="s">
        <v>589</v>
      </c>
      <c r="U17" s="234" t="s">
        <v>590</v>
      </c>
    </row>
    <row r="18" spans="2:21" ht="26" x14ac:dyDescent="0.3">
      <c r="B18" s="228" t="s">
        <v>573</v>
      </c>
      <c r="C18" s="231">
        <f t="shared" si="0"/>
        <v>0.28125</v>
      </c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</row>
    <row r="19" spans="2:21" ht="26" x14ac:dyDescent="0.3">
      <c r="H19" s="232" t="s">
        <v>591</v>
      </c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T19" s="233" t="s">
        <v>592</v>
      </c>
      <c r="U19" s="234" t="s">
        <v>593</v>
      </c>
    </row>
    <row r="20" spans="2:21" ht="26" x14ac:dyDescent="0.3">
      <c r="B20" s="238" t="s">
        <v>594</v>
      </c>
      <c r="H20" s="225" t="s">
        <v>595</v>
      </c>
      <c r="I20" s="225"/>
      <c r="J20" s="225"/>
      <c r="K20" s="225"/>
      <c r="L20" s="225"/>
      <c r="M20" s="225">
        <f>E25/(H4+H5)</f>
        <v>156</v>
      </c>
      <c r="N20" s="225"/>
      <c r="O20" s="225"/>
      <c r="P20" s="225"/>
      <c r="Q20" s="225"/>
      <c r="R20" s="225"/>
    </row>
    <row r="21" spans="2:21" ht="26" x14ac:dyDescent="0.3">
      <c r="B21" s="238" t="s">
        <v>580</v>
      </c>
      <c r="C21" s="225">
        <v>5</v>
      </c>
      <c r="H21" s="225" t="s">
        <v>596</v>
      </c>
      <c r="I21" s="225"/>
      <c r="J21" s="225">
        <f>H6*24</f>
        <v>144</v>
      </c>
      <c r="K21" s="225"/>
      <c r="L21" s="225"/>
      <c r="M21" s="225"/>
      <c r="N21" s="225"/>
      <c r="O21" s="225"/>
      <c r="P21" s="225"/>
      <c r="Q21" s="225"/>
      <c r="R21" s="225"/>
      <c r="T21" s="233" t="s">
        <v>597</v>
      </c>
      <c r="U21" s="234" t="s">
        <v>598</v>
      </c>
    </row>
    <row r="22" spans="2:21" ht="26" x14ac:dyDescent="0.3">
      <c r="B22" s="238" t="s">
        <v>599</v>
      </c>
      <c r="C22" s="225">
        <v>3</v>
      </c>
      <c r="H22" s="236" t="s">
        <v>587</v>
      </c>
      <c r="I22" s="236"/>
      <c r="J22" s="236"/>
      <c r="K22" s="236"/>
      <c r="L22" s="236">
        <f>J21/C22</f>
        <v>48</v>
      </c>
      <c r="M22" s="236" t="s">
        <v>588</v>
      </c>
      <c r="N22" s="236"/>
      <c r="O22" s="236"/>
      <c r="P22" s="236"/>
      <c r="Q22" s="225"/>
      <c r="R22" s="225"/>
    </row>
    <row r="23" spans="2:21" ht="26" x14ac:dyDescent="0.3">
      <c r="B23" s="238" t="s">
        <v>600</v>
      </c>
      <c r="C23" s="225">
        <v>10</v>
      </c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</row>
    <row r="24" spans="2:21" ht="26" x14ac:dyDescent="0.3">
      <c r="B24" s="238" t="s">
        <v>601</v>
      </c>
      <c r="C24" s="225">
        <v>1</v>
      </c>
      <c r="H24" s="232" t="s">
        <v>602</v>
      </c>
      <c r="I24" s="225"/>
      <c r="J24" s="225"/>
      <c r="K24" s="225"/>
      <c r="L24" s="225"/>
      <c r="M24" s="225"/>
      <c r="N24" s="225"/>
      <c r="O24" s="225"/>
      <c r="P24" s="225"/>
      <c r="Q24" s="225"/>
      <c r="R24" s="225"/>
    </row>
    <row r="25" spans="2:21" ht="26" x14ac:dyDescent="0.3">
      <c r="B25" s="238" t="s">
        <v>603</v>
      </c>
      <c r="D25" s="225">
        <f>D26-D27-(C28*2)</f>
        <v>390</v>
      </c>
      <c r="E25" s="225">
        <f>D25*24</f>
        <v>9360</v>
      </c>
      <c r="H25" s="225" t="s">
        <v>604</v>
      </c>
      <c r="I25" s="225">
        <f>P7*24</f>
        <v>120</v>
      </c>
      <c r="J25" s="225" t="s">
        <v>588</v>
      </c>
      <c r="K25" s="225"/>
      <c r="L25" s="225"/>
      <c r="M25" s="225"/>
      <c r="N25" s="225"/>
      <c r="O25" s="225"/>
      <c r="P25" s="225"/>
      <c r="Q25" s="225"/>
      <c r="R25" s="225"/>
    </row>
    <row r="26" spans="2:21" ht="26" x14ac:dyDescent="0.3">
      <c r="B26" s="238" t="s">
        <v>605</v>
      </c>
      <c r="C26" s="225">
        <v>8</v>
      </c>
      <c r="D26" s="225">
        <f>C26*60</f>
        <v>480</v>
      </c>
      <c r="H26" s="225" t="s">
        <v>600</v>
      </c>
      <c r="I26" s="235">
        <f>(((E25-(N4*24))*C31)/(Q5*60))+(((E25-(N4*24))*C32)/(Q6*60))</f>
        <v>125</v>
      </c>
      <c r="J26" s="225" t="s">
        <v>606</v>
      </c>
      <c r="K26" s="225"/>
      <c r="L26" s="225"/>
      <c r="M26" s="225"/>
      <c r="N26" s="225"/>
      <c r="O26" s="225"/>
      <c r="P26" s="225"/>
      <c r="Q26" s="225"/>
      <c r="R26" s="225"/>
    </row>
    <row r="27" spans="2:21" ht="26" x14ac:dyDescent="0.3">
      <c r="B27" s="238" t="s">
        <v>607</v>
      </c>
      <c r="C27" s="225">
        <v>1</v>
      </c>
      <c r="D27" s="225">
        <f>C27*60</f>
        <v>60</v>
      </c>
      <c r="H27" s="236" t="s">
        <v>587</v>
      </c>
      <c r="I27" s="236"/>
      <c r="J27" s="236"/>
      <c r="K27" s="236"/>
      <c r="L27" s="237">
        <f>I26/C23</f>
        <v>12.5</v>
      </c>
      <c r="M27" s="236" t="s">
        <v>588</v>
      </c>
      <c r="N27" s="236"/>
      <c r="O27" s="236"/>
      <c r="P27" s="236"/>
      <c r="Q27" s="225"/>
      <c r="R27" s="225"/>
    </row>
    <row r="28" spans="2:21" ht="26" x14ac:dyDescent="0.3">
      <c r="B28" s="238" t="s">
        <v>608</v>
      </c>
      <c r="C28" s="225">
        <v>15</v>
      </c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</row>
    <row r="29" spans="2:21" ht="26" x14ac:dyDescent="0.3">
      <c r="B29" s="238" t="s">
        <v>609</v>
      </c>
      <c r="C29" s="225"/>
      <c r="H29" s="232" t="s">
        <v>610</v>
      </c>
      <c r="I29" s="225"/>
      <c r="J29" s="225"/>
      <c r="K29" s="225"/>
      <c r="L29" s="225"/>
      <c r="M29" s="225"/>
      <c r="N29" s="225"/>
      <c r="O29" s="225"/>
      <c r="P29" s="225"/>
      <c r="Q29" s="225"/>
      <c r="R29" s="225"/>
    </row>
    <row r="30" spans="2:21" ht="26" x14ac:dyDescent="0.3">
      <c r="B30" s="238" t="s">
        <v>611</v>
      </c>
      <c r="C30" s="225"/>
      <c r="H30" s="236" t="s">
        <v>587</v>
      </c>
      <c r="I30" s="225"/>
      <c r="J30" s="225"/>
      <c r="K30" s="225"/>
      <c r="L30" s="237">
        <f>I26/(C21+C22+C23+C24)</f>
        <v>6.5789473684210522</v>
      </c>
      <c r="M30" s="236" t="s">
        <v>588</v>
      </c>
      <c r="N30" s="225"/>
      <c r="O30" s="225"/>
      <c r="P30" s="225"/>
      <c r="Q30" s="225"/>
      <c r="R30" s="225"/>
    </row>
    <row r="31" spans="2:21" ht="26" x14ac:dyDescent="0.3">
      <c r="B31" s="238" t="s">
        <v>612</v>
      </c>
      <c r="C31" s="225">
        <v>0.7</v>
      </c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</row>
    <row r="32" spans="2:21" ht="26" x14ac:dyDescent="0.3">
      <c r="B32" s="238" t="s">
        <v>613</v>
      </c>
      <c r="C32" s="225">
        <v>0.3</v>
      </c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</row>
    <row r="33" spans="2:18" ht="26" x14ac:dyDescent="0.3">
      <c r="B33" s="239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</row>
    <row r="34" spans="2:18" ht="26" x14ac:dyDescent="0.3"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</row>
    <row r="35" spans="2:18" ht="26" x14ac:dyDescent="0.3"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</row>
  </sheetData>
  <mergeCells count="3">
    <mergeCell ref="B2:E2"/>
    <mergeCell ref="C3:E3"/>
    <mergeCell ref="T11: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11.</vt:lpstr>
      <vt:lpstr>12.</vt:lpstr>
      <vt:lpstr>13.</vt:lpstr>
      <vt:lpstr>14.</vt:lpstr>
      <vt:lpstr>15.</vt:lpstr>
      <vt:lpstr>16.</vt:lpstr>
      <vt:lpstr>17.</vt:lpstr>
      <vt:lpstr>18.</vt:lpstr>
      <vt:lpstr>19.</vt:lpstr>
      <vt:lpstr>20.</vt:lpstr>
      <vt:lpstr>21.</vt:lpstr>
      <vt:lpstr>22.</vt:lpstr>
      <vt:lpstr>23.</vt:lpstr>
      <vt:lpstr>24.</vt:lpstr>
      <vt:lpstr>25</vt:lpstr>
      <vt:lpstr>26</vt:lpstr>
      <vt:lpstr>27</vt:lpstr>
      <vt:lpstr>28</vt:lpstr>
      <vt:lpstr>29</vt:lpstr>
      <vt:lpstr>30</vt:lpstr>
    </vt:vector>
  </TitlesOfParts>
  <Company>Leon y Parra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 Leon</dc:creator>
  <cp:lastModifiedBy>Enrique León</cp:lastModifiedBy>
  <dcterms:created xsi:type="dcterms:W3CDTF">2018-03-19T22:21:08Z</dcterms:created>
  <dcterms:modified xsi:type="dcterms:W3CDTF">2024-04-11T23:18:01Z</dcterms:modified>
</cp:coreProperties>
</file>