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drawings/drawing11.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6.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22.xml" ContentType="application/vnd.openxmlformats-officedocument.drawing+xml"/>
  <Override PartName="/xl/charts/chart40.xml" ContentType="application/vnd.openxmlformats-officedocument.drawingml.chart+xml"/>
  <Override PartName="/xl/charts/style22.xml" ContentType="application/vnd.ms-office.chartstyle+xml"/>
  <Override PartName="/xl/charts/colors22.xml" ContentType="application/vnd.ms-office.chartcolorstyle+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7.xml" ContentType="application/vnd.openxmlformats-officedocument.drawing+xml"/>
  <Override PartName="/xl/charts/chart5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defaultThemeVersion="166925"/>
  <mc:AlternateContent xmlns:mc="http://schemas.openxmlformats.org/markup-compatibility/2006">
    <mc:Choice Requires="x15">
      <x15ac:absPath xmlns:x15ac="http://schemas.microsoft.com/office/spreadsheetml/2010/11/ac" url="/Users/enrique/Desktop/"/>
    </mc:Choice>
  </mc:AlternateContent>
  <xr:revisionPtr revIDLastSave="0" documentId="13_ncr:1_{DB32D4F2-74B9-AE4C-8F9E-825C4C50BF71}" xr6:coauthVersionLast="47" xr6:coauthVersionMax="47" xr10:uidLastSave="{00000000-0000-0000-0000-000000000000}"/>
  <bookViews>
    <workbookView xWindow="0" yWindow="500" windowWidth="28800" windowHeight="16500" xr2:uid="{B9866023-1C9B-B04E-8816-AC7341B41CB7}"/>
  </bookViews>
  <sheets>
    <sheet name="1MA" sheetId="2" r:id="rId1"/>
    <sheet name="2MA" sheetId="3" r:id="rId2"/>
    <sheet name="3MA" sheetId="4" r:id="rId3"/>
    <sheet name="4MA" sheetId="5" r:id="rId4"/>
    <sheet name="5MA" sheetId="6" r:id="rId5"/>
    <sheet name="6MA" sheetId="8" r:id="rId6"/>
    <sheet name="7MA" sheetId="9" r:id="rId7"/>
    <sheet name="8MA" sheetId="10" r:id="rId8"/>
    <sheet name="9MA" sheetId="11" r:id="rId9"/>
    <sheet name="10MA" sheetId="12" r:id="rId10"/>
    <sheet name="11MA" sheetId="13" r:id="rId11"/>
    <sheet name="12MA" sheetId="14" r:id="rId12"/>
    <sheet name="13MA" sheetId="15" r:id="rId13"/>
    <sheet name="14MA" sheetId="16" r:id="rId14"/>
    <sheet name="15MA" sheetId="17" r:id="rId15"/>
    <sheet name="16MA" sheetId="18" r:id="rId16"/>
    <sheet name="17MA" sheetId="19" r:id="rId17"/>
    <sheet name="18MA" sheetId="20" r:id="rId18"/>
    <sheet name="19MA" sheetId="21" r:id="rId19"/>
    <sheet name="20MA" sheetId="22" r:id="rId20"/>
    <sheet name="21MA" sheetId="37" r:id="rId21"/>
    <sheet name="22MA" sheetId="39" r:id="rId22"/>
    <sheet name="1CC" sheetId="23" r:id="rId23"/>
    <sheet name="2CC" sheetId="24" r:id="rId24"/>
    <sheet name="3CC" sheetId="25" r:id="rId25"/>
    <sheet name="4CC" sheetId="26" r:id="rId26"/>
    <sheet name="5CC" sheetId="27" r:id="rId27"/>
    <sheet name="6CC" sheetId="28" r:id="rId28"/>
    <sheet name="7CC" sheetId="29" r:id="rId29"/>
    <sheet name="8CC" sheetId="30" r:id="rId30"/>
    <sheet name="9CC" sheetId="31" r:id="rId31"/>
    <sheet name="10CC" sheetId="32" r:id="rId32"/>
    <sheet name="1AC" sheetId="75" r:id="rId33"/>
    <sheet name="2AC" sheetId="34" r:id="rId34"/>
    <sheet name="3AC" sheetId="76" r:id="rId35"/>
    <sheet name="4AC" sheetId="77" r:id="rId36"/>
    <sheet name="5AC" sheetId="78" r:id="rId37"/>
    <sheet name="6AC" sheetId="40" r:id="rId38"/>
    <sheet name="7AC" sheetId="41" r:id="rId39"/>
    <sheet name="8AC" sheetId="79" r:id="rId40"/>
    <sheet name="9AC" sheetId="43" r:id="rId41"/>
    <sheet name="1A" sheetId="44" r:id="rId42"/>
    <sheet name="2A" sheetId="54" r:id="rId43"/>
    <sheet name="3A" sheetId="46" r:id="rId44"/>
    <sheet name="4A" sheetId="47" r:id="rId45"/>
    <sheet name="5A" sheetId="48" r:id="rId46"/>
    <sheet name="6A" sheetId="49" r:id="rId47"/>
    <sheet name="7A" sheetId="50" r:id="rId48"/>
    <sheet name="8A" sheetId="51" r:id="rId49"/>
    <sheet name="9A" sheetId="52" r:id="rId50"/>
    <sheet name="10A" sheetId="53" r:id="rId51"/>
    <sheet name="1CL" sheetId="55" r:id="rId52"/>
    <sheet name="2CL" sheetId="56" r:id="rId53"/>
    <sheet name="3CL" sheetId="57" r:id="rId54"/>
    <sheet name="4CL" sheetId="58" r:id="rId55"/>
    <sheet name="5CL" sheetId="63" r:id="rId56"/>
    <sheet name="6CL" sheetId="60" r:id="rId57"/>
    <sheet name="7CL" sheetId="61" r:id="rId58"/>
    <sheet name="8CL" sheetId="62" r:id="rId59"/>
    <sheet name="9CL" sheetId="59" r:id="rId60"/>
    <sheet name="1PNP" sheetId="65" r:id="rId61"/>
    <sheet name="2PNP" sheetId="68" r:id="rId62"/>
    <sheet name="3PNP" sheetId="69" r:id="rId63"/>
    <sheet name="4PNP" sheetId="70" r:id="rId64"/>
    <sheet name="5PNP" sheetId="71" r:id="rId65"/>
    <sheet name="6PNP" sheetId="73" r:id="rId66"/>
    <sheet name="7PNP" sheetId="72" r:id="rId67"/>
    <sheet name="8PNP" sheetId="74" r:id="rId68"/>
  </sheets>
  <externalReferences>
    <externalReference r:id="rId69"/>
    <externalReference r:id="rId70"/>
  </externalReferences>
  <definedNames>
    <definedName name="__123Graph_A" localSheetId="18" hidden="1">#REF!</definedName>
    <definedName name="__123Graph_A" hidden="1">#REF!</definedName>
    <definedName name="__123Graph_AFNTPOP" localSheetId="18" hidden="1">#REF!</definedName>
    <definedName name="__123Graph_AFNTPOP" hidden="1">#REF!</definedName>
    <definedName name="__123Graph_AFNTQUE" localSheetId="18" hidden="1">#REF!</definedName>
    <definedName name="__123Graph_AFNTQUE" hidden="1">#REF!</definedName>
    <definedName name="__123Graph_AMMS" hidden="1">#REF!</definedName>
    <definedName name="__123Graph_X" hidden="1">#REF!</definedName>
    <definedName name="__123Graph_XFNTPOP" hidden="1">#REF!</definedName>
    <definedName name="__123Graph_XFNTQUE" hidden="1">#REF!</definedName>
    <definedName name="__123Graph_XMMS" hidden="1">#REF!</definedName>
    <definedName name="MinimizeCosts">FALSE</definedName>
    <definedName name="solver_eng" localSheetId="25" hidden="1">1</definedName>
    <definedName name="solver_lin" localSheetId="25" hidden="1">2</definedName>
    <definedName name="solver_neg" localSheetId="25" hidden="1">1</definedName>
    <definedName name="solver_num" localSheetId="25" hidden="1">0</definedName>
    <definedName name="solver_opt" localSheetId="25" hidden="1">'4CC'!$V$37</definedName>
    <definedName name="solver_typ" localSheetId="25" hidden="1">1</definedName>
    <definedName name="solver_val" localSheetId="25" hidden="1">0</definedName>
    <definedName name="solver_ver" localSheetId="25" hidden="1">2</definedName>
    <definedName name="TreeData">#REF!</definedName>
    <definedName name="TreeDiagBase">#REF!</definedName>
    <definedName name="TreeDiagram">#REF!</definedName>
    <definedName name="unit">#REF!</definedName>
    <definedName name="unit." localSheetId="18">'[1]Primera pregunta'!$E$5</definedName>
    <definedName name="unit.">'[2]Primera pregunta'!$E$5</definedName>
    <definedName name="units">#REF!</definedName>
    <definedName name="UseExpUtility">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0" i="43" l="1"/>
  <c r="G20" i="43"/>
  <c r="H19" i="43"/>
  <c r="G19" i="43"/>
  <c r="J13" i="19"/>
  <c r="J14" i="19"/>
  <c r="J15" i="19"/>
  <c r="J16" i="19"/>
  <c r="J17" i="19"/>
  <c r="J18" i="19"/>
  <c r="J19" i="19"/>
  <c r="J20" i="19"/>
  <c r="J21" i="19"/>
  <c r="J22" i="19"/>
  <c r="J23" i="19"/>
  <c r="J24" i="19"/>
  <c r="J25" i="19"/>
  <c r="J26" i="19"/>
  <c r="J12" i="19"/>
  <c r="F39" i="9" l="1"/>
  <c r="C10" i="79"/>
  <c r="H8" i="79" s="1"/>
  <c r="C8" i="79"/>
  <c r="C14" i="79" s="1"/>
  <c r="E14" i="79" s="1"/>
  <c r="C7" i="79"/>
  <c r="D15" i="79" s="1"/>
  <c r="C5" i="79"/>
  <c r="C3" i="79"/>
  <c r="D14" i="79" s="1"/>
  <c r="C10" i="78"/>
  <c r="H8" i="78" s="1"/>
  <c r="C8" i="78"/>
  <c r="C14" i="78" s="1"/>
  <c r="C7" i="78"/>
  <c r="D15" i="78" s="1"/>
  <c r="C5" i="78"/>
  <c r="C3" i="78"/>
  <c r="D14" i="78" s="1"/>
  <c r="D15" i="77"/>
  <c r="H13" i="77"/>
  <c r="H12" i="77"/>
  <c r="H8" i="77"/>
  <c r="C5" i="77"/>
  <c r="C14" i="77" s="1"/>
  <c r="E14" i="77" s="1"/>
  <c r="C3" i="77"/>
  <c r="D14" i="77" s="1"/>
  <c r="H13" i="76"/>
  <c r="C10" i="76"/>
  <c r="H8" i="76" s="1"/>
  <c r="C8" i="76"/>
  <c r="C14" i="76" s="1"/>
  <c r="E14" i="76" s="1"/>
  <c r="C7" i="76"/>
  <c r="D15" i="76" s="1"/>
  <c r="C5" i="76"/>
  <c r="C3" i="76"/>
  <c r="D14" i="76" s="1"/>
  <c r="C10" i="75"/>
  <c r="H8" i="75" s="1"/>
  <c r="C8" i="75"/>
  <c r="C14" i="75" s="1"/>
  <c r="C7" i="75"/>
  <c r="D15" i="75" s="1"/>
  <c r="C5" i="75"/>
  <c r="C3" i="75"/>
  <c r="D14" i="75" s="1"/>
  <c r="G8" i="79" l="1"/>
  <c r="E20" i="79"/>
  <c r="E19" i="79"/>
  <c r="E15" i="79"/>
  <c r="H12" i="79"/>
  <c r="E13" i="79"/>
  <c r="H13" i="79"/>
  <c r="E14" i="78"/>
  <c r="E15" i="78"/>
  <c r="H12" i="78"/>
  <c r="E13" i="78"/>
  <c r="H13" i="78"/>
  <c r="G8" i="77"/>
  <c r="E20" i="77" s="1"/>
  <c r="E15" i="77"/>
  <c r="E13" i="77"/>
  <c r="G8" i="76"/>
  <c r="E20" i="76" s="1"/>
  <c r="E15" i="76"/>
  <c r="H12" i="76"/>
  <c r="E13" i="76"/>
  <c r="E14" i="75"/>
  <c r="E15" i="75"/>
  <c r="H13" i="75"/>
  <c r="H12" i="75"/>
  <c r="E13" i="75"/>
  <c r="E18" i="79" l="1"/>
  <c r="E17" i="79"/>
  <c r="E22" i="79"/>
  <c r="E21" i="79"/>
  <c r="E22" i="78"/>
  <c r="E21" i="78"/>
  <c r="E18" i="78"/>
  <c r="E17" i="78"/>
  <c r="G8" i="78"/>
  <c r="E20" i="78" s="1"/>
  <c r="E18" i="77"/>
  <c r="E17" i="77"/>
  <c r="E19" i="77"/>
  <c r="E22" i="77"/>
  <c r="E21" i="77"/>
  <c r="E21" i="76"/>
  <c r="E22" i="76"/>
  <c r="E18" i="76"/>
  <c r="E17" i="76"/>
  <c r="E19" i="76"/>
  <c r="E18" i="75"/>
  <c r="E17" i="75"/>
  <c r="E22" i="75"/>
  <c r="E21" i="75"/>
  <c r="G8" i="75"/>
  <c r="E20" i="75" s="1"/>
  <c r="E19" i="78" l="1"/>
  <c r="E19" i="75"/>
  <c r="B14" i="65" l="1"/>
  <c r="B15" i="65" s="1"/>
  <c r="B16" i="65" s="1"/>
  <c r="B17" i="65" s="1"/>
  <c r="B18" i="65" s="1"/>
  <c r="B19" i="65" s="1"/>
  <c r="B20" i="65" s="1"/>
  <c r="B21" i="65" s="1"/>
  <c r="B22" i="65" s="1"/>
  <c r="J13" i="40" l="1"/>
  <c r="J12" i="40"/>
  <c r="J23" i="40"/>
  <c r="J22" i="40"/>
  <c r="J9" i="40"/>
  <c r="J8" i="40"/>
  <c r="G12" i="43" l="1"/>
  <c r="G5" i="43"/>
  <c r="C5" i="43"/>
  <c r="C12" i="43" s="1"/>
  <c r="G3" i="43"/>
  <c r="G11" i="43" s="1"/>
  <c r="C3" i="43"/>
  <c r="C13" i="43" s="1"/>
  <c r="C19" i="43" l="1"/>
  <c r="D19" i="43"/>
  <c r="G18" i="43"/>
  <c r="H18" i="43"/>
  <c r="C14" i="43"/>
  <c r="C11" i="43"/>
  <c r="G13" i="43"/>
  <c r="G14" i="43"/>
  <c r="D20" i="43" l="1"/>
  <c r="C20" i="43"/>
  <c r="D18" i="43"/>
  <c r="C18" i="43"/>
  <c r="D14" i="41"/>
  <c r="D25" i="41" s="1"/>
  <c r="D13" i="41"/>
  <c r="D12" i="41"/>
  <c r="D22" i="41" s="1"/>
  <c r="D11" i="41"/>
  <c r="D19" i="41" s="1"/>
  <c r="D18" i="41" l="1"/>
  <c r="D21" i="41"/>
  <c r="D24" i="41"/>
  <c r="C22" i="40"/>
  <c r="G22" i="40" s="1"/>
  <c r="C19" i="40"/>
  <c r="D15" i="40"/>
  <c r="G12" i="40" s="1"/>
  <c r="D12" i="40"/>
  <c r="D8" i="40"/>
  <c r="G8" i="40" s="1"/>
  <c r="F30" i="39" l="1"/>
  <c r="D30" i="39"/>
  <c r="F29" i="39"/>
  <c r="D29" i="39"/>
  <c r="F28" i="39"/>
  <c r="D28" i="39"/>
  <c r="F27" i="39"/>
  <c r="B23" i="39" s="1"/>
  <c r="D27" i="39"/>
  <c r="F26" i="39"/>
  <c r="D26" i="39"/>
  <c r="F25" i="39"/>
  <c r="D25" i="39"/>
  <c r="B22" i="39"/>
  <c r="B16" i="39"/>
  <c r="B15" i="39"/>
  <c r="B10" i="39"/>
  <c r="B9" i="39"/>
  <c r="B11" i="39" s="1"/>
  <c r="B24" i="39" l="1"/>
  <c r="B20" i="37"/>
  <c r="B19" i="37"/>
  <c r="B21" i="37" s="1"/>
  <c r="U8" i="34" l="1"/>
  <c r="T8" i="34"/>
  <c r="S8" i="34"/>
  <c r="R8" i="34"/>
  <c r="Q8" i="34"/>
  <c r="P8" i="34"/>
  <c r="O8" i="34"/>
  <c r="N8" i="34"/>
  <c r="M8" i="34"/>
  <c r="L8" i="34"/>
  <c r="K8" i="34"/>
  <c r="J8" i="34"/>
  <c r="I8" i="34"/>
  <c r="H8" i="34"/>
  <c r="G8" i="34"/>
  <c r="F8" i="34"/>
  <c r="E8" i="34"/>
  <c r="D8" i="34"/>
  <c r="C8" i="34"/>
  <c r="B8" i="34"/>
  <c r="V8" i="34" s="1"/>
  <c r="B10" i="34" s="1"/>
  <c r="B11" i="34" s="1"/>
  <c r="B12" i="34" s="1"/>
  <c r="C22" i="32" l="1"/>
  <c r="B23" i="32" s="1"/>
  <c r="B22" i="32"/>
  <c r="B24" i="32" s="1"/>
  <c r="D21" i="32"/>
  <c r="D20" i="32"/>
  <c r="D19" i="32"/>
  <c r="D18" i="32"/>
  <c r="D17" i="32"/>
  <c r="D16" i="32"/>
  <c r="D15" i="32"/>
  <c r="A15" i="32"/>
  <c r="A16" i="32" s="1"/>
  <c r="A17" i="32" s="1"/>
  <c r="A18" i="32" s="1"/>
  <c r="A19" i="32" s="1"/>
  <c r="D14" i="32"/>
  <c r="D13" i="32"/>
  <c r="D12" i="32"/>
  <c r="D11" i="32"/>
  <c r="D10" i="32"/>
  <c r="D9" i="32"/>
  <c r="D8" i="32"/>
  <c r="D7" i="32"/>
  <c r="D6" i="32"/>
  <c r="D5" i="32"/>
  <c r="D4" i="32"/>
  <c r="D3" i="32"/>
  <c r="D2" i="32"/>
  <c r="B25" i="32" l="1"/>
  <c r="F17" i="32"/>
  <c r="E14" i="32"/>
  <c r="E12" i="32"/>
  <c r="E10" i="32"/>
  <c r="E8" i="32"/>
  <c r="E6" i="32"/>
  <c r="E4" i="32"/>
  <c r="E2" i="32"/>
  <c r="F3" i="32"/>
  <c r="G20" i="32"/>
  <c r="E17" i="32"/>
  <c r="G15" i="32"/>
  <c r="F9" i="32"/>
  <c r="E18" i="32"/>
  <c r="E11" i="32"/>
  <c r="E7" i="32"/>
  <c r="E3" i="32"/>
  <c r="F20" i="32"/>
  <c r="G18" i="32"/>
  <c r="F15" i="32"/>
  <c r="G13" i="32"/>
  <c r="G11" i="32"/>
  <c r="G9" i="32"/>
  <c r="G7" i="32"/>
  <c r="G5" i="32"/>
  <c r="G3" i="32"/>
  <c r="F18" i="32"/>
  <c r="F13" i="32"/>
  <c r="F7" i="32"/>
  <c r="G16" i="32"/>
  <c r="E13" i="32"/>
  <c r="E9" i="32"/>
  <c r="E5" i="32"/>
  <c r="E20" i="32"/>
  <c r="E15" i="32"/>
  <c r="F11" i="32"/>
  <c r="F5" i="32"/>
  <c r="G21" i="32"/>
  <c r="G19" i="32"/>
  <c r="F16" i="32"/>
  <c r="F21" i="32"/>
  <c r="F19" i="32"/>
  <c r="E16" i="32"/>
  <c r="G14" i="32"/>
  <c r="G12" i="32"/>
  <c r="G10" i="32"/>
  <c r="G8" i="32"/>
  <c r="G6" i="32"/>
  <c r="G4" i="32"/>
  <c r="G2" i="32"/>
  <c r="E19" i="32"/>
  <c r="F14" i="32"/>
  <c r="F12" i="32"/>
  <c r="F10" i="32"/>
  <c r="F8" i="32"/>
  <c r="F4" i="32"/>
  <c r="F2" i="32"/>
  <c r="E21" i="32"/>
  <c r="G17" i="32"/>
  <c r="F6" i="32"/>
  <c r="B59" i="31"/>
  <c r="B57" i="31"/>
  <c r="C46" i="31"/>
  <c r="C23" i="31"/>
  <c r="D20" i="31" s="1"/>
  <c r="D13" i="31" l="1"/>
  <c r="B4" i="31"/>
  <c r="B12" i="31"/>
  <c r="B20" i="31"/>
  <c r="B5" i="31"/>
  <c r="B9" i="31"/>
  <c r="B13" i="31"/>
  <c r="B17" i="31"/>
  <c r="B21" i="31"/>
  <c r="B27" i="31"/>
  <c r="E29" i="31"/>
  <c r="E37" i="31"/>
  <c r="E45" i="31"/>
  <c r="D21" i="31"/>
  <c r="D35" i="31"/>
  <c r="B10" i="31"/>
  <c r="B22" i="31"/>
  <c r="E43" i="31"/>
  <c r="D17" i="31"/>
  <c r="D27" i="31"/>
  <c r="B14" i="31"/>
  <c r="E27" i="31"/>
  <c r="E35" i="31"/>
  <c r="B41" i="31"/>
  <c r="B47" i="31"/>
  <c r="B35" i="31" s="1"/>
  <c r="D6" i="31"/>
  <c r="D10" i="31"/>
  <c r="D14" i="31"/>
  <c r="D18" i="31"/>
  <c r="D22" i="31"/>
  <c r="E30" i="31"/>
  <c r="D33" i="31"/>
  <c r="B36" i="31"/>
  <c r="E38" i="31"/>
  <c r="B55" i="31"/>
  <c r="B70" i="31" s="1"/>
  <c r="B69" i="31" s="1"/>
  <c r="D28" i="31"/>
  <c r="B31" i="31"/>
  <c r="E33" i="31"/>
  <c r="D36" i="31"/>
  <c r="E41" i="31"/>
  <c r="B68" i="31"/>
  <c r="D5" i="31"/>
  <c r="B30" i="31"/>
  <c r="B6" i="31"/>
  <c r="B18" i="31"/>
  <c r="B3" i="31"/>
  <c r="B7" i="31"/>
  <c r="B11" i="31"/>
  <c r="B15" i="31"/>
  <c r="B19" i="31"/>
  <c r="D3" i="31"/>
  <c r="D7" i="31"/>
  <c r="D11" i="31"/>
  <c r="D15" i="31"/>
  <c r="D19" i="31"/>
  <c r="E28" i="31"/>
  <c r="D31" i="31"/>
  <c r="B34" i="31"/>
  <c r="E36" i="31"/>
  <c r="E44" i="31"/>
  <c r="C68" i="31"/>
  <c r="E32" i="31"/>
  <c r="B16" i="31"/>
  <c r="D26" i="31"/>
  <c r="E31" i="31"/>
  <c r="E39" i="31"/>
  <c r="D9" i="31"/>
  <c r="E40" i="31"/>
  <c r="B8" i="31"/>
  <c r="B29" i="31"/>
  <c r="D4" i="31"/>
  <c r="D8" i="31"/>
  <c r="D12" i="31"/>
  <c r="D16" i="31"/>
  <c r="E26" i="31"/>
  <c r="D29" i="31"/>
  <c r="B32" i="31"/>
  <c r="E34" i="31"/>
  <c r="E42" i="31"/>
  <c r="S53" i="30"/>
  <c r="T52" i="30" s="1"/>
  <c r="D49" i="30"/>
  <c r="U48" i="30"/>
  <c r="D45" i="30"/>
  <c r="D43" i="30"/>
  <c r="U40" i="30"/>
  <c r="U33" i="30"/>
  <c r="U32" i="30"/>
  <c r="K27" i="30"/>
  <c r="I26" i="30" s="1"/>
  <c r="C27" i="30"/>
  <c r="D25" i="30" s="1"/>
  <c r="V26" i="30"/>
  <c r="T25" i="30" s="1"/>
  <c r="E26" i="30"/>
  <c r="H25" i="30"/>
  <c r="S24" i="30"/>
  <c r="U23" i="30"/>
  <c r="T23" i="30"/>
  <c r="F23" i="30"/>
  <c r="E23" i="30"/>
  <c r="D23" i="30"/>
  <c r="T22" i="30"/>
  <c r="I22" i="30"/>
  <c r="H22" i="30"/>
  <c r="T21" i="30"/>
  <c r="S21" i="30"/>
  <c r="J21" i="30"/>
  <c r="D21" i="30"/>
  <c r="U20" i="30"/>
  <c r="J20" i="30"/>
  <c r="F20" i="30"/>
  <c r="E20" i="30"/>
  <c r="U19" i="30"/>
  <c r="J19" i="30"/>
  <c r="I19" i="30"/>
  <c r="H19" i="30"/>
  <c r="E19" i="30"/>
  <c r="U18" i="30"/>
  <c r="T18" i="30"/>
  <c r="S18" i="30"/>
  <c r="H18" i="30"/>
  <c r="E18" i="30"/>
  <c r="D18" i="30"/>
  <c r="S17" i="30"/>
  <c r="H17" i="30"/>
  <c r="F17" i="30"/>
  <c r="S16" i="30"/>
  <c r="J16" i="30"/>
  <c r="I16" i="30"/>
  <c r="F16" i="30"/>
  <c r="U15" i="30"/>
  <c r="T15" i="30"/>
  <c r="I15" i="30"/>
  <c r="F15" i="30"/>
  <c r="E15" i="30"/>
  <c r="D15" i="30"/>
  <c r="T14" i="30"/>
  <c r="I14" i="30"/>
  <c r="H14" i="30"/>
  <c r="D14" i="30"/>
  <c r="T13" i="30"/>
  <c r="S13" i="30"/>
  <c r="J13" i="30"/>
  <c r="D13" i="30"/>
  <c r="U12" i="30"/>
  <c r="T12" i="30"/>
  <c r="J12" i="30"/>
  <c r="F12" i="30"/>
  <c r="E12" i="30"/>
  <c r="U11" i="30"/>
  <c r="T11" i="30"/>
  <c r="J11" i="30"/>
  <c r="I11" i="30"/>
  <c r="H11" i="30"/>
  <c r="E11" i="30"/>
  <c r="U10" i="30"/>
  <c r="T10" i="30"/>
  <c r="S10" i="30"/>
  <c r="J10" i="30"/>
  <c r="H10" i="30"/>
  <c r="E10" i="30"/>
  <c r="D10" i="30"/>
  <c r="U9" i="30"/>
  <c r="T9" i="30"/>
  <c r="S9" i="30"/>
  <c r="J9" i="30"/>
  <c r="H9" i="30"/>
  <c r="F9" i="30"/>
  <c r="E9" i="30"/>
  <c r="U8" i="30"/>
  <c r="T8" i="30"/>
  <c r="S8" i="30"/>
  <c r="J8" i="30"/>
  <c r="I8" i="30"/>
  <c r="H8" i="30"/>
  <c r="F8" i="30"/>
  <c r="E8" i="30"/>
  <c r="U7" i="30"/>
  <c r="T7" i="30"/>
  <c r="S7" i="30"/>
  <c r="I7" i="30"/>
  <c r="H7" i="30"/>
  <c r="F7" i="30"/>
  <c r="E7" i="30"/>
  <c r="D7" i="30"/>
  <c r="U6" i="30"/>
  <c r="T6" i="30"/>
  <c r="S6" i="30"/>
  <c r="J6" i="30"/>
  <c r="I6" i="30"/>
  <c r="H6" i="30"/>
  <c r="F6" i="30"/>
  <c r="E6" i="30"/>
  <c r="D6" i="30"/>
  <c r="U5" i="30"/>
  <c r="T5" i="30"/>
  <c r="S5" i="30"/>
  <c r="J5" i="30"/>
  <c r="I5" i="30"/>
  <c r="H5" i="30"/>
  <c r="F5" i="30"/>
  <c r="E5" i="30"/>
  <c r="D5" i="30"/>
  <c r="U4" i="30"/>
  <c r="T4" i="30"/>
  <c r="S4" i="30"/>
  <c r="J4" i="30"/>
  <c r="I4" i="30"/>
  <c r="H4" i="30"/>
  <c r="G4" i="30"/>
  <c r="G5" i="30" s="1"/>
  <c r="G6" i="30" s="1"/>
  <c r="G7" i="30" s="1"/>
  <c r="G8" i="30" s="1"/>
  <c r="G9" i="30" s="1"/>
  <c r="G10" i="30" s="1"/>
  <c r="G11" i="30" s="1"/>
  <c r="G12" i="30" s="1"/>
  <c r="G13" i="30" s="1"/>
  <c r="G14" i="30" s="1"/>
  <c r="G15" i="30" s="1"/>
  <c r="G16" i="30" s="1"/>
  <c r="G17" i="30" s="1"/>
  <c r="G18" i="30" s="1"/>
  <c r="G19" i="30" s="1"/>
  <c r="G20" i="30" s="1"/>
  <c r="G21" i="30" s="1"/>
  <c r="G22" i="30" s="1"/>
  <c r="G23" i="30" s="1"/>
  <c r="G24" i="30" s="1"/>
  <c r="G25" i="30" s="1"/>
  <c r="G26" i="30" s="1"/>
  <c r="F4" i="30"/>
  <c r="E4" i="30"/>
  <c r="D4" i="30"/>
  <c r="U3" i="30"/>
  <c r="T3" i="30"/>
  <c r="S3" i="30"/>
  <c r="J3" i="30"/>
  <c r="I3" i="30"/>
  <c r="H3" i="30"/>
  <c r="G3" i="30"/>
  <c r="F3" i="30"/>
  <c r="E3" i="30"/>
  <c r="D3" i="30"/>
  <c r="B3" i="30"/>
  <c r="B4" i="30" s="1"/>
  <c r="B5" i="30" s="1"/>
  <c r="B6" i="30" s="1"/>
  <c r="B7" i="30" s="1"/>
  <c r="B8" i="30" s="1"/>
  <c r="B9" i="30" s="1"/>
  <c r="B10" i="30" s="1"/>
  <c r="B11" i="30" s="1"/>
  <c r="B12" i="30" s="1"/>
  <c r="B13" i="30" s="1"/>
  <c r="B14" i="30" s="1"/>
  <c r="B15" i="30" s="1"/>
  <c r="B16" i="30" s="1"/>
  <c r="B17" i="30" s="1"/>
  <c r="B18" i="30" s="1"/>
  <c r="B19" i="30" s="1"/>
  <c r="B20" i="30" s="1"/>
  <c r="B21" i="30" s="1"/>
  <c r="B22" i="30" s="1"/>
  <c r="B23" i="30" s="1"/>
  <c r="B24" i="30" s="1"/>
  <c r="B25" i="30" s="1"/>
  <c r="B26" i="30" s="1"/>
  <c r="U2" i="30"/>
  <c r="T2" i="30"/>
  <c r="S2" i="30"/>
  <c r="J2" i="30"/>
  <c r="I2" i="30"/>
  <c r="H2" i="30"/>
  <c r="F2" i="30"/>
  <c r="E2" i="30"/>
  <c r="D2" i="30"/>
  <c r="B37" i="31" l="1"/>
  <c r="D34" i="31"/>
  <c r="D39" i="31"/>
  <c r="B39" i="31"/>
  <c r="D41" i="31"/>
  <c r="D43" i="31"/>
  <c r="D32" i="31"/>
  <c r="B38" i="31"/>
  <c r="D38" i="31"/>
  <c r="B43" i="31"/>
  <c r="B45" i="31"/>
  <c r="B26" i="31"/>
  <c r="D56" i="31"/>
  <c r="D57" i="31" s="1"/>
  <c r="E59" i="31" s="1"/>
  <c r="B67" i="31"/>
  <c r="B28" i="31"/>
  <c r="B33" i="31"/>
  <c r="D40" i="31"/>
  <c r="B40" i="31"/>
  <c r="D42" i="31"/>
  <c r="D44" i="31"/>
  <c r="D30" i="31"/>
  <c r="D45" i="31"/>
  <c r="D37" i="31"/>
  <c r="B42" i="31"/>
  <c r="B44" i="31"/>
  <c r="E56" i="31"/>
  <c r="E57" i="31" s="1"/>
  <c r="D12" i="30"/>
  <c r="I13" i="30"/>
  <c r="F14" i="30"/>
  <c r="S15" i="30"/>
  <c r="H16" i="30"/>
  <c r="E17" i="30"/>
  <c r="U17" i="30"/>
  <c r="J18" i="30"/>
  <c r="D20" i="30"/>
  <c r="T20" i="30"/>
  <c r="I21" i="30"/>
  <c r="F22" i="30"/>
  <c r="S23" i="30"/>
  <c r="H24" i="30"/>
  <c r="E25" i="30"/>
  <c r="U25" i="30"/>
  <c r="J26" i="30"/>
  <c r="U31" i="30"/>
  <c r="T34" i="30"/>
  <c r="V36" i="30"/>
  <c r="U39" i="30"/>
  <c r="V41" i="30"/>
  <c r="U47" i="30"/>
  <c r="V49" i="30"/>
  <c r="U52" i="30"/>
  <c r="I24" i="30"/>
  <c r="F25" i="30"/>
  <c r="V31" i="30"/>
  <c r="U34" i="30"/>
  <c r="T37" i="30"/>
  <c r="V39" i="30"/>
  <c r="T43" i="30"/>
  <c r="T45" i="30"/>
  <c r="V47" i="30"/>
  <c r="T50" i="30"/>
  <c r="V52" i="30"/>
  <c r="J24" i="30"/>
  <c r="D26" i="30"/>
  <c r="T32" i="30"/>
  <c r="V34" i="30"/>
  <c r="U37" i="30"/>
  <c r="T40" i="30"/>
  <c r="U43" i="30"/>
  <c r="U45" i="30"/>
  <c r="T48" i="30"/>
  <c r="U50" i="30"/>
  <c r="T35" i="30"/>
  <c r="V37" i="30"/>
  <c r="T42" i="30"/>
  <c r="V43" i="30"/>
  <c r="V45" i="30"/>
  <c r="V50" i="30"/>
  <c r="D8" i="30"/>
  <c r="I9" i="30"/>
  <c r="F10" i="30"/>
  <c r="S11" i="30"/>
  <c r="H12" i="30"/>
  <c r="E13" i="30"/>
  <c r="U13" i="30"/>
  <c r="J14" i="30"/>
  <c r="D16" i="30"/>
  <c r="T16" i="30"/>
  <c r="I17" i="30"/>
  <c r="F18" i="30"/>
  <c r="S19" i="30"/>
  <c r="H20" i="30"/>
  <c r="E21" i="30"/>
  <c r="U21" i="30"/>
  <c r="J22" i="30"/>
  <c r="D24" i="30"/>
  <c r="T24" i="30"/>
  <c r="I25" i="30"/>
  <c r="F26" i="30"/>
  <c r="T30" i="30"/>
  <c r="V32" i="30"/>
  <c r="U35" i="30"/>
  <c r="T38" i="30"/>
  <c r="V40" i="30"/>
  <c r="U42" i="30"/>
  <c r="T44" i="30"/>
  <c r="T46" i="30"/>
  <c r="V48" i="30"/>
  <c r="T51" i="30"/>
  <c r="D54" i="30"/>
  <c r="D11" i="30"/>
  <c r="I12" i="30"/>
  <c r="F13" i="30"/>
  <c r="S14" i="30"/>
  <c r="H15" i="30"/>
  <c r="E16" i="30"/>
  <c r="U16" i="30"/>
  <c r="J17" i="30"/>
  <c r="D19" i="30"/>
  <c r="T19" i="30"/>
  <c r="I20" i="30"/>
  <c r="F21" i="30"/>
  <c r="S22" i="30"/>
  <c r="H23" i="30"/>
  <c r="E24" i="30"/>
  <c r="U24" i="30"/>
  <c r="J25" i="30"/>
  <c r="U30" i="30"/>
  <c r="T33" i="30"/>
  <c r="V35" i="30"/>
  <c r="U38" i="30"/>
  <c r="D41" i="30"/>
  <c r="D56" i="30" s="1"/>
  <c r="D55" i="30" s="1"/>
  <c r="V42" i="30"/>
  <c r="U44" i="30"/>
  <c r="U46" i="30"/>
  <c r="U51" i="30"/>
  <c r="D22" i="30"/>
  <c r="I23" i="30"/>
  <c r="F24" i="30"/>
  <c r="S25" i="30"/>
  <c r="H26" i="30"/>
  <c r="V30" i="30"/>
  <c r="T36" i="30"/>
  <c r="V38" i="30"/>
  <c r="T41" i="30"/>
  <c r="V44" i="30"/>
  <c r="V46" i="30"/>
  <c r="T49" i="30"/>
  <c r="V51" i="30"/>
  <c r="J7" i="30"/>
  <c r="D9" i="30"/>
  <c r="I10" i="30"/>
  <c r="F11" i="30"/>
  <c r="S12" i="30"/>
  <c r="H13" i="30"/>
  <c r="E14" i="30"/>
  <c r="U14" i="30"/>
  <c r="J15" i="30"/>
  <c r="D17" i="30"/>
  <c r="T17" i="30"/>
  <c r="I18" i="30"/>
  <c r="F19" i="30"/>
  <c r="S20" i="30"/>
  <c r="H21" i="30"/>
  <c r="E22" i="30"/>
  <c r="U22" i="30"/>
  <c r="J23" i="30"/>
  <c r="T31" i="30"/>
  <c r="V33" i="30"/>
  <c r="U36" i="30"/>
  <c r="T39" i="30"/>
  <c r="U41" i="30"/>
  <c r="T47" i="30"/>
  <c r="U49" i="30"/>
  <c r="G5" i="29"/>
  <c r="H5" i="29"/>
  <c r="G6" i="29"/>
  <c r="H6" i="29"/>
  <c r="G7" i="29"/>
  <c r="H7" i="29"/>
  <c r="G8" i="29"/>
  <c r="H8" i="29"/>
  <c r="G9" i="29"/>
  <c r="H9" i="29"/>
  <c r="G10" i="29"/>
  <c r="H10" i="29"/>
  <c r="G11" i="29"/>
  <c r="H11" i="29"/>
  <c r="G12" i="29"/>
  <c r="H12" i="29"/>
  <c r="G13" i="29"/>
  <c r="H13" i="29"/>
  <c r="G14" i="29"/>
  <c r="H14" i="29"/>
  <c r="G15" i="29"/>
  <c r="H15" i="29"/>
  <c r="G16" i="29"/>
  <c r="H16" i="29"/>
  <c r="G17" i="29"/>
  <c r="H17" i="29"/>
  <c r="G18" i="29"/>
  <c r="H18" i="29"/>
  <c r="G19" i="29"/>
  <c r="H19" i="29"/>
  <c r="G20" i="29"/>
  <c r="H20" i="29"/>
  <c r="G21" i="29"/>
  <c r="H21" i="29"/>
  <c r="G22" i="29"/>
  <c r="H22" i="29"/>
  <c r="G23" i="29"/>
  <c r="H23" i="29"/>
  <c r="G24" i="29"/>
  <c r="H24" i="29"/>
  <c r="G25" i="29"/>
  <c r="H25" i="29"/>
  <c r="G26" i="29"/>
  <c r="H26" i="29"/>
  <c r="G27" i="29"/>
  <c r="H27" i="29"/>
  <c r="G28" i="29"/>
  <c r="H28" i="29"/>
  <c r="G29" i="29"/>
  <c r="H29" i="29"/>
  <c r="G30" i="29"/>
  <c r="H30" i="29"/>
  <c r="G31" i="29"/>
  <c r="H31" i="29"/>
  <c r="G32" i="29"/>
  <c r="H32" i="29"/>
  <c r="G33" i="29"/>
  <c r="H33" i="29"/>
  <c r="G34" i="29"/>
  <c r="H34" i="29"/>
  <c r="G35" i="29"/>
  <c r="J5" i="29" s="1"/>
  <c r="H35" i="29"/>
  <c r="N31" i="29" s="1"/>
  <c r="J38" i="29"/>
  <c r="L38" i="29"/>
  <c r="G42" i="30" l="1"/>
  <c r="G43" i="30" s="1"/>
  <c r="E54" i="30"/>
  <c r="D53" i="30"/>
  <c r="F42" i="30"/>
  <c r="F43" i="30" s="1"/>
  <c r="G45" i="30" s="1"/>
  <c r="I44"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O34" i="29"/>
  <c r="O33" i="29"/>
  <c r="O32" i="29"/>
  <c r="O31" i="29"/>
  <c r="O30" i="29"/>
  <c r="O29" i="29"/>
  <c r="O28" i="29"/>
  <c r="O27" i="29"/>
  <c r="O26" i="29"/>
  <c r="O25" i="29"/>
  <c r="O24" i="29"/>
  <c r="O23" i="29"/>
  <c r="O22" i="29"/>
  <c r="O21" i="29"/>
  <c r="O20" i="29"/>
  <c r="O19" i="29"/>
  <c r="O18" i="29"/>
  <c r="O17" i="29"/>
  <c r="O16" i="29"/>
  <c r="O15" i="29"/>
  <c r="O14" i="29"/>
  <c r="O13" i="29"/>
  <c r="O12" i="29"/>
  <c r="O11" i="29"/>
  <c r="O10" i="29"/>
  <c r="O9" i="29"/>
  <c r="O8" i="29"/>
  <c r="O7" i="29"/>
  <c r="O6" i="29"/>
  <c r="O5" i="29"/>
  <c r="N33" i="29"/>
  <c r="N30" i="29"/>
  <c r="N28" i="29"/>
  <c r="N26" i="29"/>
  <c r="N25" i="29"/>
  <c r="N24" i="29"/>
  <c r="N22" i="29"/>
  <c r="N21" i="29"/>
  <c r="N20" i="29"/>
  <c r="N19" i="29"/>
  <c r="N18" i="29"/>
  <c r="N17" i="29"/>
  <c r="N16" i="29"/>
  <c r="N15" i="29"/>
  <c r="N14" i="29"/>
  <c r="N13" i="29"/>
  <c r="N12" i="29"/>
  <c r="N11" i="29"/>
  <c r="N10" i="29"/>
  <c r="N9" i="29"/>
  <c r="N8" i="29"/>
  <c r="N7" i="29"/>
  <c r="N6" i="29"/>
  <c r="N5" i="29"/>
  <c r="N34" i="29"/>
  <c r="N29" i="29"/>
  <c r="N27" i="29"/>
  <c r="N23" i="29"/>
  <c r="H40"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N32" i="29"/>
  <c r="K34" i="29"/>
  <c r="K33" i="29"/>
  <c r="K32" i="29"/>
  <c r="K31" i="29"/>
  <c r="K30" i="29"/>
  <c r="K29" i="29"/>
  <c r="K28" i="29"/>
  <c r="K27" i="29"/>
  <c r="K26" i="29"/>
  <c r="K25" i="29"/>
  <c r="K24" i="29"/>
  <c r="K23" i="29"/>
  <c r="K22" i="29"/>
  <c r="K21" i="29"/>
  <c r="K20" i="29"/>
  <c r="K19" i="29"/>
  <c r="K18" i="29"/>
  <c r="K17" i="29"/>
  <c r="K16" i="29"/>
  <c r="K15" i="29"/>
  <c r="K14" i="29"/>
  <c r="K13" i="29"/>
  <c r="K12" i="29"/>
  <c r="K11" i="29"/>
  <c r="K10" i="29"/>
  <c r="K9" i="29"/>
  <c r="K8" i="29"/>
  <c r="K7" i="29"/>
  <c r="K6" i="29"/>
  <c r="K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J6" i="29"/>
  <c r="C34" i="28"/>
  <c r="C35" i="28" s="1"/>
  <c r="B34" i="28"/>
  <c r="H44" i="29" l="1"/>
  <c r="J44" i="29" s="1"/>
  <c r="H45" i="29" s="1"/>
  <c r="H42" i="29"/>
  <c r="I43" i="29"/>
  <c r="H43" i="29"/>
  <c r="C36" i="28"/>
  <c r="I2" i="28" s="1"/>
  <c r="I3" i="28"/>
  <c r="C55" i="27"/>
  <c r="C54" i="27"/>
  <c r="J1" i="27" s="1"/>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C23" i="27"/>
  <c r="F3" i="27" s="1"/>
  <c r="D22" i="27"/>
  <c r="D21" i="27"/>
  <c r="D20" i="27"/>
  <c r="D19" i="27"/>
  <c r="D18" i="27"/>
  <c r="D17" i="27"/>
  <c r="D16" i="27"/>
  <c r="D15" i="27"/>
  <c r="D14" i="27"/>
  <c r="D13" i="27"/>
  <c r="D12" i="27"/>
  <c r="D11" i="27"/>
  <c r="D10" i="27"/>
  <c r="D9" i="27"/>
  <c r="D8" i="27"/>
  <c r="D7" i="27"/>
  <c r="D6" i="27"/>
  <c r="D5" i="27"/>
  <c r="D4" i="27"/>
  <c r="D3" i="27"/>
  <c r="K1" i="27"/>
  <c r="E55" i="27" s="1"/>
  <c r="F55" i="27" s="1"/>
  <c r="F31" i="28" l="1"/>
  <c r="F27" i="28"/>
  <c r="F23" i="28"/>
  <c r="F19" i="28"/>
  <c r="F15" i="28"/>
  <c r="F11" i="28"/>
  <c r="F7" i="28"/>
  <c r="F22" i="28"/>
  <c r="F10" i="28"/>
  <c r="F30" i="28"/>
  <c r="F26" i="28"/>
  <c r="F18" i="28"/>
  <c r="F14" i="28"/>
  <c r="F6" i="28"/>
  <c r="F4" i="28"/>
  <c r="F33" i="28"/>
  <c r="F29" i="28"/>
  <c r="F25" i="28"/>
  <c r="F21" i="28"/>
  <c r="F17" i="28"/>
  <c r="F13" i="28"/>
  <c r="F9" i="28"/>
  <c r="F5" i="28"/>
  <c r="F28" i="28"/>
  <c r="F8" i="28"/>
  <c r="F32" i="28"/>
  <c r="F24" i="28"/>
  <c r="F20" i="28"/>
  <c r="F16" i="28"/>
  <c r="F12" i="28"/>
  <c r="I4" i="28"/>
  <c r="E4" i="28"/>
  <c r="E31" i="28"/>
  <c r="E27" i="28"/>
  <c r="E23" i="28"/>
  <c r="E19" i="28"/>
  <c r="E15" i="28"/>
  <c r="E11" i="28"/>
  <c r="E7" i="28"/>
  <c r="E6" i="28"/>
  <c r="E24" i="28"/>
  <c r="E12" i="28"/>
  <c r="E14" i="28"/>
  <c r="E20" i="28"/>
  <c r="E30" i="28"/>
  <c r="E26" i="28"/>
  <c r="E22" i="28"/>
  <c r="E18" i="28"/>
  <c r="E10" i="28"/>
  <c r="E32" i="28"/>
  <c r="E16" i="28"/>
  <c r="E8" i="28"/>
  <c r="E33" i="28"/>
  <c r="E29" i="28"/>
  <c r="E25" i="28"/>
  <c r="E21" i="28"/>
  <c r="E17" i="28"/>
  <c r="E13" i="28"/>
  <c r="E9" i="28"/>
  <c r="E5" i="28"/>
  <c r="E28" i="28"/>
  <c r="E1" i="27"/>
  <c r="F1" i="27" s="1"/>
  <c r="G3" i="27" s="1"/>
  <c r="E24" i="27"/>
  <c r="F24" i="27" s="1"/>
  <c r="J2" i="27"/>
  <c r="J3" i="27"/>
  <c r="K3" i="27"/>
  <c r="K2" i="27"/>
  <c r="B49" i="26"/>
  <c r="Q32" i="26"/>
  <c r="T31" i="26" s="1"/>
  <c r="I32" i="26"/>
  <c r="F30" i="26" s="1"/>
  <c r="A32" i="26"/>
  <c r="C31" i="26" s="1"/>
  <c r="G31" i="26"/>
  <c r="F31" i="26"/>
  <c r="S30" i="26"/>
  <c r="R30" i="26"/>
  <c r="H30" i="26"/>
  <c r="B30" i="26"/>
  <c r="T29" i="26"/>
  <c r="D29" i="26"/>
  <c r="C29" i="26"/>
  <c r="H28" i="26"/>
  <c r="G28" i="26"/>
  <c r="F28" i="26"/>
  <c r="T27" i="26"/>
  <c r="S27" i="26"/>
  <c r="R27" i="26"/>
  <c r="D27" i="26"/>
  <c r="C27" i="26"/>
  <c r="B27" i="26"/>
  <c r="F26" i="26"/>
  <c r="D26" i="26"/>
  <c r="S25" i="26"/>
  <c r="R25" i="26"/>
  <c r="H25" i="26"/>
  <c r="G25" i="26"/>
  <c r="B25" i="26"/>
  <c r="T24" i="26"/>
  <c r="S24" i="26"/>
  <c r="D24" i="26"/>
  <c r="C24" i="26"/>
  <c r="B24" i="26"/>
  <c r="H23" i="26"/>
  <c r="G23" i="26"/>
  <c r="F23" i="26"/>
  <c r="T22" i="26"/>
  <c r="S22" i="26"/>
  <c r="R22" i="26"/>
  <c r="H22" i="26"/>
  <c r="C22" i="26"/>
  <c r="B22" i="26"/>
  <c r="T21" i="26"/>
  <c r="F21" i="26"/>
  <c r="D21" i="26"/>
  <c r="C21" i="26"/>
  <c r="R20" i="26"/>
  <c r="H20" i="26"/>
  <c r="G20" i="26"/>
  <c r="F20" i="26"/>
  <c r="T19" i="26"/>
  <c r="S19" i="26"/>
  <c r="R19" i="26"/>
  <c r="D19" i="26"/>
  <c r="C19" i="26"/>
  <c r="B19" i="26"/>
  <c r="G18" i="26"/>
  <c r="F18" i="26"/>
  <c r="D18" i="26"/>
  <c r="S17" i="26"/>
  <c r="R17" i="26"/>
  <c r="H17" i="26"/>
  <c r="G17" i="26"/>
  <c r="B17" i="26"/>
  <c r="T16" i="26"/>
  <c r="S16" i="26"/>
  <c r="D16" i="26"/>
  <c r="C16" i="26"/>
  <c r="B16" i="26"/>
  <c r="H15" i="26"/>
  <c r="G15" i="26"/>
  <c r="F15" i="26"/>
  <c r="D15" i="26"/>
  <c r="T14" i="26"/>
  <c r="S14" i="26"/>
  <c r="R14" i="26"/>
  <c r="H14" i="26"/>
  <c r="G14" i="26"/>
  <c r="C14" i="26"/>
  <c r="B14" i="26"/>
  <c r="T13" i="26"/>
  <c r="S13" i="26"/>
  <c r="F13" i="26"/>
  <c r="D13" i="26"/>
  <c r="C13" i="26"/>
  <c r="B13" i="26"/>
  <c r="R12" i="26"/>
  <c r="H12" i="26"/>
  <c r="G12" i="26"/>
  <c r="F12" i="26"/>
  <c r="T11" i="26"/>
  <c r="S11" i="26"/>
  <c r="R11" i="26"/>
  <c r="H11" i="26"/>
  <c r="D11" i="26"/>
  <c r="C11" i="26"/>
  <c r="B11" i="26"/>
  <c r="T10" i="26"/>
  <c r="G10" i="26"/>
  <c r="F10" i="26"/>
  <c r="D10" i="26"/>
  <c r="C10" i="26"/>
  <c r="S9" i="26"/>
  <c r="R9" i="26"/>
  <c r="H9" i="26"/>
  <c r="G9" i="26"/>
  <c r="F9" i="26"/>
  <c r="B9" i="26"/>
  <c r="T8" i="26"/>
  <c r="S8" i="26"/>
  <c r="R8" i="26"/>
  <c r="D8" i="26"/>
  <c r="C8" i="26"/>
  <c r="B8" i="26"/>
  <c r="H7" i="26"/>
  <c r="G7" i="26"/>
  <c r="F7" i="26"/>
  <c r="D7" i="26"/>
  <c r="T6" i="26"/>
  <c r="S6" i="26"/>
  <c r="R6" i="26"/>
  <c r="H6" i="26"/>
  <c r="G6" i="26"/>
  <c r="C6" i="26"/>
  <c r="B6" i="26"/>
  <c r="U5" i="26"/>
  <c r="U6" i="26" s="1"/>
  <c r="U7" i="26" s="1"/>
  <c r="U8" i="26" s="1"/>
  <c r="U9" i="26" s="1"/>
  <c r="U10" i="26" s="1"/>
  <c r="U11" i="26" s="1"/>
  <c r="U12" i="26" s="1"/>
  <c r="U13" i="26" s="1"/>
  <c r="U14" i="26" s="1"/>
  <c r="U15" i="26" s="1"/>
  <c r="U16" i="26" s="1"/>
  <c r="U17" i="26" s="1"/>
  <c r="U18" i="26" s="1"/>
  <c r="U19" i="26" s="1"/>
  <c r="U20" i="26" s="1"/>
  <c r="U21" i="26" s="1"/>
  <c r="U22" i="26" s="1"/>
  <c r="U23" i="26" s="1"/>
  <c r="U24" i="26" s="1"/>
  <c r="U25" i="26" s="1"/>
  <c r="U26" i="26" s="1"/>
  <c r="U27" i="26" s="1"/>
  <c r="U28" i="26" s="1"/>
  <c r="U29" i="26" s="1"/>
  <c r="U30" i="26" s="1"/>
  <c r="U31" i="26" s="1"/>
  <c r="T5" i="26"/>
  <c r="S5" i="26"/>
  <c r="F5" i="26"/>
  <c r="D5" i="26"/>
  <c r="C5" i="26"/>
  <c r="B5" i="26"/>
  <c r="H4" i="26"/>
  <c r="G4" i="26"/>
  <c r="F4" i="26"/>
  <c r="E4" i="26"/>
  <c r="E5" i="26" s="1"/>
  <c r="E6" i="26" s="1"/>
  <c r="E7" i="26" s="1"/>
  <c r="E8" i="26" s="1"/>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D4" i="26"/>
  <c r="G3" i="26"/>
  <c r="F3" i="26"/>
  <c r="E3" i="26"/>
  <c r="D3" i="26"/>
  <c r="C3" i="26"/>
  <c r="F2" i="26"/>
  <c r="D2" i="26"/>
  <c r="C2" i="26"/>
  <c r="B2" i="26"/>
  <c r="E3" i="27" l="1"/>
  <c r="R16" i="26"/>
  <c r="F17" i="26"/>
  <c r="C18" i="26"/>
  <c r="T18" i="26"/>
  <c r="H19" i="26"/>
  <c r="B21" i="26"/>
  <c r="S21" i="26"/>
  <c r="G22" i="26"/>
  <c r="D23" i="26"/>
  <c r="R24" i="26"/>
  <c r="F25" i="26"/>
  <c r="C26" i="26"/>
  <c r="T26" i="26"/>
  <c r="H27" i="26"/>
  <c r="B29" i="26"/>
  <c r="S29" i="26"/>
  <c r="G30" i="26"/>
  <c r="D31" i="26"/>
  <c r="G26" i="26"/>
  <c r="R28" i="26"/>
  <c r="F29" i="26"/>
  <c r="C30" i="26"/>
  <c r="T30" i="26"/>
  <c r="H31" i="26"/>
  <c r="B41" i="26"/>
  <c r="B54" i="26" s="1"/>
  <c r="R4" i="26"/>
  <c r="F8" i="26"/>
  <c r="H10" i="26"/>
  <c r="S12" i="26"/>
  <c r="G13" i="26"/>
  <c r="D14" i="26"/>
  <c r="R15" i="26"/>
  <c r="F16" i="26"/>
  <c r="C17" i="26"/>
  <c r="T17" i="26"/>
  <c r="H18" i="26"/>
  <c r="B20" i="26"/>
  <c r="S20" i="26"/>
  <c r="G21" i="26"/>
  <c r="D22" i="26"/>
  <c r="R23" i="26"/>
  <c r="F24" i="26"/>
  <c r="C25" i="26"/>
  <c r="T25" i="26"/>
  <c r="H26" i="26"/>
  <c r="B28" i="26"/>
  <c r="S28" i="26"/>
  <c r="G29" i="26"/>
  <c r="D30" i="26"/>
  <c r="R31" i="26"/>
  <c r="G2" i="26"/>
  <c r="D6" i="26"/>
  <c r="T9" i="26"/>
  <c r="B12" i="26"/>
  <c r="H2" i="26"/>
  <c r="B4" i="26"/>
  <c r="S4" i="26"/>
  <c r="H5" i="26"/>
  <c r="B7" i="26"/>
  <c r="S7" i="26"/>
  <c r="G8" i="26"/>
  <c r="D9" i="26"/>
  <c r="R10" i="26"/>
  <c r="F11" i="26"/>
  <c r="C12" i="26"/>
  <c r="T12" i="26"/>
  <c r="H13" i="26"/>
  <c r="B15" i="26"/>
  <c r="S15" i="26"/>
  <c r="G16" i="26"/>
  <c r="D17" i="26"/>
  <c r="R18" i="26"/>
  <c r="F19" i="26"/>
  <c r="C20" i="26"/>
  <c r="T20" i="26"/>
  <c r="H21" i="26"/>
  <c r="B23" i="26"/>
  <c r="S23" i="26"/>
  <c r="G24" i="26"/>
  <c r="D25" i="26"/>
  <c r="R26" i="26"/>
  <c r="F27" i="26"/>
  <c r="C28" i="26"/>
  <c r="T28" i="26"/>
  <c r="H29" i="26"/>
  <c r="B31" i="26"/>
  <c r="S31" i="26"/>
  <c r="H3" i="26"/>
  <c r="G5" i="26"/>
  <c r="R7" i="26"/>
  <c r="C9" i="26"/>
  <c r="B3" i="26"/>
  <c r="C4" i="26"/>
  <c r="T4" i="26"/>
  <c r="R5" i="26"/>
  <c r="F6" i="26"/>
  <c r="C7" i="26"/>
  <c r="T7" i="26"/>
  <c r="H8" i="26"/>
  <c r="B10" i="26"/>
  <c r="S10" i="26"/>
  <c r="G11" i="26"/>
  <c r="D12" i="26"/>
  <c r="R13" i="26"/>
  <c r="F14" i="26"/>
  <c r="C15" i="26"/>
  <c r="T15" i="26"/>
  <c r="H16" i="26"/>
  <c r="B18" i="26"/>
  <c r="S18" i="26"/>
  <c r="G19" i="26"/>
  <c r="D20" i="26"/>
  <c r="R21" i="26"/>
  <c r="F22" i="26"/>
  <c r="C23" i="26"/>
  <c r="T23" i="26"/>
  <c r="H24" i="26"/>
  <c r="B26" i="26"/>
  <c r="S26" i="26"/>
  <c r="G27" i="26"/>
  <c r="D28" i="26"/>
  <c r="R29" i="26"/>
  <c r="E47" i="25"/>
  <c r="F49" i="25" s="1"/>
  <c r="G49" i="25" s="1"/>
  <c r="J30" i="25"/>
  <c r="J23" i="25"/>
  <c r="J14" i="25"/>
  <c r="J34" i="25" s="1"/>
  <c r="J12" i="25"/>
  <c r="J33" i="25" s="1"/>
  <c r="F10" i="25"/>
  <c r="E10" i="25"/>
  <c r="J13" i="25" s="1"/>
  <c r="D10" i="25"/>
  <c r="C10" i="25"/>
  <c r="J11" i="25" s="1"/>
  <c r="J32" i="25" s="1"/>
  <c r="B10" i="25"/>
  <c r="H10" i="25" s="1"/>
  <c r="J9" i="25"/>
  <c r="H9" i="25"/>
  <c r="F9" i="25"/>
  <c r="E9" i="25"/>
  <c r="D9" i="25"/>
  <c r="J5" i="25" s="1"/>
  <c r="J26" i="25" s="1"/>
  <c r="C9" i="25"/>
  <c r="B9" i="25"/>
  <c r="J3" i="25" s="1"/>
  <c r="J24" i="25" s="1"/>
  <c r="J7" i="25"/>
  <c r="J28" i="25" s="1"/>
  <c r="J6" i="25"/>
  <c r="J27" i="25" s="1"/>
  <c r="J4" i="25"/>
  <c r="J25" i="25" s="1"/>
  <c r="J2" i="25"/>
  <c r="C54" i="26" l="1"/>
  <c r="D42" i="26"/>
  <c r="D43" i="26" s="1"/>
  <c r="E42" i="26"/>
  <c r="E43" i="26" s="1"/>
  <c r="B56" i="26"/>
  <c r="B55" i="26" s="1"/>
  <c r="B53" i="26"/>
  <c r="G17" i="25"/>
  <c r="G19" i="25"/>
  <c r="G18" i="25"/>
  <c r="G15" i="25"/>
  <c r="J10" i="25"/>
  <c r="J31" i="25" s="1"/>
  <c r="G14" i="25"/>
  <c r="D21" i="25"/>
  <c r="G13" i="25"/>
  <c r="G26" i="25"/>
  <c r="B24" i="24"/>
  <c r="C22" i="24"/>
  <c r="B23" i="24" s="1"/>
  <c r="B22" i="24"/>
  <c r="D21" i="24"/>
  <c r="D20" i="24"/>
  <c r="D19" i="24"/>
  <c r="D18" i="24"/>
  <c r="D17" i="24"/>
  <c r="D16" i="24"/>
  <c r="D15" i="24"/>
  <c r="A15" i="24"/>
  <c r="A16" i="24" s="1"/>
  <c r="A17" i="24" s="1"/>
  <c r="A18" i="24" s="1"/>
  <c r="A19" i="24" s="1"/>
  <c r="A20" i="24" s="1"/>
  <c r="A21" i="24" s="1"/>
  <c r="D14" i="24"/>
  <c r="D13" i="24"/>
  <c r="D12" i="24"/>
  <c r="D11" i="24"/>
  <c r="D10" i="24"/>
  <c r="D9" i="24"/>
  <c r="D8" i="24"/>
  <c r="D7" i="24"/>
  <c r="D6" i="24"/>
  <c r="D5" i="24"/>
  <c r="D4" i="24"/>
  <c r="D3" i="24"/>
  <c r="D2" i="24"/>
  <c r="E45" i="26" l="1"/>
  <c r="F35" i="25"/>
  <c r="E37" i="25" s="1"/>
  <c r="G31" i="25"/>
  <c r="M31" i="25" s="1"/>
  <c r="G30" i="25"/>
  <c r="L31" i="25" s="1"/>
  <c r="L32" i="25" s="1"/>
  <c r="L33" i="25" s="1"/>
  <c r="L34" i="25" s="1"/>
  <c r="G29" i="25"/>
  <c r="K31" i="25" s="1"/>
  <c r="K32" i="25" s="1"/>
  <c r="K33" i="25" s="1"/>
  <c r="K34" i="25" s="1"/>
  <c r="L6" i="25"/>
  <c r="L4" i="25"/>
  <c r="L25" i="25"/>
  <c r="L27" i="25"/>
  <c r="L28" i="25"/>
  <c r="L7" i="25"/>
  <c r="L5" i="25"/>
  <c r="L3" i="25"/>
  <c r="L26" i="25"/>
  <c r="G25" i="25"/>
  <c r="K24" i="25" s="1"/>
  <c r="K25" i="25" s="1"/>
  <c r="K26" i="25" s="1"/>
  <c r="K27" i="25" s="1"/>
  <c r="K28" i="25" s="1"/>
  <c r="M6" i="25"/>
  <c r="M4" i="25"/>
  <c r="M5" i="25"/>
  <c r="M7" i="25"/>
  <c r="M3" i="25"/>
  <c r="L24" i="25"/>
  <c r="G44" i="25"/>
  <c r="E44" i="25"/>
  <c r="E40" i="25"/>
  <c r="E39" i="25"/>
  <c r="L13" i="25"/>
  <c r="L12" i="25"/>
  <c r="L11" i="25"/>
  <c r="L10" i="25"/>
  <c r="L14" i="25"/>
  <c r="K6" i="25"/>
  <c r="K4" i="25"/>
  <c r="K7" i="25"/>
  <c r="K5" i="25"/>
  <c r="K3" i="25"/>
  <c r="M11" i="25"/>
  <c r="M12" i="25"/>
  <c r="M32" i="25"/>
  <c r="M10" i="25"/>
  <c r="M14" i="25"/>
  <c r="M33" i="25"/>
  <c r="M34" i="25" s="1"/>
  <c r="M13" i="25"/>
  <c r="G27" i="25"/>
  <c r="M24" i="25" s="1"/>
  <c r="M25" i="25" s="1"/>
  <c r="M26" i="25" s="1"/>
  <c r="M27" i="25" s="1"/>
  <c r="M28" i="25" s="1"/>
  <c r="K13" i="25"/>
  <c r="K14" i="25"/>
  <c r="K11" i="25"/>
  <c r="K12" i="25"/>
  <c r="K10" i="25"/>
  <c r="B25" i="24"/>
  <c r="E16" i="24" s="1"/>
  <c r="F19" i="24"/>
  <c r="G12" i="24"/>
  <c r="G10" i="24"/>
  <c r="G8" i="24"/>
  <c r="G6" i="24"/>
  <c r="G4" i="24"/>
  <c r="G2" i="24"/>
  <c r="F14" i="24"/>
  <c r="F12" i="24"/>
  <c r="F10" i="24"/>
  <c r="F6" i="24"/>
  <c r="F4" i="24"/>
  <c r="F2" i="24"/>
  <c r="F8" i="24"/>
  <c r="F17" i="24"/>
  <c r="E14" i="24"/>
  <c r="E12" i="24"/>
  <c r="E10" i="24"/>
  <c r="E8" i="24"/>
  <c r="E6" i="24"/>
  <c r="E4" i="24"/>
  <c r="G3" i="24"/>
  <c r="E11" i="24"/>
  <c r="F20" i="24"/>
  <c r="E17" i="24"/>
  <c r="G15" i="24"/>
  <c r="E5" i="24"/>
  <c r="E20" i="24"/>
  <c r="F15" i="24"/>
  <c r="G13" i="24"/>
  <c r="G11" i="24"/>
  <c r="G9" i="24"/>
  <c r="G7" i="24"/>
  <c r="G5" i="24"/>
  <c r="E13" i="24"/>
  <c r="E3" i="24"/>
  <c r="G21" i="24"/>
  <c r="F18" i="24"/>
  <c r="E15" i="24"/>
  <c r="F13" i="24"/>
  <c r="F11" i="24"/>
  <c r="F9" i="24"/>
  <c r="F7" i="24"/>
  <c r="F5" i="24"/>
  <c r="F3" i="24"/>
  <c r="F21" i="24"/>
  <c r="E18" i="24"/>
  <c r="G16" i="24"/>
  <c r="E7" i="24"/>
  <c r="E9" i="24"/>
  <c r="E21" i="24"/>
  <c r="G19" i="24"/>
  <c r="F16" i="24"/>
  <c r="G4" i="23"/>
  <c r="H4" i="23"/>
  <c r="G5" i="23"/>
  <c r="H5" i="23"/>
  <c r="G6" i="23"/>
  <c r="H6" i="23"/>
  <c r="G7" i="23"/>
  <c r="G29" i="23" s="1"/>
  <c r="H7" i="23"/>
  <c r="H29" i="23" s="1"/>
  <c r="C36" i="23" s="1"/>
  <c r="G8" i="23"/>
  <c r="H8" i="23"/>
  <c r="G9" i="23"/>
  <c r="H9" i="23"/>
  <c r="G10" i="23"/>
  <c r="H10" i="23"/>
  <c r="G11" i="23"/>
  <c r="H11" i="23"/>
  <c r="G12" i="23"/>
  <c r="H12" i="23"/>
  <c r="G13" i="23"/>
  <c r="H13" i="23"/>
  <c r="G14" i="23"/>
  <c r="H14" i="23"/>
  <c r="G15" i="23"/>
  <c r="H15" i="23"/>
  <c r="G16" i="23"/>
  <c r="H16" i="23"/>
  <c r="G17" i="23"/>
  <c r="H17" i="23"/>
  <c r="G18" i="23"/>
  <c r="H18" i="23"/>
  <c r="G19" i="23"/>
  <c r="H19" i="23"/>
  <c r="G20" i="23"/>
  <c r="H20" i="23"/>
  <c r="G21" i="23"/>
  <c r="H21" i="23"/>
  <c r="G22" i="23"/>
  <c r="H22" i="23"/>
  <c r="G23" i="23"/>
  <c r="H23" i="23"/>
  <c r="G24" i="23"/>
  <c r="H24" i="23"/>
  <c r="G25" i="23"/>
  <c r="H25" i="23"/>
  <c r="G26" i="23"/>
  <c r="H26" i="23"/>
  <c r="G27" i="23"/>
  <c r="H27" i="23"/>
  <c r="G28" i="23"/>
  <c r="H28" i="23"/>
  <c r="G30" i="23"/>
  <c r="G31" i="23" s="1"/>
  <c r="C41" i="23"/>
  <c r="G18" i="24" l="1"/>
  <c r="E2" i="24"/>
  <c r="G20" i="24"/>
  <c r="G17" i="24"/>
  <c r="G14" i="24"/>
  <c r="E19" i="24"/>
  <c r="C40" i="23"/>
  <c r="C37" i="23"/>
  <c r="C38" i="23"/>
  <c r="C43" i="23"/>
  <c r="D38" i="23"/>
  <c r="D40" i="23"/>
  <c r="B43" i="23"/>
  <c r="D43" i="23" l="1"/>
  <c r="E43" i="23" s="1"/>
  <c r="E40" i="23"/>
  <c r="C39" i="23" s="1"/>
  <c r="F17" i="22"/>
  <c r="F18" i="22"/>
  <c r="F19" i="22"/>
  <c r="F20" i="22"/>
  <c r="F21" i="22"/>
  <c r="F22" i="22"/>
  <c r="F23" i="22"/>
  <c r="F24" i="22"/>
  <c r="F25" i="22"/>
  <c r="F26" i="22"/>
  <c r="F16" i="22"/>
  <c r="D26" i="22"/>
  <c r="E26" i="22" s="1"/>
  <c r="D25" i="22"/>
  <c r="E25" i="22" s="1"/>
  <c r="D24" i="22"/>
  <c r="E24" i="22" s="1"/>
  <c r="D23" i="22"/>
  <c r="E23" i="22" s="1"/>
  <c r="D22" i="22"/>
  <c r="E22" i="22" s="1"/>
  <c r="D21" i="22"/>
  <c r="E21" i="22" s="1"/>
  <c r="D20" i="22"/>
  <c r="E20" i="22" s="1"/>
  <c r="D19" i="22"/>
  <c r="E19" i="22" s="1"/>
  <c r="D18" i="22"/>
  <c r="E18" i="22" s="1"/>
  <c r="D17" i="22"/>
  <c r="E17" i="22" s="1"/>
  <c r="D16" i="22"/>
  <c r="E16" i="22" s="1"/>
  <c r="E10" i="22"/>
  <c r="C33" i="21" l="1"/>
  <c r="C28" i="21"/>
  <c r="H23" i="21"/>
  <c r="I23" i="21" s="1"/>
  <c r="J23" i="21" s="1"/>
  <c r="C23" i="21"/>
  <c r="D23" i="21" s="1"/>
  <c r="F23" i="21" s="1"/>
  <c r="I22" i="21"/>
  <c r="J22" i="21" s="1"/>
  <c r="H22" i="21"/>
  <c r="C22" i="21"/>
  <c r="D22" i="21" s="1"/>
  <c r="F22" i="21" s="1"/>
  <c r="H21" i="21"/>
  <c r="I21" i="21" s="1"/>
  <c r="J21" i="21" s="1"/>
  <c r="C21" i="21"/>
  <c r="D21" i="21" s="1"/>
  <c r="F21" i="21" s="1"/>
  <c r="H20" i="21"/>
  <c r="I20" i="21" s="1"/>
  <c r="J20" i="21" s="1"/>
  <c r="C20" i="21"/>
  <c r="D20" i="21" s="1"/>
  <c r="F20" i="21" s="1"/>
  <c r="H19" i="21"/>
  <c r="I19" i="21" s="1"/>
  <c r="J19" i="21" s="1"/>
  <c r="C19" i="21"/>
  <c r="D19" i="21" s="1"/>
  <c r="F19" i="21" s="1"/>
  <c r="H18" i="21"/>
  <c r="I18" i="21" s="1"/>
  <c r="J18" i="21" s="1"/>
  <c r="C34" i="21" s="1"/>
  <c r="C35" i="21" s="1"/>
  <c r="C18" i="21"/>
  <c r="D18" i="21" s="1"/>
  <c r="F18" i="21" s="1"/>
  <c r="C29" i="21" s="1"/>
  <c r="H17" i="21"/>
  <c r="I17" i="21" s="1"/>
  <c r="J17" i="21" s="1"/>
  <c r="C17" i="21"/>
  <c r="D17" i="21" s="1"/>
  <c r="F17" i="21" s="1"/>
  <c r="I16" i="21"/>
  <c r="J16" i="21" s="1"/>
  <c r="H16" i="21"/>
  <c r="C16" i="21"/>
  <c r="D16" i="21" s="1"/>
  <c r="F16" i="21" s="1"/>
  <c r="H15" i="21"/>
  <c r="I15" i="21" s="1"/>
  <c r="J15" i="21" s="1"/>
  <c r="C15" i="21"/>
  <c r="D15" i="21" s="1"/>
  <c r="F15" i="21" s="1"/>
  <c r="H14" i="21"/>
  <c r="I14" i="21" s="1"/>
  <c r="J14" i="21" s="1"/>
  <c r="C14" i="21"/>
  <c r="D14" i="21" s="1"/>
  <c r="F14" i="21" s="1"/>
  <c r="C30" i="21" l="1"/>
  <c r="D12" i="20"/>
  <c r="C23" i="20" s="1"/>
  <c r="D23" i="20" s="1"/>
  <c r="E23" i="20" s="1"/>
  <c r="C8" i="20"/>
  <c r="C20" i="20" l="1"/>
  <c r="D20" i="20" s="1"/>
  <c r="E20" i="20" s="1"/>
  <c r="C16" i="20"/>
  <c r="D16" i="20" s="1"/>
  <c r="E16" i="20" s="1"/>
  <c r="C17" i="20"/>
  <c r="D17" i="20" s="1"/>
  <c r="E17" i="20" s="1"/>
  <c r="C14" i="20"/>
  <c r="D14" i="20" s="1"/>
  <c r="E14" i="20" s="1"/>
  <c r="C18" i="20"/>
  <c r="D18" i="20" s="1"/>
  <c r="E18" i="20" s="1"/>
  <c r="C22" i="20"/>
  <c r="D22" i="20" s="1"/>
  <c r="E22" i="20" s="1"/>
  <c r="C21" i="20"/>
  <c r="D21" i="20" s="1"/>
  <c r="E21" i="20" s="1"/>
  <c r="C15" i="20"/>
  <c r="D15" i="20" s="1"/>
  <c r="E15" i="20" s="1"/>
  <c r="C19" i="20"/>
  <c r="D19" i="20" s="1"/>
  <c r="E19" i="20" s="1"/>
  <c r="L26" i="19"/>
  <c r="N26" i="19" s="1"/>
  <c r="I26" i="19"/>
  <c r="K26" i="19" s="1"/>
  <c r="M26" i="19" s="1"/>
  <c r="L25" i="19"/>
  <c r="N25" i="19" s="1"/>
  <c r="I25" i="19"/>
  <c r="K25" i="19" s="1"/>
  <c r="M25" i="19" s="1"/>
  <c r="L24" i="19"/>
  <c r="N24" i="19" s="1"/>
  <c r="I24" i="19"/>
  <c r="K24" i="19" s="1"/>
  <c r="M24" i="19" s="1"/>
  <c r="L23" i="19"/>
  <c r="N23" i="19" s="1"/>
  <c r="I30" i="19" s="1"/>
  <c r="I23" i="19"/>
  <c r="K23" i="19" s="1"/>
  <c r="M23" i="19" s="1"/>
  <c r="L22" i="19"/>
  <c r="N22" i="19" s="1"/>
  <c r="I22" i="19"/>
  <c r="K22" i="19" s="1"/>
  <c r="M22" i="19" s="1"/>
  <c r="D22" i="19"/>
  <c r="C22" i="19"/>
  <c r="L21" i="19"/>
  <c r="N21" i="19" s="1"/>
  <c r="I21" i="19"/>
  <c r="K21" i="19" s="1"/>
  <c r="M21" i="19" s="1"/>
  <c r="L20" i="19"/>
  <c r="N20" i="19" s="1"/>
  <c r="I20" i="19"/>
  <c r="K20" i="19" s="1"/>
  <c r="M20" i="19" s="1"/>
  <c r="L19" i="19"/>
  <c r="N19" i="19" s="1"/>
  <c r="I19" i="19"/>
  <c r="K19" i="19" s="1"/>
  <c r="M19" i="19" s="1"/>
  <c r="E19" i="19"/>
  <c r="L18" i="19"/>
  <c r="N18" i="19" s="1"/>
  <c r="I18" i="19"/>
  <c r="K18" i="19" s="1"/>
  <c r="M18" i="19" s="1"/>
  <c r="I28" i="19" s="1"/>
  <c r="E18" i="19"/>
  <c r="L17" i="19"/>
  <c r="N17" i="19" s="1"/>
  <c r="I17" i="19"/>
  <c r="K17" i="19" s="1"/>
  <c r="M17" i="19" s="1"/>
  <c r="E17" i="19"/>
  <c r="L16" i="19"/>
  <c r="N16" i="19" s="1"/>
  <c r="I16" i="19"/>
  <c r="K16" i="19" s="1"/>
  <c r="M16" i="19" s="1"/>
  <c r="E16" i="19"/>
  <c r="L15" i="19"/>
  <c r="N15" i="19" s="1"/>
  <c r="I15" i="19"/>
  <c r="K15" i="19" s="1"/>
  <c r="M15" i="19" s="1"/>
  <c r="E15" i="19"/>
  <c r="L14" i="19"/>
  <c r="N14" i="19" s="1"/>
  <c r="I14" i="19"/>
  <c r="K14" i="19" s="1"/>
  <c r="M14" i="19" s="1"/>
  <c r="E14" i="19"/>
  <c r="L13" i="19"/>
  <c r="N13" i="19" s="1"/>
  <c r="I13" i="19"/>
  <c r="K13" i="19" s="1"/>
  <c r="M13" i="19" s="1"/>
  <c r="E13" i="19"/>
  <c r="L12" i="19"/>
  <c r="N12" i="19" s="1"/>
  <c r="I12" i="19"/>
  <c r="K12" i="19" s="1"/>
  <c r="M12" i="19" s="1"/>
  <c r="E12" i="19"/>
  <c r="E11" i="19"/>
  <c r="D7" i="19"/>
  <c r="P21" i="18" l="1"/>
  <c r="P22" i="18"/>
  <c r="P23" i="18"/>
  <c r="P24" i="18"/>
  <c r="P25" i="18"/>
  <c r="P26" i="18"/>
  <c r="P27" i="18"/>
  <c r="P28" i="18"/>
  <c r="P29" i="18"/>
  <c r="P20" i="18"/>
  <c r="O21" i="18"/>
  <c r="O22" i="18"/>
  <c r="O23" i="18"/>
  <c r="O24" i="18"/>
  <c r="O25" i="18"/>
  <c r="O26" i="18"/>
  <c r="O27" i="18"/>
  <c r="O28" i="18"/>
  <c r="O29" i="18"/>
  <c r="O20" i="18"/>
  <c r="N20" i="18"/>
  <c r="N21" i="18"/>
  <c r="N22" i="18"/>
  <c r="N23" i="18"/>
  <c r="N24" i="18"/>
  <c r="N25" i="18"/>
  <c r="N26" i="18"/>
  <c r="N27" i="18"/>
  <c r="N28" i="18"/>
  <c r="N29" i="18"/>
  <c r="M20" i="18"/>
  <c r="M21" i="18"/>
  <c r="M22" i="18"/>
  <c r="M23" i="18"/>
  <c r="M24" i="18"/>
  <c r="M25" i="18"/>
  <c r="M26" i="18"/>
  <c r="M27" i="18"/>
  <c r="M28" i="18"/>
  <c r="M29" i="18"/>
  <c r="L20" i="18"/>
  <c r="L21" i="18"/>
  <c r="L22" i="18"/>
  <c r="L23" i="18"/>
  <c r="L24" i="18"/>
  <c r="L25" i="18"/>
  <c r="L26" i="18"/>
  <c r="L27" i="18"/>
  <c r="L28" i="18"/>
  <c r="L29" i="18"/>
  <c r="L19" i="18"/>
  <c r="I29" i="18"/>
  <c r="H29" i="18"/>
  <c r="C29" i="18"/>
  <c r="D29" i="18" s="1"/>
  <c r="F29" i="18" s="1"/>
  <c r="H28" i="18"/>
  <c r="I28" i="18" s="1"/>
  <c r="D28" i="18"/>
  <c r="F28" i="18" s="1"/>
  <c r="C28" i="18"/>
  <c r="I27" i="18"/>
  <c r="H27" i="18"/>
  <c r="D27" i="18"/>
  <c r="F27" i="18" s="1"/>
  <c r="C27" i="18"/>
  <c r="H26" i="18"/>
  <c r="I26" i="18" s="1"/>
  <c r="D26" i="18"/>
  <c r="F26" i="18" s="1"/>
  <c r="C26" i="18"/>
  <c r="H25" i="18"/>
  <c r="I25" i="18" s="1"/>
  <c r="C25" i="18"/>
  <c r="D25" i="18" s="1"/>
  <c r="F25" i="18" s="1"/>
  <c r="H24" i="18"/>
  <c r="I24" i="18" s="1"/>
  <c r="C24" i="18"/>
  <c r="D24" i="18" s="1"/>
  <c r="F24" i="18" s="1"/>
  <c r="I23" i="18"/>
  <c r="H23" i="18"/>
  <c r="C23" i="18"/>
  <c r="D23" i="18" s="1"/>
  <c r="F23" i="18" s="1"/>
  <c r="H22" i="18"/>
  <c r="I22" i="18" s="1"/>
  <c r="D22" i="18"/>
  <c r="F22" i="18" s="1"/>
  <c r="I12" i="18" s="1"/>
  <c r="C22" i="18"/>
  <c r="I21" i="18"/>
  <c r="H21" i="18"/>
  <c r="C21" i="18"/>
  <c r="D21" i="18" s="1"/>
  <c r="F21" i="18" s="1"/>
  <c r="H20" i="18"/>
  <c r="I20" i="18" s="1"/>
  <c r="C20" i="18"/>
  <c r="D20" i="18" s="1"/>
  <c r="F20" i="18" s="1"/>
  <c r="M12" i="18"/>
  <c r="M13" i="18" s="1"/>
  <c r="B12" i="18"/>
  <c r="I11" i="18"/>
  <c r="I13" i="18" s="1"/>
  <c r="B11" i="18"/>
  <c r="B13" i="18" s="1"/>
  <c r="K14" i="18" l="1"/>
  <c r="F35" i="17"/>
  <c r="F36" i="17"/>
  <c r="F37" i="17"/>
  <c r="F38" i="17"/>
  <c r="F39" i="17"/>
  <c r="F40" i="17"/>
  <c r="F41" i="17"/>
  <c r="F42" i="17"/>
  <c r="F43" i="17"/>
  <c r="F44" i="17"/>
  <c r="C52" i="17"/>
  <c r="C51" i="17"/>
  <c r="C50" i="17"/>
  <c r="C49" i="17"/>
  <c r="C48" i="17"/>
  <c r="C47" i="17"/>
  <c r="C46" i="17"/>
  <c r="C45" i="17"/>
  <c r="E44" i="17"/>
  <c r="C44" i="17"/>
  <c r="E43" i="17"/>
  <c r="C43" i="17"/>
  <c r="D43" i="17" s="1"/>
  <c r="E42" i="17"/>
  <c r="C42" i="17"/>
  <c r="D42" i="17" s="1"/>
  <c r="E41" i="17"/>
  <c r="D41" i="17"/>
  <c r="C41" i="17"/>
  <c r="E40" i="17"/>
  <c r="C40" i="17"/>
  <c r="D40" i="17" s="1"/>
  <c r="E39" i="17"/>
  <c r="D39" i="17"/>
  <c r="C39" i="17"/>
  <c r="E38" i="17"/>
  <c r="C38" i="17"/>
  <c r="D38" i="17" s="1"/>
  <c r="E37" i="17"/>
  <c r="D37" i="17"/>
  <c r="C37" i="17"/>
  <c r="E36" i="17"/>
  <c r="C36" i="17"/>
  <c r="D36" i="17" s="1"/>
  <c r="E35" i="17"/>
  <c r="C35" i="17"/>
  <c r="D35" i="17" s="1"/>
  <c r="E34" i="17"/>
  <c r="C34" i="17"/>
  <c r="D34" i="17" s="1"/>
  <c r="F28" i="17"/>
  <c r="F27" i="17"/>
  <c r="D21" i="17"/>
  <c r="D20" i="17"/>
  <c r="F18" i="17"/>
  <c r="F17" i="17"/>
  <c r="F16" i="17"/>
  <c r="F15" i="17"/>
  <c r="F14" i="17"/>
  <c r="F13" i="17"/>
  <c r="F12" i="17"/>
  <c r="F11" i="17"/>
  <c r="F10" i="17"/>
  <c r="D6" i="17"/>
  <c r="E5" i="16" l="1"/>
  <c r="E6" i="16"/>
  <c r="E7" i="16"/>
  <c r="E8" i="16"/>
  <c r="E9" i="16"/>
  <c r="E10" i="16"/>
  <c r="E4" i="16"/>
  <c r="D5" i="16"/>
  <c r="D6" i="16"/>
  <c r="D7" i="16"/>
  <c r="D8" i="16"/>
  <c r="D9" i="16"/>
  <c r="D10" i="16"/>
  <c r="D4" i="16"/>
  <c r="C5" i="16"/>
  <c r="C6" i="16"/>
  <c r="C7" i="16"/>
  <c r="C8" i="16"/>
  <c r="C9" i="16"/>
  <c r="C10" i="16"/>
  <c r="C4" i="16"/>
  <c r="I4" i="16"/>
  <c r="D50" i="15" l="1"/>
  <c r="E50" i="15" s="1"/>
  <c r="C50" i="15"/>
  <c r="C49" i="15"/>
  <c r="D49" i="15" s="1"/>
  <c r="E49" i="15" s="1"/>
  <c r="D48" i="15"/>
  <c r="E48" i="15" s="1"/>
  <c r="C48" i="15"/>
  <c r="C47" i="15"/>
  <c r="D47" i="15" s="1"/>
  <c r="E47" i="15" s="1"/>
  <c r="C46" i="15"/>
  <c r="D46" i="15" s="1"/>
  <c r="E46" i="15" s="1"/>
  <c r="C45" i="15"/>
  <c r="D45" i="15" s="1"/>
  <c r="E45" i="15" s="1"/>
  <c r="C44" i="15"/>
  <c r="D44" i="15" s="1"/>
  <c r="E44" i="15" s="1"/>
  <c r="C43" i="15"/>
  <c r="D43" i="15" s="1"/>
  <c r="E43" i="15" s="1"/>
  <c r="D42" i="15"/>
  <c r="E42" i="15" s="1"/>
  <c r="C42" i="15"/>
  <c r="D41" i="15"/>
  <c r="E41" i="15" s="1"/>
  <c r="C41" i="15"/>
  <c r="D40" i="15"/>
  <c r="E40" i="15" s="1"/>
  <c r="C40" i="15"/>
  <c r="C39" i="15"/>
  <c r="D39" i="15" s="1"/>
  <c r="E39" i="15" s="1"/>
  <c r="C38" i="15"/>
  <c r="D38" i="15" s="1"/>
  <c r="E38" i="15" s="1"/>
  <c r="C37" i="15"/>
  <c r="D37" i="15" s="1"/>
  <c r="E37" i="15" s="1"/>
  <c r="C36" i="15"/>
  <c r="D36" i="15" s="1"/>
  <c r="E36" i="15" s="1"/>
  <c r="C28" i="15"/>
  <c r="D28" i="15" s="1"/>
  <c r="E28" i="15" s="1"/>
  <c r="D27" i="15"/>
  <c r="E27" i="15" s="1"/>
  <c r="C27" i="15"/>
  <c r="D26" i="15"/>
  <c r="E26" i="15" s="1"/>
  <c r="C26" i="15"/>
  <c r="C25" i="15"/>
  <c r="D25" i="15" s="1"/>
  <c r="E25" i="15" s="1"/>
  <c r="C24" i="15"/>
  <c r="D24" i="15" s="1"/>
  <c r="E24" i="15" s="1"/>
  <c r="D23" i="15"/>
  <c r="E23" i="15" s="1"/>
  <c r="C23" i="15"/>
  <c r="D22" i="15"/>
  <c r="E22" i="15" s="1"/>
  <c r="C22" i="15"/>
  <c r="C21" i="15"/>
  <c r="D21" i="15" s="1"/>
  <c r="E21" i="15" s="1"/>
  <c r="D30" i="15" s="1"/>
  <c r="C20" i="15"/>
  <c r="D20" i="15" s="1"/>
  <c r="E20" i="15" s="1"/>
  <c r="D19" i="15"/>
  <c r="E19" i="15" s="1"/>
  <c r="C19" i="15"/>
  <c r="D18" i="15"/>
  <c r="E18" i="15" s="1"/>
  <c r="C18" i="15"/>
  <c r="C15" i="15"/>
  <c r="H28" i="15" s="1"/>
  <c r="I28" i="15" s="1"/>
  <c r="J28" i="15" s="1"/>
  <c r="C13" i="15"/>
  <c r="D8" i="15"/>
  <c r="H23" i="15" l="1"/>
  <c r="I23" i="15" s="1"/>
  <c r="J23" i="15" s="1"/>
  <c r="H27" i="15"/>
  <c r="I27" i="15" s="1"/>
  <c r="J27" i="15" s="1"/>
  <c r="H18" i="15"/>
  <c r="I18" i="15" s="1"/>
  <c r="J18" i="15" s="1"/>
  <c r="H22" i="15"/>
  <c r="I22" i="15" s="1"/>
  <c r="J22" i="15" s="1"/>
  <c r="H26" i="15"/>
  <c r="I26" i="15" s="1"/>
  <c r="J26" i="15" s="1"/>
  <c r="I30" i="15"/>
  <c r="H19" i="15"/>
  <c r="I19" i="15" s="1"/>
  <c r="J19" i="15" s="1"/>
  <c r="H25" i="15"/>
  <c r="I25" i="15" s="1"/>
  <c r="J25" i="15" s="1"/>
  <c r="H21" i="15"/>
  <c r="I21" i="15" s="1"/>
  <c r="J21" i="15" s="1"/>
  <c r="H20" i="15"/>
  <c r="I20" i="15" s="1"/>
  <c r="J20" i="15" s="1"/>
  <c r="H24" i="15"/>
  <c r="I24" i="15" s="1"/>
  <c r="J24" i="15" s="1"/>
  <c r="D24" i="14"/>
  <c r="K38" i="14" s="1"/>
  <c r="L38" i="14" s="1"/>
  <c r="D21" i="14"/>
  <c r="D17" i="14"/>
  <c r="D37" i="14" s="1"/>
  <c r="E37" i="14" s="1"/>
  <c r="F37" i="14" s="1"/>
  <c r="F15" i="14"/>
  <c r="F14" i="14"/>
  <c r="F13" i="14"/>
  <c r="F12" i="14"/>
  <c r="F11" i="14"/>
  <c r="F10" i="14"/>
  <c r="F9" i="14"/>
  <c r="D6" i="14"/>
  <c r="D34" i="14" l="1"/>
  <c r="E34" i="14" s="1"/>
  <c r="F34" i="14" s="1"/>
  <c r="K35" i="14"/>
  <c r="L35" i="14" s="1"/>
  <c r="D18" i="14"/>
  <c r="D31" i="14"/>
  <c r="E31" i="14" s="1"/>
  <c r="F31" i="14" s="1"/>
  <c r="K32" i="14"/>
  <c r="L32" i="14" s="1"/>
  <c r="D39" i="14"/>
  <c r="E39" i="14" s="1"/>
  <c r="F39" i="14" s="1"/>
  <c r="K40" i="14"/>
  <c r="L40" i="14" s="1"/>
  <c r="D36" i="14"/>
  <c r="E36" i="14" s="1"/>
  <c r="F36" i="14" s="1"/>
  <c r="K37" i="14"/>
  <c r="L37" i="14" s="1"/>
  <c r="D33" i="14"/>
  <c r="E33" i="14" s="1"/>
  <c r="F33" i="14" s="1"/>
  <c r="K34" i="14"/>
  <c r="L34" i="14" s="1"/>
  <c r="D41" i="14"/>
  <c r="E41" i="14" s="1"/>
  <c r="F41" i="14" s="1"/>
  <c r="D30" i="14"/>
  <c r="E30" i="14" s="1"/>
  <c r="F30" i="14" s="1"/>
  <c r="K31" i="14"/>
  <c r="L31" i="14" s="1"/>
  <c r="D38" i="14"/>
  <c r="E38" i="14" s="1"/>
  <c r="F38" i="14" s="1"/>
  <c r="K39" i="14"/>
  <c r="L39" i="14" s="1"/>
  <c r="D35" i="14"/>
  <c r="E35" i="14" s="1"/>
  <c r="F35" i="14" s="1"/>
  <c r="K36" i="14"/>
  <c r="L36" i="14" s="1"/>
  <c r="D32" i="14"/>
  <c r="E32" i="14" s="1"/>
  <c r="F32" i="14" s="1"/>
  <c r="K33" i="14"/>
  <c r="L33" i="14" s="1"/>
  <c r="D40" i="14"/>
  <c r="E40" i="14" s="1"/>
  <c r="F40" i="14" s="1"/>
  <c r="K41" i="14"/>
  <c r="L41" i="14" s="1"/>
  <c r="K30" i="14"/>
  <c r="L30" i="14" s="1"/>
  <c r="J20" i="13"/>
  <c r="K20" i="13" s="1"/>
  <c r="D20" i="13"/>
  <c r="E20" i="13" s="1"/>
  <c r="E23" i="13" s="1"/>
  <c r="J19" i="13"/>
  <c r="K19" i="13" s="1"/>
  <c r="E19" i="13"/>
  <c r="D19" i="13"/>
  <c r="J18" i="13"/>
  <c r="K18" i="13" s="1"/>
  <c r="D18" i="13"/>
  <c r="E18" i="13" s="1"/>
  <c r="J17" i="13"/>
  <c r="K17" i="13" s="1"/>
  <c r="E17" i="13"/>
  <c r="D17" i="13"/>
  <c r="J16" i="13"/>
  <c r="K16" i="13" s="1"/>
  <c r="D16" i="13"/>
  <c r="E16" i="13" s="1"/>
  <c r="J15" i="13"/>
  <c r="K15" i="13" s="1"/>
  <c r="E15" i="13"/>
  <c r="D15" i="13"/>
  <c r="J14" i="13"/>
  <c r="K14" i="13" s="1"/>
  <c r="D14" i="13"/>
  <c r="E14" i="13" s="1"/>
  <c r="J13" i="13"/>
  <c r="K13" i="13" s="1"/>
  <c r="E13" i="13"/>
  <c r="D13" i="13"/>
  <c r="J12" i="13"/>
  <c r="K12" i="13" s="1"/>
  <c r="D12" i="13"/>
  <c r="E12" i="13" s="1"/>
  <c r="J11" i="13"/>
  <c r="K11" i="13" s="1"/>
  <c r="E11" i="13"/>
  <c r="E22" i="13" s="1"/>
  <c r="D11" i="13"/>
  <c r="I30" i="12" l="1"/>
  <c r="H30" i="12"/>
  <c r="C42" i="12" s="1"/>
  <c r="I29" i="12"/>
  <c r="H29" i="12"/>
  <c r="C41" i="12" s="1"/>
  <c r="I28" i="12"/>
  <c r="H28" i="12"/>
  <c r="C40" i="12" s="1"/>
  <c r="I27" i="12"/>
  <c r="H27" i="12"/>
  <c r="I26" i="12"/>
  <c r="H26" i="12"/>
  <c r="C38" i="12" s="1"/>
  <c r="I25" i="12"/>
  <c r="H25" i="12"/>
  <c r="C37" i="12" s="1"/>
  <c r="I24" i="12"/>
  <c r="H24" i="12"/>
  <c r="C36" i="12" s="1"/>
  <c r="I23" i="12"/>
  <c r="H23" i="12"/>
  <c r="C35" i="12" s="1"/>
  <c r="I22" i="12"/>
  <c r="H22" i="12"/>
  <c r="C34" i="12" s="1"/>
  <c r="L21" i="12"/>
  <c r="L22" i="12" s="1"/>
  <c r="L23" i="12" s="1"/>
  <c r="L24" i="12" s="1"/>
  <c r="L25" i="12" s="1"/>
  <c r="L26" i="12" s="1"/>
  <c r="L27" i="12" s="1"/>
  <c r="L28" i="12" s="1"/>
  <c r="L29" i="12" s="1"/>
  <c r="I21" i="12"/>
  <c r="H21" i="12"/>
  <c r="C33" i="12" s="1"/>
  <c r="C4" i="12"/>
  <c r="C39" i="12" s="1"/>
  <c r="E44" i="11" l="1"/>
  <c r="G44" i="11" s="1"/>
  <c r="E55" i="11" s="1"/>
  <c r="D44" i="11"/>
  <c r="F44" i="11" s="1"/>
  <c r="D55" i="11" s="1"/>
  <c r="G43" i="11"/>
  <c r="E54" i="11" s="1"/>
  <c r="E43" i="11"/>
  <c r="D43" i="11"/>
  <c r="F43" i="11" s="1"/>
  <c r="D54" i="11" s="1"/>
  <c r="E42" i="11"/>
  <c r="G42" i="11" s="1"/>
  <c r="E53" i="11" s="1"/>
  <c r="D42" i="11"/>
  <c r="F42" i="11" s="1"/>
  <c r="D53" i="11" s="1"/>
  <c r="G41" i="11"/>
  <c r="E52" i="11" s="1"/>
  <c r="E41" i="11"/>
  <c r="D41" i="11"/>
  <c r="F41" i="11" s="1"/>
  <c r="D52" i="11" s="1"/>
  <c r="E40" i="11"/>
  <c r="G40" i="11" s="1"/>
  <c r="E51" i="11" s="1"/>
  <c r="D40" i="11"/>
  <c r="F40" i="11" s="1"/>
  <c r="D51" i="11" s="1"/>
  <c r="G39" i="11"/>
  <c r="E50" i="11" s="1"/>
  <c r="E39" i="11"/>
  <c r="D39" i="11"/>
  <c r="F39" i="11" s="1"/>
  <c r="D50" i="11" s="1"/>
  <c r="H36" i="11"/>
  <c r="H35" i="11"/>
  <c r="H32" i="11"/>
  <c r="H31" i="11"/>
  <c r="C24" i="11"/>
  <c r="C27" i="11" s="1"/>
  <c r="E22" i="11"/>
  <c r="E21" i="11"/>
  <c r="E20" i="11"/>
  <c r="E19" i="11"/>
  <c r="E18" i="11"/>
  <c r="C15" i="11"/>
  <c r="D46" i="10" l="1"/>
  <c r="E46" i="10" s="1"/>
  <c r="F46" i="10" s="1"/>
  <c r="D45" i="10"/>
  <c r="E45" i="10" s="1"/>
  <c r="F45" i="10" s="1"/>
  <c r="D44" i="10"/>
  <c r="E44" i="10" s="1"/>
  <c r="F44" i="10" s="1"/>
  <c r="F37" i="10"/>
  <c r="F38" i="10"/>
  <c r="F39" i="10"/>
  <c r="F40" i="10"/>
  <c r="F41" i="10"/>
  <c r="F42" i="10"/>
  <c r="F43" i="10"/>
  <c r="F36" i="10"/>
  <c r="E37" i="10"/>
  <c r="E38" i="10"/>
  <c r="E39" i="10"/>
  <c r="E40" i="10"/>
  <c r="E41" i="10"/>
  <c r="E42" i="10"/>
  <c r="E43" i="10"/>
  <c r="E36" i="10"/>
  <c r="D37" i="10"/>
  <c r="D38" i="10"/>
  <c r="D39" i="10"/>
  <c r="D40" i="10"/>
  <c r="D41" i="10"/>
  <c r="D42" i="10"/>
  <c r="D43" i="10"/>
  <c r="D36" i="10"/>
  <c r="D61" i="10"/>
  <c r="E61" i="10" s="1"/>
  <c r="C60" i="10"/>
  <c r="C58" i="10"/>
  <c r="E24" i="10"/>
  <c r="F24" i="10" s="1"/>
  <c r="D19" i="10"/>
  <c r="E29" i="10" s="1"/>
  <c r="F29" i="10" s="1"/>
  <c r="D18" i="10"/>
  <c r="F16" i="10"/>
  <c r="D16" i="10"/>
  <c r="F15" i="10"/>
  <c r="D15" i="10"/>
  <c r="F14" i="10"/>
  <c r="D14" i="10"/>
  <c r="F13" i="10"/>
  <c r="D13" i="10"/>
  <c r="F12" i="10"/>
  <c r="D12" i="10"/>
  <c r="F11" i="10"/>
  <c r="D58" i="10" s="1"/>
  <c r="D11" i="10"/>
  <c r="F10" i="10"/>
  <c r="D10" i="10"/>
  <c r="H5" i="10"/>
  <c r="H4" i="10"/>
  <c r="D60" i="10" l="1"/>
  <c r="E60" i="10" s="1"/>
  <c r="H6" i="10"/>
  <c r="E28" i="10"/>
  <c r="F28" i="10" s="1"/>
  <c r="E32" i="10"/>
  <c r="F32" i="10" s="1"/>
  <c r="E58" i="10"/>
  <c r="C59" i="10"/>
  <c r="E22" i="10"/>
  <c r="F22" i="10" s="1"/>
  <c r="E26" i="10"/>
  <c r="F26" i="10" s="1"/>
  <c r="E30" i="10"/>
  <c r="F30" i="10" s="1"/>
  <c r="E23" i="10"/>
  <c r="F23" i="10" s="1"/>
  <c r="E27" i="10"/>
  <c r="F27" i="10" s="1"/>
  <c r="E31" i="10"/>
  <c r="F31" i="10" s="1"/>
  <c r="E21" i="10"/>
  <c r="F21" i="10" s="1"/>
  <c r="E25" i="10"/>
  <c r="F25" i="10" s="1"/>
  <c r="D59" i="10" s="1"/>
  <c r="E38" i="9"/>
  <c r="D38" i="9"/>
  <c r="F38" i="9" s="1"/>
  <c r="D37" i="9"/>
  <c r="C32" i="9"/>
  <c r="C25" i="9"/>
  <c r="C24" i="9"/>
  <c r="C23" i="9"/>
  <c r="C22" i="9"/>
  <c r="C21" i="9"/>
  <c r="C20" i="9"/>
  <c r="C19" i="9"/>
  <c r="C18" i="9"/>
  <c r="E17" i="9"/>
  <c r="D17" i="9"/>
  <c r="C17" i="9"/>
  <c r="E14" i="9"/>
  <c r="C14" i="9"/>
  <c r="E13" i="9"/>
  <c r="C13" i="9"/>
  <c r="E12" i="9"/>
  <c r="C12" i="9"/>
  <c r="E11" i="9"/>
  <c r="C11" i="9"/>
  <c r="E10" i="9"/>
  <c r="C33" i="9" s="1"/>
  <c r="C10" i="9"/>
  <c r="E9" i="9"/>
  <c r="E37" i="9" s="1"/>
  <c r="C9" i="9"/>
  <c r="E8" i="9"/>
  <c r="C8" i="9"/>
  <c r="E7" i="9"/>
  <c r="C7" i="9"/>
  <c r="E6" i="9"/>
  <c r="C6" i="9"/>
  <c r="E59" i="10" l="1"/>
  <c r="F37" i="9"/>
  <c r="N11" i="8" l="1"/>
  <c r="O11" i="8" s="1"/>
  <c r="P11" i="8" s="1"/>
  <c r="N12" i="8"/>
  <c r="N13" i="8"/>
  <c r="O13" i="8" s="1"/>
  <c r="P13" i="8" s="1"/>
  <c r="N14" i="8"/>
  <c r="O14" i="8" s="1"/>
  <c r="P14" i="8" s="1"/>
  <c r="N15" i="8"/>
  <c r="N16" i="8"/>
  <c r="N17" i="8"/>
  <c r="O17" i="8" s="1"/>
  <c r="P17" i="8" s="1"/>
  <c r="N18" i="8"/>
  <c r="O18" i="8" s="1"/>
  <c r="P18" i="8" s="1"/>
  <c r="N19" i="8"/>
  <c r="O19" i="8" s="1"/>
  <c r="P19" i="8" s="1"/>
  <c r="N20" i="8"/>
  <c r="O20" i="8" s="1"/>
  <c r="P20" i="8" s="1"/>
  <c r="N21" i="8"/>
  <c r="O21" i="8" s="1"/>
  <c r="P21" i="8" s="1"/>
  <c r="N22" i="8"/>
  <c r="O22" i="8" s="1"/>
  <c r="P22" i="8" s="1"/>
  <c r="N10" i="8"/>
  <c r="O10" i="8" s="1"/>
  <c r="P10" i="8" s="1"/>
  <c r="O16" i="8"/>
  <c r="P16" i="8" s="1"/>
  <c r="O15" i="8"/>
  <c r="P15" i="8" s="1"/>
  <c r="O12" i="8"/>
  <c r="P12" i="8" s="1"/>
  <c r="I22" i="8"/>
  <c r="J22" i="8" s="1"/>
  <c r="I21" i="8"/>
  <c r="J21" i="8" s="1"/>
  <c r="I20" i="8"/>
  <c r="J20" i="8" s="1"/>
  <c r="K20" i="8" s="1"/>
  <c r="I19" i="8"/>
  <c r="J19" i="8" s="1"/>
  <c r="K19" i="8" s="1"/>
  <c r="I18" i="8"/>
  <c r="I17" i="8"/>
  <c r="J17" i="8" s="1"/>
  <c r="K17" i="8" s="1"/>
  <c r="I16" i="8"/>
  <c r="I15" i="8"/>
  <c r="J15" i="8" s="1"/>
  <c r="I14" i="8"/>
  <c r="J14" i="8" s="1"/>
  <c r="I13" i="8"/>
  <c r="J13" i="8" s="1"/>
  <c r="I12" i="8"/>
  <c r="J12" i="8" s="1"/>
  <c r="K12" i="8" s="1"/>
  <c r="I11" i="8"/>
  <c r="J11" i="8" s="1"/>
  <c r="K11" i="8" s="1"/>
  <c r="I10" i="8"/>
  <c r="J10" i="8" s="1"/>
  <c r="D11" i="8"/>
  <c r="E11" i="8" s="1"/>
  <c r="F11" i="8" s="1"/>
  <c r="D12" i="8"/>
  <c r="E12" i="8" s="1"/>
  <c r="F12" i="8" s="1"/>
  <c r="D10" i="8"/>
  <c r="E10" i="8" s="1"/>
  <c r="F10" i="8" s="1"/>
  <c r="D14" i="8"/>
  <c r="E14" i="8" s="1"/>
  <c r="F14" i="8" s="1"/>
  <c r="D15" i="8"/>
  <c r="E15" i="8" s="1"/>
  <c r="F15" i="8" s="1"/>
  <c r="D16" i="8"/>
  <c r="E16" i="8" s="1"/>
  <c r="F16" i="8" s="1"/>
  <c r="D17" i="8"/>
  <c r="E17" i="8" s="1"/>
  <c r="F17" i="8" s="1"/>
  <c r="D18" i="8"/>
  <c r="E18" i="8" s="1"/>
  <c r="F18" i="8" s="1"/>
  <c r="D19" i="8"/>
  <c r="E19" i="8" s="1"/>
  <c r="F19" i="8" s="1"/>
  <c r="D20" i="8"/>
  <c r="E20" i="8" s="1"/>
  <c r="F20" i="8" s="1"/>
  <c r="D21" i="8"/>
  <c r="E21" i="8" s="1"/>
  <c r="F21" i="8" s="1"/>
  <c r="D22" i="8"/>
  <c r="E22" i="8" s="1"/>
  <c r="F22" i="8" s="1"/>
  <c r="D13" i="8"/>
  <c r="E13" i="8" s="1"/>
  <c r="F13" i="8" s="1"/>
  <c r="F42" i="6"/>
  <c r="F41" i="6"/>
  <c r="F40" i="6"/>
  <c r="F39" i="6"/>
  <c r="F38" i="6"/>
  <c r="F34" i="6"/>
  <c r="F33" i="6"/>
  <c r="F32" i="6"/>
  <c r="F31" i="6"/>
  <c r="F30" i="6"/>
  <c r="E20" i="6"/>
  <c r="F20" i="6" s="1"/>
  <c r="E19" i="6"/>
  <c r="F19" i="6" s="1"/>
  <c r="F18" i="6"/>
  <c r="E18" i="6"/>
  <c r="E17" i="6"/>
  <c r="F17" i="6" s="1"/>
  <c r="E16" i="6"/>
  <c r="F16" i="6" s="1"/>
  <c r="H16" i="6" s="1"/>
  <c r="E15" i="6"/>
  <c r="F15" i="6" s="1"/>
  <c r="E14" i="6"/>
  <c r="F14" i="6" s="1"/>
  <c r="E13" i="6"/>
  <c r="F13" i="6" s="1"/>
  <c r="E12" i="6"/>
  <c r="F12" i="6" s="1"/>
  <c r="E11" i="6"/>
  <c r="F11" i="6" s="1"/>
  <c r="H12" i="6" s="1"/>
  <c r="E10" i="6"/>
  <c r="F10" i="6" s="1"/>
  <c r="E9" i="6"/>
  <c r="F9" i="6" s="1"/>
  <c r="Q52" i="5"/>
  <c r="Q51" i="5"/>
  <c r="Q50" i="5"/>
  <c r="Q49" i="5"/>
  <c r="Q48" i="5"/>
  <c r="Q47" i="5"/>
  <c r="Q46" i="5"/>
  <c r="Q45" i="5"/>
  <c r="Q44" i="5"/>
  <c r="Q43" i="5"/>
  <c r="Q42" i="5"/>
  <c r="Q41" i="5"/>
  <c r="Q40" i="5"/>
  <c r="Q39" i="5"/>
  <c r="Q38" i="5"/>
  <c r="Q37" i="5"/>
  <c r="Q36" i="5"/>
  <c r="Q35" i="5"/>
  <c r="D22" i="5" s="1"/>
  <c r="Q34" i="5"/>
  <c r="Q33" i="5"/>
  <c r="Q32" i="5"/>
  <c r="Q31" i="5"/>
  <c r="Q30" i="5"/>
  <c r="Q29" i="5"/>
  <c r="O29" i="5"/>
  <c r="C22" i="5"/>
  <c r="F16" i="5"/>
  <c r="D16" i="5"/>
  <c r="D15" i="5"/>
  <c r="D14" i="5"/>
  <c r="O52" i="5" s="1"/>
  <c r="C48" i="4"/>
  <c r="D48" i="4" s="1"/>
  <c r="B47" i="4"/>
  <c r="E41" i="4"/>
  <c r="C41" i="4"/>
  <c r="E40" i="4"/>
  <c r="C40" i="4"/>
  <c r="E39" i="4"/>
  <c r="C39" i="4"/>
  <c r="E38" i="4"/>
  <c r="C47" i="4" s="1"/>
  <c r="C38" i="4"/>
  <c r="E37" i="4"/>
  <c r="C37" i="4"/>
  <c r="E36" i="4"/>
  <c r="C36" i="4"/>
  <c r="E35" i="4"/>
  <c r="C35" i="4"/>
  <c r="D31" i="4"/>
  <c r="E31" i="4" s="1"/>
  <c r="D28" i="4"/>
  <c r="E28" i="4" s="1"/>
  <c r="D27" i="4"/>
  <c r="E27" i="4" s="1"/>
  <c r="D23" i="4"/>
  <c r="E23" i="4" s="1"/>
  <c r="D20" i="4"/>
  <c r="E20" i="4" s="1"/>
  <c r="C18" i="4"/>
  <c r="D30" i="4" s="1"/>
  <c r="E30" i="4" s="1"/>
  <c r="C17" i="4"/>
  <c r="E15" i="4"/>
  <c r="E14" i="4"/>
  <c r="E13" i="4"/>
  <c r="E12" i="4"/>
  <c r="E11" i="4"/>
  <c r="C45" i="4" s="1"/>
  <c r="E10" i="4"/>
  <c r="E9" i="4"/>
  <c r="G4" i="4"/>
  <c r="G3" i="4"/>
  <c r="G5" i="4" s="1"/>
  <c r="C7" i="4" s="1"/>
  <c r="P43" i="3"/>
  <c r="N43" i="3"/>
  <c r="P42" i="3"/>
  <c r="N42" i="3"/>
  <c r="P41" i="3"/>
  <c r="N41" i="3"/>
  <c r="P40" i="3"/>
  <c r="N40" i="3"/>
  <c r="P39" i="3"/>
  <c r="N39" i="3"/>
  <c r="P38" i="3"/>
  <c r="N38" i="3"/>
  <c r="P37" i="3"/>
  <c r="N37" i="3"/>
  <c r="P36" i="3"/>
  <c r="N36" i="3"/>
  <c r="P35" i="3"/>
  <c r="N35" i="3"/>
  <c r="B25" i="3"/>
  <c r="N21" i="3"/>
  <c r="N20" i="3"/>
  <c r="N19" i="3"/>
  <c r="N18" i="3"/>
  <c r="N17" i="3"/>
  <c r="N16" i="3"/>
  <c r="N15" i="3"/>
  <c r="N14" i="3"/>
  <c r="S12" i="3"/>
  <c r="S11" i="3"/>
  <c r="S10" i="3"/>
  <c r="W9" i="3"/>
  <c r="S9" i="3"/>
  <c r="O9" i="3"/>
  <c r="W8" i="3"/>
  <c r="S8" i="3"/>
  <c r="O8" i="3"/>
  <c r="W7" i="3"/>
  <c r="S7" i="3"/>
  <c r="O7" i="3"/>
  <c r="W6" i="3"/>
  <c r="S6" i="3"/>
  <c r="O6" i="3"/>
  <c r="W5" i="3"/>
  <c r="S5" i="3"/>
  <c r="O5" i="3"/>
  <c r="D26" i="2"/>
  <c r="B26" i="2"/>
  <c r="D25" i="2"/>
  <c r="B25" i="2"/>
  <c r="D24" i="2"/>
  <c r="B24" i="2"/>
  <c r="D23" i="2"/>
  <c r="B23" i="2"/>
  <c r="D22" i="2"/>
  <c r="B22" i="2"/>
  <c r="D21" i="2"/>
  <c r="B21" i="2"/>
  <c r="D20" i="2"/>
  <c r="B20" i="2"/>
  <c r="D19" i="2"/>
  <c r="B19" i="2"/>
  <c r="C12" i="2"/>
  <c r="C13" i="2" s="1"/>
  <c r="D11" i="2"/>
  <c r="D10" i="2"/>
  <c r="D9" i="2"/>
  <c r="D8" i="2"/>
  <c r="D7" i="2"/>
  <c r="D6" i="2"/>
  <c r="D5" i="2"/>
  <c r="F1" i="2"/>
  <c r="E22" i="5" l="1"/>
  <c r="K10" i="8"/>
  <c r="K13" i="8"/>
  <c r="J18" i="8"/>
  <c r="K18" i="8" s="1"/>
  <c r="D47" i="4"/>
  <c r="D24" i="4"/>
  <c r="E24" i="4" s="1"/>
  <c r="C46" i="4" s="1"/>
  <c r="K14" i="8"/>
  <c r="K15" i="8"/>
  <c r="K22" i="8"/>
  <c r="J16" i="8"/>
  <c r="K16" i="8" s="1"/>
  <c r="K21" i="8"/>
  <c r="O33" i="5"/>
  <c r="O37" i="5"/>
  <c r="O41" i="5"/>
  <c r="O45" i="5"/>
  <c r="O49" i="5"/>
  <c r="O30" i="5"/>
  <c r="O34" i="5"/>
  <c r="O38" i="5"/>
  <c r="O42" i="5"/>
  <c r="O46" i="5"/>
  <c r="O50" i="5"/>
  <c r="O31" i="5"/>
  <c r="O35" i="5"/>
  <c r="O39" i="5"/>
  <c r="O43" i="5"/>
  <c r="O47" i="5"/>
  <c r="O51" i="5"/>
  <c r="O32" i="5"/>
  <c r="O36" i="5"/>
  <c r="O40" i="5"/>
  <c r="O44" i="5"/>
  <c r="O48" i="5"/>
  <c r="C13" i="4"/>
  <c r="C9" i="4"/>
  <c r="C15" i="4"/>
  <c r="C11" i="4"/>
  <c r="C14" i="4"/>
  <c r="C10" i="4"/>
  <c r="B45" i="4"/>
  <c r="D45" i="4" s="1"/>
  <c r="C12" i="4"/>
  <c r="B46" i="4"/>
  <c r="D21" i="4"/>
  <c r="E21" i="4" s="1"/>
  <c r="D25" i="4"/>
  <c r="E25" i="4" s="1"/>
  <c r="D29" i="4"/>
  <c r="E29" i="4" s="1"/>
  <c r="D22" i="4"/>
  <c r="E22" i="4" s="1"/>
  <c r="D26" i="4"/>
  <c r="E26" i="4" s="1"/>
  <c r="D46" i="4" l="1"/>
</calcChain>
</file>

<file path=xl/sharedStrings.xml><?xml version="1.0" encoding="utf-8"?>
<sst xmlns="http://schemas.openxmlformats.org/spreadsheetml/2006/main" count="1924" uniqueCount="806">
  <si>
    <t>AQL</t>
  </si>
  <si>
    <t>Pnct</t>
  </si>
  <si>
    <t>Pnct/AQL</t>
  </si>
  <si>
    <t>Alfa</t>
  </si>
  <si>
    <t>Beta</t>
  </si>
  <si>
    <t>c</t>
  </si>
  <si>
    <t>np de alfa</t>
  </si>
  <si>
    <t>np de beta</t>
  </si>
  <si>
    <t>beta/alfa</t>
  </si>
  <si>
    <t>C fija en 5</t>
  </si>
  <si>
    <t>n de alfa</t>
  </si>
  <si>
    <t>alfa de 5%</t>
  </si>
  <si>
    <t>nuevo beta</t>
  </si>
  <si>
    <t>Beta flota</t>
  </si>
  <si>
    <t>n =</t>
  </si>
  <si>
    <t>c =</t>
  </si>
  <si>
    <t>p</t>
  </si>
  <si>
    <t>np</t>
  </si>
  <si>
    <t>PA</t>
  </si>
  <si>
    <t>CPS</t>
  </si>
  <si>
    <t>MIL STD 105D</t>
  </si>
  <si>
    <t>a)</t>
  </si>
  <si>
    <t>N = 12000</t>
  </si>
  <si>
    <t>b)</t>
  </si>
  <si>
    <t>Plan normal</t>
  </si>
  <si>
    <t>Plan reducido</t>
  </si>
  <si>
    <t>Plan severo</t>
  </si>
  <si>
    <t>AQL = 1.5%</t>
  </si>
  <si>
    <t>n=</t>
  </si>
  <si>
    <t>Nivel de inspección normal II</t>
  </si>
  <si>
    <t>c=</t>
  </si>
  <si>
    <t>Plan normal: n=315 Ac=10 Re=11</t>
  </si>
  <si>
    <t>Plan reducido: n=125 Ac=5 Re=8</t>
  </si>
  <si>
    <t>Plan severo: n=315 Ac=8 Re=9</t>
  </si>
  <si>
    <t>n=315 c=10</t>
  </si>
  <si>
    <t>n=125 c=5</t>
  </si>
  <si>
    <t>n=315 c=8</t>
  </si>
  <si>
    <t>Método de Cameron</t>
  </si>
  <si>
    <t xml:space="preserve">c) </t>
  </si>
  <si>
    <t>PNCT = 5%</t>
  </si>
  <si>
    <t>α = 5% β = 10%</t>
  </si>
  <si>
    <t>Rc = Pnct/AQL = 3.33</t>
  </si>
  <si>
    <t>c=12 y n=218</t>
  </si>
  <si>
    <t>d)</t>
  </si>
  <si>
    <t>Cps</t>
  </si>
  <si>
    <t>AOQ</t>
  </si>
  <si>
    <t>α</t>
  </si>
  <si>
    <t>N</t>
  </si>
  <si>
    <r>
      <t>n</t>
    </r>
    <r>
      <rPr>
        <vertAlign val="subscript"/>
        <sz val="10"/>
        <rFont val="Verdana"/>
        <family val="2"/>
      </rPr>
      <t xml:space="preserve">α </t>
    </r>
    <r>
      <rPr>
        <sz val="10"/>
        <rFont val="Verdana"/>
        <family val="2"/>
      </rPr>
      <t>=</t>
    </r>
  </si>
  <si>
    <t>np/Aql</t>
  </si>
  <si>
    <t>β</t>
  </si>
  <si>
    <t>Costo inspección</t>
  </si>
  <si>
    <r>
      <t>n</t>
    </r>
    <r>
      <rPr>
        <vertAlign val="subscript"/>
        <sz val="10"/>
        <rFont val="Verdana"/>
        <family val="2"/>
      </rPr>
      <t xml:space="preserve">β </t>
    </r>
    <r>
      <rPr>
        <sz val="10"/>
        <rFont val="Verdana"/>
        <family val="2"/>
      </rPr>
      <t>=</t>
    </r>
  </si>
  <si>
    <t>np/Pnct</t>
  </si>
  <si>
    <t>Costo defectuosos</t>
  </si>
  <si>
    <t>PNCT</t>
  </si>
  <si>
    <r>
      <t>|n</t>
    </r>
    <r>
      <rPr>
        <vertAlign val="subscript"/>
        <sz val="10"/>
        <rFont val="Verdana"/>
        <family val="2"/>
      </rPr>
      <t>α</t>
    </r>
    <r>
      <rPr>
        <sz val="10"/>
        <rFont val="Verdana"/>
        <family val="2"/>
      </rPr>
      <t>-n</t>
    </r>
    <r>
      <rPr>
        <vertAlign val="subscript"/>
        <sz val="10"/>
        <rFont val="Verdana"/>
        <family val="2"/>
      </rPr>
      <t>β</t>
    </r>
    <r>
      <rPr>
        <sz val="10"/>
        <rFont val="Verdana"/>
        <family val="2"/>
      </rPr>
      <t>| =</t>
    </r>
  </si>
  <si>
    <t>Cameron</t>
  </si>
  <si>
    <t>Rc =</t>
  </si>
  <si>
    <t>Valores de PA</t>
  </si>
  <si>
    <t>c)</t>
  </si>
  <si>
    <t>Ac =</t>
  </si>
  <si>
    <t>Re =</t>
  </si>
  <si>
    <t>Costo de Inspección</t>
  </si>
  <si>
    <t>Costo de defectuosas</t>
  </si>
  <si>
    <t>Costo Total</t>
  </si>
  <si>
    <t>Mío</t>
  </si>
  <si>
    <t>El mejor</t>
  </si>
  <si>
    <t>No inspecciponar</t>
  </si>
  <si>
    <t>Pregunta a)</t>
    <phoneticPr fontId="0" type="noConversion"/>
  </si>
  <si>
    <t>MIL STD 105D</t>
    <phoneticPr fontId="0" type="noConversion"/>
  </si>
  <si>
    <t>Nivel general de inspección II, letra código J</t>
    <phoneticPr fontId="0" type="noConversion"/>
  </si>
  <si>
    <t>Plan inspección normal</t>
    <phoneticPr fontId="0" type="noConversion"/>
  </si>
  <si>
    <t>Plan inspección severa</t>
    <phoneticPr fontId="0" type="noConversion"/>
  </si>
  <si>
    <t>Plan inspección reducida</t>
    <phoneticPr fontId="0" type="noConversion"/>
  </si>
  <si>
    <t>n =</t>
    <phoneticPr fontId="0" type="noConversion"/>
  </si>
  <si>
    <t>Ac =</t>
    <phoneticPr fontId="0" type="noConversion"/>
  </si>
  <si>
    <t>Re =</t>
    <phoneticPr fontId="0" type="noConversion"/>
  </si>
  <si>
    <t>R/Inspeccionaresmos los lotes con n = 32, Ac = 3 y Re = 4</t>
    <phoneticPr fontId="0" type="noConversion"/>
  </si>
  <si>
    <t>De inspección normal a inspección severa, si nos entregan 2 de 5 lotes con 4 o más disconformes se cambiará a inspección severa</t>
    <phoneticPr fontId="0" type="noConversion"/>
  </si>
  <si>
    <t xml:space="preserve">De inspección severa a inspección normal, si al estar aplicando el plan de inspección severa se aceptan 5 lotes consecutivos </t>
    <phoneticPr fontId="0" type="noConversion"/>
  </si>
  <si>
    <t>De inspección normal a inspección reducida, si nos entregan 10 lotes consecutivos con 3 o menos disconformes se cambiará a inspección reducida</t>
    <phoneticPr fontId="0" type="noConversion"/>
  </si>
  <si>
    <t>Pregunta b)</t>
    <phoneticPr fontId="0" type="noConversion"/>
  </si>
  <si>
    <r>
      <t>n</t>
    </r>
    <r>
      <rPr>
        <vertAlign val="subscript"/>
        <sz val="10"/>
        <rFont val="Verdana"/>
        <family val="2"/>
      </rPr>
      <t>β</t>
    </r>
    <r>
      <rPr>
        <sz val="10"/>
        <rFont val="Verdana"/>
        <family val="2"/>
      </rPr>
      <t xml:space="preserve"> =</t>
    </r>
  </si>
  <si>
    <r>
      <t>np</t>
    </r>
    <r>
      <rPr>
        <vertAlign val="subscript"/>
        <sz val="10"/>
        <rFont val="Verdana"/>
        <family val="2"/>
      </rPr>
      <t>β</t>
    </r>
    <r>
      <rPr>
        <sz val="10"/>
        <rFont val="Verdana"/>
        <family val="2"/>
      </rPr>
      <t>/PNCT</t>
    </r>
  </si>
  <si>
    <t>80 =</t>
    <phoneticPr fontId="0" type="noConversion"/>
  </si>
  <si>
    <t>11.8/PNCT</t>
    <phoneticPr fontId="0" type="noConversion"/>
  </si>
  <si>
    <t>PNCT =</t>
    <phoneticPr fontId="0" type="noConversion"/>
  </si>
  <si>
    <t>Pregunta c)</t>
    <phoneticPr fontId="0" type="noConversion"/>
  </si>
  <si>
    <t>Costo de inspección</t>
    <phoneticPr fontId="0" type="noConversion"/>
  </si>
  <si>
    <t>Costo de las defectuosas</t>
    <phoneticPr fontId="0" type="noConversion"/>
  </si>
  <si>
    <t>Lote en unidades</t>
    <phoneticPr fontId="0" type="noConversion"/>
  </si>
  <si>
    <t>Costo Total</t>
    <phoneticPr fontId="0" type="noConversion"/>
  </si>
  <si>
    <t>p</t>
    <phoneticPr fontId="0" type="noConversion"/>
  </si>
  <si>
    <t>np</t>
    <phoneticPr fontId="0" type="noConversion"/>
  </si>
  <si>
    <t>PA</t>
    <phoneticPr fontId="0" type="noConversion"/>
  </si>
  <si>
    <t>AOQ</t>
    <phoneticPr fontId="0" type="noConversion"/>
  </si>
  <si>
    <t>AOQL</t>
    <phoneticPr fontId="0" type="noConversion"/>
  </si>
  <si>
    <t>Pregunta d)</t>
    <phoneticPr fontId="0" type="noConversion"/>
  </si>
  <si>
    <t>Lotes</t>
  </si>
  <si>
    <t>unidades</t>
  </si>
  <si>
    <t>n</t>
  </si>
  <si>
    <t>1-alfa</t>
  </si>
  <si>
    <t>alfa (productor)</t>
  </si>
  <si>
    <t>beta (consumidor)</t>
  </si>
  <si>
    <t>No se logra, más bien se aumenta a 80%</t>
  </si>
  <si>
    <t>n=107</t>
  </si>
  <si>
    <t>beta</t>
  </si>
  <si>
    <t>c=4</t>
  </si>
  <si>
    <t>beta=0.09</t>
  </si>
  <si>
    <t>lambda</t>
  </si>
  <si>
    <t>alfa=.22</t>
  </si>
  <si>
    <t>d) Se acepta el lote, pero al siguiente lote se le debe aplicar el plan de inspección normal</t>
  </si>
  <si>
    <t>b)Plan riguroso n=125, c=1</t>
  </si>
  <si>
    <t>c)Plan reducido n=50, c=1, Re=3</t>
  </si>
  <si>
    <t>a)Plan normal n=125, c=2</t>
  </si>
  <si>
    <t>AOQL</t>
  </si>
  <si>
    <t>Plan riguroso</t>
  </si>
  <si>
    <t>AOQ-P normal</t>
  </si>
  <si>
    <t>AOQ-P riguroso</t>
  </si>
  <si>
    <t>AOQ-P reducido</t>
  </si>
  <si>
    <t>PA-normal</t>
  </si>
  <si>
    <t>PA-riguroso</t>
  </si>
  <si>
    <t>PA-reducido</t>
  </si>
  <si>
    <t>Como era de esperar el plan riguroso es el más discriminatorio de todos por lo que es muy estricto a la hora de revisar las entregas de los lotes y por ello se le aplica a fabricantes que fallan entregando la calidad acordada.  Por el contrario el plan reducido es el menos discriminatorio ya que este tipo de planes sólo se le aplican a proveedores que con su desempeño han demostrado entregar de forma consistente la calidad acordada por lo que no es necesario ser muy exigentes con ellos.</t>
  </si>
  <si>
    <t>AOQL</t>
    <phoneticPr fontId="6" type="noConversion"/>
  </si>
  <si>
    <t>Gráfico OC</t>
  </si>
  <si>
    <t>Gráfico AOQ</t>
  </si>
  <si>
    <t>Lote</t>
    <phoneticPr fontId="6" type="noConversion"/>
  </si>
  <si>
    <t>Defectuosos</t>
    <phoneticPr fontId="6" type="noConversion"/>
  </si>
  <si>
    <t>CPS</t>
    <phoneticPr fontId="6" type="noConversion"/>
  </si>
  <si>
    <t>Inspección</t>
    <phoneticPr fontId="6" type="noConversion"/>
  </si>
  <si>
    <t>Defectuosas</t>
    <phoneticPr fontId="6" type="noConversion"/>
  </si>
  <si>
    <t>Total</t>
    <phoneticPr fontId="6" type="noConversion"/>
  </si>
  <si>
    <t>Costo de inspeccionar</t>
    <phoneticPr fontId="6" type="noConversion"/>
  </si>
  <si>
    <t>Costo de no inspeccionar</t>
    <phoneticPr fontId="6" type="noConversion"/>
  </si>
  <si>
    <r>
      <t>n</t>
    </r>
    <r>
      <rPr>
        <vertAlign val="subscript"/>
        <sz val="10"/>
        <rFont val="Verdana"/>
        <family val="2"/>
      </rPr>
      <t xml:space="preserve">α </t>
    </r>
    <r>
      <rPr>
        <sz val="10"/>
        <rFont val="Verdana"/>
        <family val="2"/>
      </rPr>
      <t>=</t>
    </r>
  </si>
  <si>
    <r>
      <t>n</t>
    </r>
    <r>
      <rPr>
        <vertAlign val="subscript"/>
        <sz val="10"/>
        <rFont val="Verdana"/>
        <family val="2"/>
      </rPr>
      <t xml:space="preserve">β </t>
    </r>
    <r>
      <rPr>
        <sz val="10"/>
        <rFont val="Verdana"/>
        <family val="2"/>
      </rPr>
      <t>=</t>
    </r>
  </si>
  <si>
    <r>
      <t>|n</t>
    </r>
    <r>
      <rPr>
        <vertAlign val="subscript"/>
        <sz val="10"/>
        <rFont val="Verdana"/>
        <family val="2"/>
      </rPr>
      <t>α</t>
    </r>
    <r>
      <rPr>
        <sz val="10"/>
        <rFont val="Verdana"/>
        <family val="2"/>
      </rPr>
      <t>-n</t>
    </r>
    <r>
      <rPr>
        <vertAlign val="subscript"/>
        <sz val="10"/>
        <rFont val="Verdana"/>
        <family val="2"/>
      </rPr>
      <t>β</t>
    </r>
    <r>
      <rPr>
        <sz val="10"/>
        <rFont val="Verdana"/>
        <family val="2"/>
      </rPr>
      <t>| =</t>
    </r>
  </si>
  <si>
    <t>Densidad</t>
  </si>
  <si>
    <t>g/cm2</t>
  </si>
  <si>
    <t>alfa</t>
  </si>
  <si>
    <t>a) Plan utilizando MIL STD 105E</t>
  </si>
  <si>
    <t>Letra L</t>
  </si>
  <si>
    <t>b) Plan apegado a alfa.</t>
  </si>
  <si>
    <t>PNCT/AQL</t>
  </si>
  <si>
    <t>C se fija en 4</t>
  </si>
  <si>
    <t>np beta</t>
  </si>
  <si>
    <t>beta real</t>
  </si>
  <si>
    <t>% defectuosos</t>
  </si>
  <si>
    <t>Plan 1</t>
  </si>
  <si>
    <t>Plan 2</t>
  </si>
  <si>
    <t>np1</t>
  </si>
  <si>
    <t>np2</t>
  </si>
  <si>
    <t>PA1</t>
  </si>
  <si>
    <t>PA2</t>
  </si>
  <si>
    <t>R/ Desde la perspectiva del proveedor es mejor el PLAN 1 ya que tiene mayor probabilidad de aceptarle los lotes.</t>
  </si>
  <si>
    <t>Tabla Militar 414</t>
  </si>
  <si>
    <t>Tabla Militar 105E</t>
  </si>
  <si>
    <t>Especificación</t>
  </si>
  <si>
    <t>125 - 2</t>
  </si>
  <si>
    <t>Límite inferior</t>
  </si>
  <si>
    <t>Plan de muestreo</t>
  </si>
  <si>
    <t>Lotes entregados por El Universo</t>
  </si>
  <si>
    <t>Característica Calidad</t>
  </si>
  <si>
    <t>Peso</t>
  </si>
  <si>
    <t>Visual</t>
  </si>
  <si>
    <t>Lote</t>
  </si>
  <si>
    <t xml:space="preserve">Cantidad de defectos </t>
  </si>
  <si>
    <t>Tipo inspección</t>
  </si>
  <si>
    <t>Normal</t>
  </si>
  <si>
    <t>Severa</t>
  </si>
  <si>
    <t>Nivel de inspección</t>
  </si>
  <si>
    <t>IV</t>
  </si>
  <si>
    <t>II</t>
  </si>
  <si>
    <t>Tipo muestreo</t>
  </si>
  <si>
    <t>Simple</t>
  </si>
  <si>
    <t>Letra clave</t>
  </si>
  <si>
    <t>L</t>
  </si>
  <si>
    <t>K</t>
  </si>
  <si>
    <t>M</t>
  </si>
  <si>
    <t>Ac</t>
  </si>
  <si>
    <t>Re</t>
  </si>
  <si>
    <t>Lotes entregados por Montecillos</t>
  </si>
  <si>
    <t>Cantidad de defectos</t>
  </si>
  <si>
    <t>Decisión</t>
  </si>
  <si>
    <t>Acción futura</t>
  </si>
  <si>
    <t>Muestra 1</t>
  </si>
  <si>
    <t>Muestra 2</t>
  </si>
  <si>
    <t>Muestra 3</t>
  </si>
  <si>
    <t>Muestra 4</t>
  </si>
  <si>
    <t>Muestra 5</t>
  </si>
  <si>
    <t>x</t>
  </si>
  <si>
    <t>s</t>
  </si>
  <si>
    <t>Acepto</t>
  </si>
  <si>
    <t>Rechazo</t>
  </si>
  <si>
    <t>Rigurosa</t>
  </si>
  <si>
    <t xml:space="preserve">Para el lote 11, se realizará inspección normal con Ac: 21 y Re: 22, nuevamente con 2 de 5 lotes o menos que se rechacen se pasa a rigurosa, en </t>
  </si>
  <si>
    <t>Pi</t>
  </si>
  <si>
    <t>caso de que se acepten 10 seguidos bajo la normal, se procederá a muestrear con inspección reducida</t>
  </si>
  <si>
    <t>Lote 1:   Zis:</t>
  </si>
  <si>
    <t>Lote 2:   Zes:</t>
  </si>
  <si>
    <t>Lote 3:   Zes:</t>
  </si>
  <si>
    <t>Lote 4:   Zes:</t>
  </si>
  <si>
    <t>Lote 5:   Zes:</t>
  </si>
  <si>
    <t>Lote 6:   Zes:</t>
  </si>
  <si>
    <t>Lote 7:   Zes:</t>
  </si>
  <si>
    <t>Lote 8:   Zes:</t>
  </si>
  <si>
    <t>Lote 9:   Zes:</t>
  </si>
  <si>
    <t>Lote 10:   Zes:</t>
  </si>
  <si>
    <t>Y permanece en rigurosa hasta que se acepten 5 lotes consecutivos</t>
  </si>
  <si>
    <t>Pregunta 3</t>
  </si>
  <si>
    <t>a.</t>
  </si>
  <si>
    <t>PA C=0 n=20</t>
  </si>
  <si>
    <t>b.</t>
  </si>
  <si>
    <t>PA MIL STD</t>
  </si>
  <si>
    <t>Letra</t>
  </si>
  <si>
    <t>H</t>
  </si>
  <si>
    <t>R/ El plan propuesto es más discriminador que el MIL STD.</t>
  </si>
  <si>
    <t>Se recomienda el plan con la tabla militar ya que da</t>
  </si>
  <si>
    <t xml:space="preserve">una probabilidad de aceptación mayor para % de </t>
  </si>
  <si>
    <t>desperdicio menores y una probabilidad de aceptación</t>
  </si>
  <si>
    <t>menor para % de desperdicios mayores.</t>
  </si>
  <si>
    <r>
      <t>np</t>
    </r>
    <r>
      <rPr>
        <vertAlign val="subscript"/>
        <sz val="12"/>
        <rFont val="Verdana"/>
        <family val="2"/>
      </rPr>
      <t>α</t>
    </r>
  </si>
  <si>
    <r>
      <t>np</t>
    </r>
    <r>
      <rPr>
        <vertAlign val="subscript"/>
        <sz val="12"/>
        <rFont val="Verdana"/>
        <family val="2"/>
      </rPr>
      <t>β</t>
    </r>
  </si>
  <si>
    <t>PNCT/AQL</t>
    <phoneticPr fontId="4" type="noConversion"/>
  </si>
  <si>
    <t>c se fija en 7</t>
  </si>
  <si>
    <t>2.57 3.45 3.98 4.65 5.95 7.66 9.68 11.7 13.1 14.4 16 17.1</t>
  </si>
  <si>
    <t>Beta real</t>
  </si>
  <si>
    <t>C =</t>
  </si>
  <si>
    <t>np =</t>
  </si>
  <si>
    <t>c.</t>
  </si>
  <si>
    <t>Cálculo de AOQL plan a</t>
  </si>
  <si>
    <t>Cálculo de AOQL plan Cameron</t>
  </si>
  <si>
    <t>c = 2</t>
  </si>
  <si>
    <t>&lt;-- AOQL</t>
  </si>
  <si>
    <t>Cualquiera de los dos, son iguales</t>
  </si>
  <si>
    <t>/unidad</t>
  </si>
  <si>
    <t>Costo defectuoso</t>
  </si>
  <si>
    <t>Plan propuesto</t>
  </si>
  <si>
    <t>PNCT promedio</t>
  </si>
  <si>
    <t>Sí tiene justificación el plan ya que el no evaluar el lote conlleva un gasto de $680.</t>
  </si>
  <si>
    <t>Usando la tabla de Cameron, c se fija en 5. Por lo tanto el n es de 261.</t>
  </si>
  <si>
    <t>INGENIERO</t>
  </si>
  <si>
    <t>MIO</t>
  </si>
  <si>
    <t>Costo</t>
  </si>
  <si>
    <t>En términos de costo me conviene más el plan mío ya que el costo es menor.</t>
  </si>
  <si>
    <t>Defectos</t>
  </si>
  <si>
    <t>np=</t>
  </si>
  <si>
    <t>AQL =</t>
  </si>
  <si>
    <t>np alfa</t>
  </si>
  <si>
    <t>nb beta</t>
  </si>
  <si>
    <t>c se fija en 18</t>
  </si>
  <si>
    <t>n alfa</t>
  </si>
  <si>
    <t>n beta</t>
  </si>
  <si>
    <t>a) Ambos planes son iguales ya que se utilizaron ambos riesgos para fijar el c.</t>
  </si>
  <si>
    <t>% defectos</t>
  </si>
  <si>
    <t>c) Ya fue considerado en el punto a.</t>
  </si>
  <si>
    <t>d) La probabilidad es de menos de un 1%</t>
  </si>
  <si>
    <t>Costo insp.</t>
  </si>
  <si>
    <t>por unidad</t>
  </si>
  <si>
    <t>Costo def.</t>
  </si>
  <si>
    <t>defectuosos</t>
  </si>
  <si>
    <t>n=75, c=2</t>
  </si>
  <si>
    <t>a. Costo de no inspeccionar vs costo de inspeccionar</t>
  </si>
  <si>
    <t>unidades defectuosas por lote</t>
  </si>
  <si>
    <t>Costo plan n=75 c=2</t>
  </si>
  <si>
    <t>Costo de unidades dañadas que entran al proceso.</t>
  </si>
  <si>
    <t>Costo de inspección</t>
  </si>
  <si>
    <t>Costo de inspeccionar</t>
  </si>
  <si>
    <t>Costo unidades dañadas</t>
  </si>
  <si>
    <t>Ahorro</t>
  </si>
  <si>
    <t>Costo total</t>
  </si>
  <si>
    <t>R/ Es mejor invertir $75 en inspección que perder $510 por no inspeccionar.</t>
  </si>
  <si>
    <t>b. Curva CO</t>
  </si>
  <si>
    <t>Plan MILSTD 105E</t>
  </si>
  <si>
    <t>c. El plan no es muy bueno ya que con 4% de defectuosos se tiene una probabilidad de aceptación del 42.3% lo cual es muy alto.</t>
  </si>
  <si>
    <t>d. La calidad promedio de salida para lotes con 4% de defectuosos es de 1.69%.</t>
  </si>
  <si>
    <t>e. Letra J, n=80, c=5. El plan de tabla militar es menos discriminante, por lo que no se recomienda sobre el propuesto por el ingeniero desde el punto de vista del cliente, pero desde el punto de vista del productor es el mejor ya que tendría una PA=89.5% .</t>
  </si>
  <si>
    <t>PA-Plan propuesto</t>
  </si>
  <si>
    <t>PA- Tabla militar</t>
  </si>
  <si>
    <t>AOQ-Plan propuesto</t>
  </si>
  <si>
    <t>AOQ- Tabla militar</t>
  </si>
  <si>
    <t>MIL STD 150E</t>
  </si>
  <si>
    <t>J</t>
  </si>
  <si>
    <t>R</t>
  </si>
  <si>
    <t>COSTOS</t>
  </si>
  <si>
    <t>AOQ1</t>
  </si>
  <si>
    <t>AOQ2</t>
  </si>
  <si>
    <t>c se fija en 8</t>
  </si>
  <si>
    <t>AOQL1</t>
  </si>
  <si>
    <t>AOQL2</t>
  </si>
  <si>
    <t>n promedio</t>
  </si>
  <si>
    <t>Costo plan 1</t>
  </si>
  <si>
    <t>R/ Nuestro plan es más discriminante, pero por la cantidad</t>
  </si>
  <si>
    <t>de muestras es más caro que el de tabla militar. Se escoge</t>
  </si>
  <si>
    <t>Costo plan 2</t>
  </si>
  <si>
    <t>el de tabla militar.</t>
  </si>
  <si>
    <t>Usando Cameron</t>
  </si>
  <si>
    <t>c=7</t>
  </si>
  <si>
    <t>La probabilidad de aceptar lotes con un 2.5% de defectuosos es de un 22.02%.</t>
  </si>
  <si>
    <t>d.</t>
  </si>
  <si>
    <t>Según la tabla DR con PNCT de 3% los datos del muestreo son:</t>
  </si>
  <si>
    <t>a. Curva CO</t>
  </si>
  <si>
    <t>Tabla Militar</t>
  </si>
  <si>
    <t>Letra J</t>
  </si>
  <si>
    <t>R/ El plan propuesto por el ingeniero es más estricto que el de tabla militar. Al ser la empresa compradora, es mejor el plan del ingeniero pues asegura más la calidad y reduce el error.</t>
  </si>
  <si>
    <t>b. Los planes no son muy buenos pues con p=4% tienen un 81.5% y un 89.5% de probabilidad de ser aceptados.</t>
  </si>
  <si>
    <t>c. En el caso del plan del ingeniero, la calidad de salida es de un 3.26% mientras que con tabla militar es de 3.58%.</t>
  </si>
  <si>
    <t>PA-Plan ingeniero</t>
  </si>
  <si>
    <t>AOQ-Plan  ingeniero</t>
  </si>
  <si>
    <t>PA-Tabla militar</t>
  </si>
  <si>
    <t>AOQ-Tabla militar</t>
  </si>
  <si>
    <t>Plan del Ingeniero</t>
  </si>
  <si>
    <t>Ci =</t>
  </si>
  <si>
    <t>Cd =</t>
  </si>
  <si>
    <t>Ct =</t>
  </si>
  <si>
    <t>Plan tabla Militar</t>
  </si>
  <si>
    <t>b. Costos</t>
  </si>
  <si>
    <t>Basado en alfa</t>
  </si>
  <si>
    <t>La probabilidad de aceptarlo sería del 17%</t>
  </si>
  <si>
    <t>Según la tabla DR con PNCT de 5% y porcentajes de defectuosos del 1.50% los datos del muestreo son:</t>
  </si>
  <si>
    <t>El estado del proceso es estable pero incapaz</t>
  </si>
  <si>
    <t>Defectuosas</t>
  </si>
  <si>
    <t>Buenas</t>
  </si>
  <si>
    <t>Zt Li</t>
  </si>
  <si>
    <t>Zt Ls</t>
  </si>
  <si>
    <t>St</t>
  </si>
  <si>
    <t>t</t>
  </si>
  <si>
    <t>Cpm</t>
  </si>
  <si>
    <t>Cpk</t>
  </si>
  <si>
    <t>Cp</t>
  </si>
  <si>
    <t>Sigma</t>
  </si>
  <si>
    <t>d2</t>
  </si>
  <si>
    <t>Li</t>
  </si>
  <si>
    <t>Lc</t>
  </si>
  <si>
    <t>Ls</t>
  </si>
  <si>
    <t xml:space="preserve"> R̅</t>
  </si>
  <si>
    <t xml:space="preserve"> x̅</t>
  </si>
  <si>
    <t>Sub grupo</t>
  </si>
  <si>
    <t>X4</t>
  </si>
  <si>
    <t>X3</t>
  </si>
  <si>
    <t>X2</t>
  </si>
  <si>
    <t>X1</t>
  </si>
  <si>
    <t>Tamaño</t>
  </si>
  <si>
    <t>Defectuosos</t>
  </si>
  <si>
    <t>P</t>
  </si>
  <si>
    <t>Límite Superior</t>
  </si>
  <si>
    <t>Límite Central</t>
  </si>
  <si>
    <t>Límite Inferior</t>
  </si>
  <si>
    <t>1-p</t>
  </si>
  <si>
    <t>a) Carta p</t>
  </si>
  <si>
    <t>b) Proceso bajo control</t>
  </si>
  <si>
    <t>c) Son basados en un tamaño de muestra fijo.</t>
  </si>
  <si>
    <t>d) Si podría ser correcta porque esa sería la meta establecida por la gerencia.  Con esta recomendación el proceso tendría 3 datos fuera del rango especificado.</t>
  </si>
  <si>
    <t>USL</t>
  </si>
  <si>
    <t>CSL</t>
  </si>
  <si>
    <t>ISL</t>
  </si>
  <si>
    <t>X</t>
  </si>
  <si>
    <t>Promedio X</t>
  </si>
  <si>
    <t>Promedio R</t>
  </si>
  <si>
    <t>A2</t>
  </si>
  <si>
    <t>Carta de promedios</t>
  </si>
  <si>
    <t>LSC</t>
  </si>
  <si>
    <t>D4</t>
  </si>
  <si>
    <t>LCC</t>
  </si>
  <si>
    <t>PBCE: Sí</t>
  </si>
  <si>
    <t>D3</t>
  </si>
  <si>
    <t>LIC</t>
  </si>
  <si>
    <t>Carta de interválos</t>
  </si>
  <si>
    <t>PBCE: NO</t>
  </si>
  <si>
    <t>Se debe depurar:</t>
  </si>
  <si>
    <t>Rango nuevo</t>
  </si>
  <si>
    <t>Se vuelven a calcular los límites:</t>
  </si>
  <si>
    <t>1. Parámetro centramiento</t>
  </si>
  <si>
    <t>2. Parámetro de exactitud</t>
  </si>
  <si>
    <t>Sí, el proceso se encuentra bajo control estadístico</t>
  </si>
  <si>
    <t>Parámetro de dispersión</t>
  </si>
  <si>
    <t>Cp:</t>
  </si>
  <si>
    <t>&lt; 1, el proceso no es capaz</t>
  </si>
  <si>
    <t>Cpks:</t>
  </si>
  <si>
    <t>Cpki:</t>
  </si>
  <si>
    <t>&lt; 1, el taller no es capaz de operar en horas de la noche cumpliendo con las especificaciones técnicas</t>
  </si>
  <si>
    <t>Ahora, se calcula el producto defectuoso, en este caso, las mediciones no conformes</t>
  </si>
  <si>
    <t>Z2</t>
  </si>
  <si>
    <t>Z1</t>
  </si>
  <si>
    <t>Probabilidad</t>
  </si>
  <si>
    <t xml:space="preserve">Pb: </t>
  </si>
  <si>
    <t>Total de medidias defectuosas:</t>
  </si>
  <si>
    <t>El proceso supera en un alto porcentaje el valor del 2% de la regulación</t>
  </si>
  <si>
    <t>La empresa no podrá trabajar en horario nocturno.</t>
  </si>
  <si>
    <t>Promedio</t>
  </si>
  <si>
    <t>LSL</t>
  </si>
  <si>
    <t>m</t>
  </si>
  <si>
    <t>Rango</t>
  </si>
  <si>
    <t>Eliminamos las observaciones 10 y 22 y recalculamos límites</t>
  </si>
  <si>
    <t>a) Defectuosos</t>
  </si>
  <si>
    <t>Defectuosas</t>
    <phoneticPr fontId="0"/>
  </si>
  <si>
    <t>b) Inestabilidad</t>
  </si>
  <si>
    <t>c) Capacidad</t>
  </si>
  <si>
    <t>Tau</t>
  </si>
  <si>
    <t xml:space="preserve">a) </t>
  </si>
  <si>
    <t>CCL</t>
  </si>
  <si>
    <t>Día</t>
  </si>
  <si>
    <t>Disconformes</t>
  </si>
  <si>
    <t>LCL</t>
  </si>
  <si>
    <t>UCL</t>
  </si>
  <si>
    <t>Ocurre el patrón número 1, cambios en el nivel del proceso, se debe eliminar esas causas asignables para mejorar el proceso.  Es un error imputable a la mano de obra.</t>
  </si>
  <si>
    <t>R/ Ocurre el patrón número 1, cambios en el nivel del proceso y se debe a que el proceso, pero ahora se debe a algo positivo. El proceso ha mejorado sustancialmente gracias al trabajo de los círculos de calidad</t>
  </si>
  <si>
    <t>LS =</t>
  </si>
  <si>
    <t>Rechazadas</t>
  </si>
  <si>
    <t>LI</t>
  </si>
  <si>
    <t>LC</t>
  </si>
  <si>
    <t>LS</t>
  </si>
  <si>
    <t>LC =</t>
  </si>
  <si>
    <t>LI =</t>
  </si>
  <si>
    <t>a) La línea de embotellado obtiene en promedio 7.5 botellas defectuosas, llegando a un máximo de 15.59 botellas defectuosas por cada 250 botellas fabricadas</t>
  </si>
  <si>
    <t>b) No se observan causas asignables en el proceso</t>
  </si>
  <si>
    <t>p promedio</t>
  </si>
  <si>
    <t>q promedio</t>
  </si>
  <si>
    <t>El proceso simplemente no es capaz, no hay causas asginables por lo que el problema es que no se tiene la maquinaria ni los procesos necesarios para fabricar este producto</t>
  </si>
  <si>
    <t>Respuesta</t>
  </si>
  <si>
    <t>σ</t>
  </si>
  <si>
    <t>LCi</t>
  </si>
  <si>
    <t>LCs</t>
  </si>
  <si>
    <t>Promedios</t>
  </si>
  <si>
    <t>Hora</t>
  </si>
  <si>
    <t>Límites gráfica de intervalos</t>
  </si>
  <si>
    <t>Límites gráfica de promedios</t>
  </si>
  <si>
    <t>No es necesario calcularlos</t>
  </si>
  <si>
    <t>Total</t>
  </si>
  <si>
    <t>Ocurre el patrón número 5: Falta de Variabilidad, pareciera algo como un cuchareo de datos o algo similar por lo que NO se debe calcular CP, CPK y CPM y se debe repetir todo el proceso pero esta vez respetando la aleatoriedad a la hora de tomar las muestras.</t>
  </si>
  <si>
    <t>Intervalos</t>
  </si>
  <si>
    <t>a) Se puede usar una carta p o una np porque es un análisis tipo binomial, bueno o malo.</t>
  </si>
  <si>
    <t>c) La empresa obtiene en promedio un 6.8% de producto defectuoso llegando a un máximo de 13.6% en lotes de 120 unidades</t>
  </si>
  <si>
    <t>d) Desde el punto de vista de la carta de control no sería correcta esta sugerencia hasta que se logre bajar la cantidad de producto defectuoso ya que actualmente sube hasta un 13.6%</t>
  </si>
  <si>
    <t>Media</t>
  </si>
  <si>
    <t>Desviación</t>
  </si>
  <si>
    <t>Muestra</t>
  </si>
  <si>
    <t>σ =</t>
  </si>
  <si>
    <t>6σ =</t>
  </si>
  <si>
    <t>Cp =</t>
  </si>
  <si>
    <t>Cpm =</t>
  </si>
  <si>
    <t>t =</t>
  </si>
  <si>
    <t xml:space="preserve">c) No hay seguridad de que la capacidad sea satisfactoria, como se puede observar el valor real de Cp está entre un 0.87 y un 1.30,  el valor de </t>
  </si>
  <si>
    <t>Cpk oscila entre un 0.80 y un 1.26 y el valor de Cpm está entre un 0.86 y 1.28 con un nivel de confianza del 95%.  Esto quiere decir que el proceso</t>
  </si>
  <si>
    <t>Perfectamente puede no se capaz!</t>
  </si>
  <si>
    <t>d) Fue necesario estimar por intervalo porque los valores se capacidad de estiamaron a partir de una muestra y no de un proceso de gráficas de control.</t>
  </si>
  <si>
    <t>El 0.418, 0.280 y 0.005 son los errores de estimación y son iguales a la mitad del intervalo de confianza.</t>
    <phoneticPr fontId="3" type="noConversion"/>
  </si>
  <si>
    <t>De esta manera, con una confianza de 95% el veradero valor de Cp está entre 0.915 y 1.752, el Cpk se</t>
    <phoneticPr fontId="3" type="noConversion"/>
  </si>
  <si>
    <t>localiza entre 0.893 y 1.453 y el índice de Cpm entre 1.197 y 1.207.</t>
    <phoneticPr fontId="3" type="noConversion"/>
  </si>
  <si>
    <t>Por lo tanto con esta muestra sería riesgoso tomar decisiones ya que el valor de Cp podría ser potencialmente</t>
    <phoneticPr fontId="3" type="noConversion"/>
  </si>
  <si>
    <t>muy capáz hasta de 1.75 pero también la capacidad podría caer hasta 0.915.  Lo mismo ocurre con el Cpk</t>
    <phoneticPr fontId="3" type="noConversion"/>
  </si>
  <si>
    <t xml:space="preserve">ya que la capacidad real del proceso podría ser de 0.89 muy por debajo del mínimo requerido para cumplir </t>
    <phoneticPr fontId="3" type="noConversion"/>
  </si>
  <si>
    <t>con las especificaciones.  Solo tenemos resultados satisfactorios con la variabilidad del proceso todo parece</t>
    <phoneticPr fontId="3" type="noConversion"/>
  </si>
  <si>
    <t>indicar que el proceso es muy estable ya que en el peor de los casos tenemos un Cpm de 1.197.</t>
    <phoneticPr fontId="3" type="noConversion"/>
  </si>
  <si>
    <t>Lo mejor es tomar más muestras para reducir la incertidumbre y el error de estimación.</t>
    <phoneticPr fontId="3" type="noConversion"/>
  </si>
  <si>
    <t>Inspección normal MIL STD 414</t>
    <phoneticPr fontId="4" type="noConversion"/>
  </si>
  <si>
    <t>Método de la desviación estándar y variabilidad desconocida</t>
    <phoneticPr fontId="4" type="noConversion"/>
  </si>
  <si>
    <t>Létra código D</t>
    <phoneticPr fontId="4" type="noConversion"/>
  </si>
  <si>
    <t xml:space="preserve">AQL = </t>
    <phoneticPr fontId="4" type="noConversion"/>
  </si>
  <si>
    <t>Especificación inferior =</t>
    <phoneticPr fontId="4" type="noConversion"/>
  </si>
  <si>
    <t>N =</t>
    <phoneticPr fontId="4" type="noConversion"/>
  </si>
  <si>
    <t>a)</t>
    <phoneticPr fontId="4" type="noConversion"/>
  </si>
  <si>
    <t>n =</t>
    <phoneticPr fontId="4" type="noConversion"/>
  </si>
  <si>
    <t>M =</t>
    <phoneticPr fontId="4" type="noConversion"/>
  </si>
  <si>
    <t>b)</t>
    <phoneticPr fontId="4" type="noConversion"/>
  </si>
  <si>
    <t>Número de muestra</t>
    <phoneticPr fontId="4" type="noConversion"/>
  </si>
  <si>
    <t>g</t>
    <phoneticPr fontId="4" type="noConversion"/>
  </si>
  <si>
    <t>x =</t>
    <phoneticPr fontId="4" type="noConversion"/>
  </si>
  <si>
    <t>s =</t>
    <phoneticPr fontId="4" type="noConversion"/>
  </si>
  <si>
    <r>
      <t>Z</t>
    </r>
    <r>
      <rPr>
        <vertAlign val="subscript"/>
        <sz val="10"/>
        <rFont val="Verdana"/>
        <family val="2"/>
      </rPr>
      <t>EI</t>
    </r>
    <r>
      <rPr>
        <sz val="10"/>
        <rFont val="Verdana"/>
        <family val="2"/>
      </rPr>
      <t xml:space="preserve"> =</t>
    </r>
  </si>
  <si>
    <r>
      <t>Para N = 40 y Z</t>
    </r>
    <r>
      <rPr>
        <vertAlign val="subscript"/>
        <sz val="10"/>
        <rFont val="Verdana"/>
        <family val="2"/>
      </rPr>
      <t>EI</t>
    </r>
    <r>
      <rPr>
        <sz val="10"/>
        <rFont val="Verdana"/>
        <family val="2"/>
      </rPr>
      <t xml:space="preserve"> = 1.30 tenemos p</t>
    </r>
    <r>
      <rPr>
        <vertAlign val="subscript"/>
        <sz val="10"/>
        <rFont val="Verdana"/>
        <family val="2"/>
      </rPr>
      <t>i</t>
    </r>
    <r>
      <rPr>
        <sz val="10"/>
        <rFont val="Verdana"/>
        <family val="2"/>
      </rPr>
      <t xml:space="preserve"> =</t>
    </r>
  </si>
  <si>
    <r>
      <t>p</t>
    </r>
    <r>
      <rPr>
        <vertAlign val="subscript"/>
        <sz val="10"/>
        <rFont val="Verdana"/>
        <family val="2"/>
      </rPr>
      <t>i</t>
    </r>
    <r>
      <rPr>
        <sz val="10"/>
        <rFont val="Verdana"/>
        <family val="2"/>
      </rPr>
      <t xml:space="preserve"> &lt; M</t>
    </r>
  </si>
  <si>
    <t>Se acepta el lote</t>
    <phoneticPr fontId="4" type="noConversion"/>
  </si>
  <si>
    <t>Jornada de trabajo en horas</t>
  </si>
  <si>
    <t>Sueldo por hora</t>
  </si>
  <si>
    <t>Unidades inspeccionadas por hora</t>
  </si>
  <si>
    <t>Defectos en el lote</t>
  </si>
  <si>
    <t>Costo del remplazo</t>
  </si>
  <si>
    <t>Pregunta a)</t>
  </si>
  <si>
    <t>Con Inspección del 100%</t>
  </si>
  <si>
    <t>Costo de inspección diario</t>
  </si>
  <si>
    <t>Costo del remplazo diario</t>
  </si>
  <si>
    <t>Costo cero inspección</t>
  </si>
  <si>
    <t>R/ No se debe de eliminar dicho puesto de trabajo ya que lo invertido en asegurar la calidad supera los costos de que esta no exista.</t>
  </si>
  <si>
    <t>Pregunta b)</t>
  </si>
  <si>
    <t>Inspección por muestreo</t>
  </si>
  <si>
    <t>R/  Es imposbile eliminar dicho puesto de trabajo ya que el costo de inspección es muy bajo respecto al costo en que incurre</t>
  </si>
  <si>
    <t>la empresa si el material llega defectuoso a la línea de producción.</t>
  </si>
  <si>
    <t>Calculo puntual de los indices</t>
  </si>
  <si>
    <t>Calculo de los errores de estimacion</t>
  </si>
  <si>
    <t>Superior</t>
  </si>
  <si>
    <t>Tome un tamano de muestra de 40, igual al ejemplo del libro</t>
  </si>
  <si>
    <t>Medio</t>
  </si>
  <si>
    <t>Intervalo de confianza</t>
  </si>
  <si>
    <t>Inferior</t>
  </si>
  <si>
    <t>= Zα/2</t>
  </si>
  <si>
    <t>Media proceso</t>
  </si>
  <si>
    <t xml:space="preserve">Cp = </t>
  </si>
  <si>
    <t>Es - Ei</t>
  </si>
  <si>
    <t>6σ</t>
  </si>
  <si>
    <t xml:space="preserve">Cpk = </t>
  </si>
  <si>
    <t>Es - X</t>
  </si>
  <si>
    <t>3σ</t>
  </si>
  <si>
    <t>X - Ei</t>
  </si>
  <si>
    <t>τ=</t>
  </si>
  <si>
    <t>σ^2+( x - CSL)^2</t>
  </si>
  <si>
    <r>
      <t>(USL-LSL)/6(</t>
    </r>
    <r>
      <rPr>
        <sz val="11"/>
        <color theme="1"/>
        <rFont val="Calibri"/>
        <family val="2"/>
      </rPr>
      <t>τ</t>
    </r>
    <r>
      <rPr>
        <sz val="11"/>
        <color theme="1"/>
        <rFont val="Arial"/>
        <family val="2"/>
      </rPr>
      <t>)^1/2</t>
    </r>
  </si>
  <si>
    <t>*</t>
  </si>
  <si>
    <t>LSE</t>
  </si>
  <si>
    <t>LCE</t>
  </si>
  <si>
    <t>LIE</t>
  </si>
  <si>
    <t>paquetes</t>
  </si>
  <si>
    <t>Cpk1</t>
  </si>
  <si>
    <t>Cpk2</t>
  </si>
  <si>
    <t>Estimación con 95% de confianza</t>
  </si>
  <si>
    <t>a. Los intervalos tanto de Cp como Ck y Cpm dan muy bajos. El proceso no es capaz con los índices calculados.</t>
  </si>
  <si>
    <t>b. No hay seguridad de que el proceso sea satisfactorio. Fue necesario estimar por intervalo porque no se conocían los datos poblacionales..</t>
  </si>
  <si>
    <t>Proceso 1</t>
  </si>
  <si>
    <t>Proceso 2</t>
  </si>
  <si>
    <t>&lt;---</t>
  </si>
  <si>
    <t>Es mejor utilizar el proceso 2 ya que el proceso 1 no se puede asegurar que sea capáz ya que sus valores de Cp y Cpk pueden caer por debajo de uno, indicativo de que tal vez el proceso no sea capaz y de que del mismo se obtiene producto que no cumple  con especificaciones</t>
  </si>
  <si>
    <t>Un ingeniero químico desea comparar la dureza de cuatro mezclas de pintura. Se aplicaron seis muestras de cada mezcla de pintura a una pieza de metal. Se curaron las piezas de metal. A continuación, se midió la dureza de cada muestra. Para probar la igualdad de medias y para evaluar las diferencias entre pares de medias, el analista usa el ANOVA de un solo factor con múltiples comparaciones.</t>
  </si>
  <si>
    <t>Anova de un solo factor</t>
  </si>
  <si>
    <t>Pintura</t>
  </si>
  <si>
    <t>Dureza</t>
  </si>
  <si>
    <t>Temp</t>
  </si>
  <si>
    <t>Operador</t>
  </si>
  <si>
    <t>Mezcla 2</t>
  </si>
  <si>
    <t>Mezcla 3</t>
  </si>
  <si>
    <t>Mezcla 4</t>
  </si>
  <si>
    <t>Mezcla 1</t>
  </si>
  <si>
    <t>El valor p para el ANOVA de dureza de la pintura es menor que 0.05. Este resultado indica que la dureza de las mezclas de pintura difieren significativamente. El ingeniero está en conocimiento de que algunas de las medias de los grupos son diferentes.</t>
  </si>
  <si>
    <t>La gráfica que incluye los intervalos de confianza simultáneos de Tukey muestra que el intervalo de confianza para la diferencia entre las medias de la Mezcla 2 y la Mezcla 4. Este rango no incluye cero, lo que indica que la diferencia entre estas medias es significativa.</t>
  </si>
  <si>
    <t>Un analista desea comparar la resistencia de cuatro mezclas de polimeros. Se aplicaron seis muestras de cada mezcla de polimero a una aleación. Se curaron las aleaciones. A continuación, se midió la resitencia de cada muestra. Para probar la igualdad de medias y para evaluar las diferencias entre pares de medias, el analista usa el ANOVA de un solo factor con múltiples comparaciones.</t>
  </si>
  <si>
    <t>Polimero</t>
  </si>
  <si>
    <t>Resistencia</t>
  </si>
  <si>
    <t>Técnico</t>
  </si>
  <si>
    <t>La gráfica que incluye los intervalos de confianza simultáneos de Tukey muestra que los intervalos de confianza son similares. Este rango incluye cero en todas las mezclas, lo que indica que no hay diferencias entre estas medias.</t>
  </si>
  <si>
    <t>Una ingeniera de diseño electrónico estudia el efecto de la temperatura de operación y de tres tipos de cristal de placa frontal en la salida de luz de un tubo de osciloscopio.</t>
  </si>
  <si>
    <t>modelo anova lineal general como el visto en clase</t>
  </si>
  <si>
    <t>Para estudiar el efecto de la temperatura, tipo de vidrio y la interacción entre estos dos factores, el ingeniero utiliza un modelo lineal general.</t>
  </si>
  <si>
    <t>SalidaLuz</t>
  </si>
  <si>
    <t>Temperatura</t>
  </si>
  <si>
    <t>TipoVidrio</t>
  </si>
  <si>
    <t>En la tabla Análisis de varianza, los valores p para todos los términos son menores a 0,05. Puesto que los valores p son menores que el nivel de significancia de 0.05, el ingeniero puede concluir que los efectos son estadísticamente significativos.</t>
  </si>
  <si>
    <t>Un analista de ingeniería de sonido, estudia el efecto del sonido en pruebas y de tres tipos de membrana de material poroso en la salida de audio medido en decibeles</t>
  </si>
  <si>
    <t>Para estudiar el efecto del sonido en decibeles, tipo de membrana y la interacción entre estos dos factores, el analista utiliza un modelo lineal general.</t>
  </si>
  <si>
    <t>Salida de audio</t>
  </si>
  <si>
    <t>decibeles</t>
  </si>
  <si>
    <t>Tipo de membrana</t>
  </si>
  <si>
    <t>En la tabla Análisis de varianza, los valores p para todos los términos son mayores a 0,05. Puesto que los valores p son mayores que el nivel de significancia de 0.05, el analista puede concluir que los efectos NO son estadísticamente significativos.</t>
  </si>
  <si>
    <t>Formato 1</t>
  </si>
  <si>
    <t>Formato 2</t>
  </si>
  <si>
    <t>Formato 3</t>
  </si>
  <si>
    <t>Velocidad 1</t>
  </si>
  <si>
    <t>Velocidad 2</t>
  </si>
  <si>
    <t>Velocidad 3</t>
  </si>
  <si>
    <t>Velocidad 4</t>
  </si>
  <si>
    <t>Empresa A</t>
  </si>
  <si>
    <t>Empresa B</t>
  </si>
  <si>
    <t>Empresa C</t>
  </si>
  <si>
    <t>Bodega 1</t>
  </si>
  <si>
    <t>Bodega 2</t>
  </si>
  <si>
    <t>Bodega 3</t>
  </si>
  <si>
    <t>Método 1</t>
  </si>
  <si>
    <t>Método 2</t>
  </si>
  <si>
    <t>Método 3</t>
  </si>
  <si>
    <t xml:space="preserve">El valor p para el ANOVA de resistencia de polimero es mayor que 0.05. Este resultado indica que la resistencia de las mezclas de los polimeros NO difieren significativamente. El analista está en conocimiento de que las medias de los grupos son estadísticamente iguales. </t>
  </si>
  <si>
    <t>Crucero</t>
  </si>
  <si>
    <t>Periodo</t>
  </si>
  <si>
    <t>15,2 (A)</t>
  </si>
  <si>
    <t>16.5 (B)</t>
  </si>
  <si>
    <t>10,7 (D)</t>
  </si>
  <si>
    <t xml:space="preserve">12,1 (C) </t>
  </si>
  <si>
    <t>14,6 (E)</t>
  </si>
  <si>
    <t>33,8 (B)</t>
  </si>
  <si>
    <t>31,4 (D)</t>
  </si>
  <si>
    <t>34,2 (E)</t>
  </si>
  <si>
    <t>26,5 (C)</t>
  </si>
  <si>
    <t>31,7 (A)</t>
  </si>
  <si>
    <t>13,5 (C)</t>
  </si>
  <si>
    <t>19,2 (D)</t>
  </si>
  <si>
    <t>17,0 (E)</t>
  </si>
  <si>
    <t>19,5 (A)</t>
  </si>
  <si>
    <t>16,7 (B)</t>
  </si>
  <si>
    <t>27,4 (D)</t>
  </si>
  <si>
    <t>25,8 (E)</t>
  </si>
  <si>
    <t>31,5 (A)</t>
  </si>
  <si>
    <t>27,2 (B)</t>
  </si>
  <si>
    <t>26,3 (C)</t>
  </si>
  <si>
    <t>29,1 (E)</t>
  </si>
  <si>
    <t>22,7 (A)</t>
  </si>
  <si>
    <t>30,2 (B)</t>
  </si>
  <si>
    <t>23,8 (D)</t>
  </si>
  <si>
    <t>21,6 (C)</t>
  </si>
  <si>
    <t>Periodo de tiempo</t>
  </si>
  <si>
    <t>90 (C)</t>
  </si>
  <si>
    <t>90 (B)</t>
  </si>
  <si>
    <t xml:space="preserve">89 (A) </t>
  </si>
  <si>
    <t>104 (D)</t>
  </si>
  <si>
    <t>96 (D)</t>
  </si>
  <si>
    <t>91 (C)</t>
  </si>
  <si>
    <t>97 (B)</t>
  </si>
  <si>
    <t>100 (A)</t>
  </si>
  <si>
    <t>84 (A)</t>
  </si>
  <si>
    <t>98 (C)</t>
  </si>
  <si>
    <t>104 (B)</t>
  </si>
  <si>
    <t>88 (B)</t>
  </si>
  <si>
    <t>88 (A)</t>
  </si>
  <si>
    <t>98 (D)</t>
  </si>
  <si>
    <t>106 (C)</t>
  </si>
  <si>
    <t>Disponibilidad de Nitrógeno</t>
  </si>
  <si>
    <t>Pendiente</t>
  </si>
  <si>
    <t>785 (D)</t>
  </si>
  <si>
    <t>855 (A)</t>
  </si>
  <si>
    <t xml:space="preserve">950 (C) </t>
  </si>
  <si>
    <t>945 (B)</t>
  </si>
  <si>
    <t>730 (A)</t>
  </si>
  <si>
    <t>775 (B)</t>
  </si>
  <si>
    <t>885 (D)</t>
  </si>
  <si>
    <t>950 (C)</t>
  </si>
  <si>
    <t>700 (C)</t>
  </si>
  <si>
    <t>760 (D)</t>
  </si>
  <si>
    <t>795 (B)</t>
  </si>
  <si>
    <t>880 (A)</t>
  </si>
  <si>
    <t>595 (B)</t>
  </si>
  <si>
    <t>710 (C)</t>
  </si>
  <si>
    <t>780 (A)</t>
  </si>
  <si>
    <t>835 (D)</t>
  </si>
  <si>
    <t>Conductores</t>
  </si>
  <si>
    <t>Carros</t>
  </si>
  <si>
    <t>Toyota</t>
  </si>
  <si>
    <t>Nissan</t>
  </si>
  <si>
    <t>Fiat</t>
  </si>
  <si>
    <t>Renault</t>
  </si>
  <si>
    <t>23 (A)</t>
  </si>
  <si>
    <t>17 (B)</t>
  </si>
  <si>
    <t>26 (A)</t>
  </si>
  <si>
    <t>26 (B)</t>
  </si>
  <si>
    <t>13 (D)</t>
  </si>
  <si>
    <t>20 (D)</t>
  </si>
  <si>
    <t>20 (A)</t>
  </si>
  <si>
    <t>16 (A)</t>
  </si>
  <si>
    <t>21 (A)</t>
  </si>
  <si>
    <t>25 (C)</t>
  </si>
  <si>
    <t>23 (D)</t>
  </si>
  <si>
    <t>26 (C)</t>
  </si>
  <si>
    <t>27 (B)</t>
  </si>
  <si>
    <t xml:space="preserve">15 (B) </t>
  </si>
  <si>
    <t>16 (C)</t>
  </si>
  <si>
    <t>17 (C)</t>
  </si>
  <si>
    <t>15 (A)</t>
  </si>
  <si>
    <t>20 (B)</t>
  </si>
  <si>
    <t>Operarios</t>
  </si>
  <si>
    <t>24 (A)</t>
  </si>
  <si>
    <t xml:space="preserve">18 (C) </t>
  </si>
  <si>
    <t>26 (D)</t>
  </si>
  <si>
    <t>22 (E)</t>
  </si>
  <si>
    <t>24 (C)</t>
  </si>
  <si>
    <t>38 (D)</t>
  </si>
  <si>
    <t>31 (E)</t>
  </si>
  <si>
    <t>30 (A)</t>
  </si>
  <si>
    <t>19 (C)</t>
  </si>
  <si>
    <t>30 (D)</t>
  </si>
  <si>
    <t>26 (E)</t>
  </si>
  <si>
    <t>24 (D)</t>
  </si>
  <si>
    <t>27 (E)</t>
  </si>
  <si>
    <t>27 (A)</t>
  </si>
  <si>
    <t>23 (B)</t>
  </si>
  <si>
    <t>29 (C)</t>
  </si>
  <si>
    <t>24 (E)</t>
  </si>
  <si>
    <t>36 (A)</t>
  </si>
  <si>
    <t>21 (B)</t>
  </si>
  <si>
    <t>22 (C)</t>
  </si>
  <si>
    <t>31 (D)</t>
  </si>
  <si>
    <t>Tipo de papel</t>
  </si>
  <si>
    <t>Satinado</t>
  </si>
  <si>
    <t>Blanco</t>
  </si>
  <si>
    <t>Color</t>
  </si>
  <si>
    <t>Grande</t>
  </si>
  <si>
    <t>Pequeña</t>
  </si>
  <si>
    <t>258 (A)</t>
  </si>
  <si>
    <t>235 (B)</t>
  </si>
  <si>
    <t xml:space="preserve">220 (C) </t>
  </si>
  <si>
    <t>230 (C)</t>
  </si>
  <si>
    <t>270 (A)</t>
  </si>
  <si>
    <t>225 (B)</t>
  </si>
  <si>
    <t>240 (B)</t>
  </si>
  <si>
    <t>240 (C)</t>
  </si>
  <si>
    <t>260 (A)</t>
  </si>
  <si>
    <t>8 (A)</t>
  </si>
  <si>
    <t xml:space="preserve">4 (B) </t>
  </si>
  <si>
    <t>11 (C)</t>
  </si>
  <si>
    <t>6 (D)</t>
  </si>
  <si>
    <t>4 (E)</t>
  </si>
  <si>
    <t>7 (B)</t>
  </si>
  <si>
    <t>2 (E)</t>
  </si>
  <si>
    <t>9 (A)</t>
  </si>
  <si>
    <t>8 (C)</t>
  </si>
  <si>
    <t>2 (D)</t>
  </si>
  <si>
    <t>1 (D)</t>
  </si>
  <si>
    <t>7 (A)</t>
  </si>
  <si>
    <t>10 (C)</t>
  </si>
  <si>
    <t>6 (E)</t>
  </si>
  <si>
    <t>3 (B)</t>
  </si>
  <si>
    <t>7 (C)</t>
  </si>
  <si>
    <t>3 (D)</t>
  </si>
  <si>
    <t>1 (E)</t>
  </si>
  <si>
    <t>6 (B)</t>
  </si>
  <si>
    <t>3 (E)</t>
  </si>
  <si>
    <t>8 (B)</t>
  </si>
  <si>
    <t>5 (D)</t>
  </si>
  <si>
    <t>10 (A)</t>
  </si>
  <si>
    <t>Escala</t>
  </si>
  <si>
    <t>Inspector</t>
  </si>
  <si>
    <t>I</t>
  </si>
  <si>
    <t>III</t>
  </si>
  <si>
    <t>15 (B)</t>
  </si>
  <si>
    <t xml:space="preserve">13 (C) </t>
  </si>
  <si>
    <t>10 (B)</t>
  </si>
  <si>
    <t>9 (C)</t>
  </si>
  <si>
    <t>11 (A)</t>
  </si>
  <si>
    <t>Operadores</t>
  </si>
  <si>
    <t>Materia prima</t>
  </si>
  <si>
    <t>17 (A)</t>
  </si>
  <si>
    <t>24 (B)</t>
  </si>
  <si>
    <t>30 (B)</t>
  </si>
  <si>
    <t>36 (B)</t>
  </si>
  <si>
    <t>Observación</t>
  </si>
  <si>
    <t>Resistencia al esfuerzo cortante</t>
  </si>
  <si>
    <t>Recetas</t>
  </si>
  <si>
    <t>Mediana</t>
  </si>
  <si>
    <t>Persona</t>
  </si>
  <si>
    <t>Peso antes</t>
  </si>
  <si>
    <t>Peso después</t>
  </si>
  <si>
    <t>Antes</t>
  </si>
  <si>
    <t>Después</t>
  </si>
  <si>
    <t>Individuo</t>
  </si>
  <si>
    <t>No podemos asegurar con confianza que el proceso sea capaz porque los valores de Cpk y Cpm pueden caer por debajo de 1</t>
  </si>
  <si>
    <t>5 pts</t>
  </si>
  <si>
    <t>Iniciar con inspección normal al día 10 pasar a inspección reducida y continuar ahí por los restantes 20 días.</t>
  </si>
  <si>
    <t>Se recomienda utilizar los formatos 1 y 3 que estadísticamente son iguales y el formato 2 es diferente y hay evidencia para afirmar que es el más lento</t>
  </si>
  <si>
    <t>Se recomienda descartar la velocidad 1 que estadísticamente hay evidencia de que genera una mayor cantidad de defectuosos</t>
  </si>
  <si>
    <t>Se recomienda Comprar la maquinaria a la empresa A o B ya que hay evidencia de que el proveedor C da un mal servicio</t>
  </si>
  <si>
    <t>Se recomienda descartar la bodega porque hay evidencia que es en donde las cebollas pierden mayor peso</t>
  </si>
  <si>
    <t>Se recomienda utilizar el método 3 para preparar los pedidos porque hay evidencia estadística de que con el se logra hacer más pedidos</t>
  </si>
  <si>
    <t>Se recomienda utilizar el método 2 para  porque hay evidencia estadística de que con el se logra mayor productividad</t>
  </si>
  <si>
    <t>A</t>
  </si>
  <si>
    <t>B</t>
  </si>
  <si>
    <t>La mezcla de pintura 4 es la de mayor dureza, no hay evidencia estadística que las mezclas 1, 2 y 3 sean diferentes.</t>
  </si>
  <si>
    <t>Al no rechazar Ho, no hay evidencia estadística que la resistencia de las mezclas sean diferentes por lo que no es necesario utilizar tukey</t>
  </si>
  <si>
    <t>Tratamiento</t>
  </si>
  <si>
    <t>Fila</t>
  </si>
  <si>
    <t>Columna</t>
  </si>
  <si>
    <t>C</t>
  </si>
  <si>
    <t>D</t>
  </si>
  <si>
    <t>E</t>
  </si>
  <si>
    <t>Las secuencias de los semáforos y los periodos, tienen suficiente evidencia estadistica para rechazar las hipótesis nulas por lo que son fuente de variabilidad importante</t>
  </si>
  <si>
    <t>Hay suficiente evidencia estadísitica para determinar que el método de trabajo y el periodo trabajando afectan la duración del operario fabricando el producto.  No se evidencia que el operario afecte.</t>
  </si>
  <si>
    <t>Hay suficiente evidencia estadísitica para determinar que la pendiente, el nitrógeno y la variedad de aguacate tienen efectos de variabilidad importantes.</t>
  </si>
  <si>
    <t>Hay suficiente evidencia estadísitica para determinar que la forma de manejo y el tipo de aditivo sí afectan las emisiones de óxido de nitrógeno</t>
  </si>
  <si>
    <t>NO hay evidencia para rechzar la ho por lo que no se puede decir que la resistencia sea menor a 2000</t>
  </si>
  <si>
    <t>Horas</t>
  </si>
  <si>
    <t>Minutos</t>
  </si>
  <si>
    <t>NO hay evidencia para rechzar la ho por lo que no se puede decir que la mediana del tiempo de espera supere los 20 minutos</t>
  </si>
  <si>
    <t>NO hay evidencia para rechzar la ho por lo que no se puede decir que la mediana de las horas de recarga sean menores a 1,8</t>
  </si>
  <si>
    <t>NO hay evidencia para rechzar la ho por lo que no se puede decir que la mediana del número de recetas diarias sea inferior a 17</t>
  </si>
  <si>
    <t>NO hay evidencia para rechzar la ho por lo que la dieta no cumple con la meta de bajar el peso en dos semanas</t>
  </si>
  <si>
    <t>5pts</t>
  </si>
  <si>
    <t>ph</t>
  </si>
  <si>
    <t>NO hay evidencia para rechzar la ho por lo que no se puede rechazar la mediana de 7</t>
  </si>
  <si>
    <t>Impurezas</t>
  </si>
  <si>
    <t>Hay evidencia para rechzar la ho por lo se puede afirmar que el proceso arroja una mediana menora la establecida</t>
  </si>
  <si>
    <t>NO hay evidencia para rechzar la ho por lo que el fumado no afecta el peso de las personas</t>
  </si>
  <si>
    <t>DATOS</t>
  </si>
  <si>
    <t>raíz de Cpk en intervalo</t>
  </si>
  <si>
    <t>Z</t>
  </si>
  <si>
    <t>raíz de Cpm en intervalo</t>
  </si>
  <si>
    <t>Índices</t>
  </si>
  <si>
    <t>Cálculos</t>
  </si>
  <si>
    <t>Resultados</t>
  </si>
  <si>
    <t>Numerador</t>
  </si>
  <si>
    <t>Deniminador</t>
  </si>
  <si>
    <t>Límites de confianza para los índices de capacidad</t>
  </si>
  <si>
    <t xml:space="preserve">Existe certeza de que el proceso no es capaz </t>
  </si>
  <si>
    <t>Hay suficiente evidencia estadísitica para determinar que los operarios y la fórmula de combustible afectan el poder de combustión</t>
  </si>
  <si>
    <t>Hay suficiente evidencia estadísitica para determinar que la iluminación y el tamaño de la letra afecta la velocidad de la lectura</t>
  </si>
  <si>
    <t>Hay suficiente evidencia estadísitica para determinar sólo el catalizador afecta la variable de respuesta</t>
  </si>
  <si>
    <t>13 (B)</t>
  </si>
  <si>
    <t>No hay suficiente evidencia estadística para rechazar las Ho, por lo que  los lotes entregados por lor proveedores son iguales y los bloques no afectan</t>
  </si>
  <si>
    <t>Hay suficiente evidencia estadística para determinar que las formulaciones y los operadores son causa de variación en la carga propulsora</t>
  </si>
  <si>
    <t>10 pts</t>
  </si>
  <si>
    <r>
      <t xml:space="preserve">a) </t>
    </r>
    <r>
      <rPr>
        <b/>
        <sz val="12"/>
        <color rgb="FFFF0000"/>
        <rFont val="Verdana"/>
        <family val="2"/>
      </rPr>
      <t>5 pts</t>
    </r>
  </si>
  <si>
    <r>
      <t xml:space="preserve">b) </t>
    </r>
    <r>
      <rPr>
        <b/>
        <sz val="12"/>
        <color rgb="FFFF0000"/>
        <rFont val="Verdana"/>
        <family val="2"/>
      </rPr>
      <t>5pts</t>
    </r>
  </si>
  <si>
    <r>
      <t xml:space="preserve">c) </t>
    </r>
    <r>
      <rPr>
        <b/>
        <sz val="12"/>
        <color rgb="FFFF0000"/>
        <rFont val="Verdana"/>
        <family val="2"/>
      </rPr>
      <t>5 pts</t>
    </r>
  </si>
  <si>
    <r>
      <t xml:space="preserve">d) </t>
    </r>
    <r>
      <rPr>
        <b/>
        <sz val="12"/>
        <color rgb="FFFF0000"/>
        <rFont val="Verdana"/>
        <family val="2"/>
      </rPr>
      <t>5 pts</t>
    </r>
  </si>
  <si>
    <t>15 pts</t>
  </si>
  <si>
    <t>10 pts ambos gráficos y la explicación</t>
  </si>
  <si>
    <r>
      <t xml:space="preserve">A) </t>
    </r>
    <r>
      <rPr>
        <b/>
        <sz val="10"/>
        <color rgb="FFFF0000"/>
        <rFont val="Verdana"/>
        <family val="2"/>
      </rPr>
      <t>10 pts</t>
    </r>
  </si>
  <si>
    <r>
      <t xml:space="preserve">B) </t>
    </r>
    <r>
      <rPr>
        <b/>
        <sz val="10"/>
        <color rgb="FFFF0000"/>
        <rFont val="Verdana"/>
        <family val="2"/>
      </rPr>
      <t>10 pts</t>
    </r>
  </si>
  <si>
    <r>
      <t xml:space="preserve">C) </t>
    </r>
    <r>
      <rPr>
        <b/>
        <sz val="10"/>
        <color rgb="FFFF0000"/>
        <rFont val="Verdana"/>
        <family val="2"/>
      </rPr>
      <t>10 pts</t>
    </r>
  </si>
  <si>
    <r>
      <t>a)</t>
    </r>
    <r>
      <rPr>
        <b/>
        <sz val="12"/>
        <color rgb="FFFF0000"/>
        <rFont val="Verdana"/>
        <family val="2"/>
      </rPr>
      <t xml:space="preserve"> 5 pts</t>
    </r>
  </si>
  <si>
    <r>
      <t xml:space="preserve">b) </t>
    </r>
    <r>
      <rPr>
        <b/>
        <sz val="12"/>
        <color rgb="FFFF0000"/>
        <rFont val="Verdana"/>
        <family val="2"/>
      </rPr>
      <t>5 pts</t>
    </r>
  </si>
  <si>
    <t>Costo no inspeccionar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</si>
</sst>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00"/>
    <numFmt numFmtId="165" formatCode="0.00000"/>
    <numFmt numFmtId="166" formatCode="&quot;$&quot;#,##0.00"/>
    <numFmt numFmtId="167" formatCode="0.0000"/>
    <numFmt numFmtId="168" formatCode="[$$-409]#,##0"/>
    <numFmt numFmtId="169" formatCode="[$$-409]#,##0.0"/>
    <numFmt numFmtId="170" formatCode="[$$-409]#,##0.00"/>
    <numFmt numFmtId="171" formatCode="_(* #,##0.00_);_(* \(#,##0.00\);_(* &quot;-&quot;??_);_(@_)"/>
    <numFmt numFmtId="172" formatCode="_(* #,##0_);_(* \(#,##0\);_(* &quot;-&quot;??_);_(@_)"/>
    <numFmt numFmtId="173" formatCode="&quot;$&quot;#,##0.00_);[Red]\(&quot;$&quot;#,##0.00\)"/>
    <numFmt numFmtId="174" formatCode="&quot;$&quot;#,##0_);[Red]\(&quot;$&quot;#,##0\)"/>
    <numFmt numFmtId="175" formatCode="0.000%"/>
    <numFmt numFmtId="176" formatCode="&quot;$&quot;#,##0;[Red]\-&quot;$&quot;#,##0"/>
    <numFmt numFmtId="177" formatCode="_-[$$-409]* #,##0.00_ ;_-[$$-409]* \-#,##0.00\ ;_-[$$-409]* &quot;-&quot;??_ ;_-@_ "/>
    <numFmt numFmtId="178" formatCode="_(* #,##0.0000_);_(* \(#,##0.0000\);_(* &quot;-&quot;??_);_(@_)"/>
    <numFmt numFmtId="179" formatCode="0.0"/>
    <numFmt numFmtId="180" formatCode="0.0%"/>
    <numFmt numFmtId="181" formatCode="#,##0.00\ [$€-1];[Red]\-#,##0.00\ [$€-1]"/>
    <numFmt numFmtId="182" formatCode="#,##0.000"/>
  </numFmts>
  <fonts count="63">
    <font>
      <sz val="12"/>
      <color theme="1"/>
      <name val="Calibri"/>
      <family val="2"/>
      <scheme val="minor"/>
    </font>
    <font>
      <sz val="10"/>
      <name val="Verdana"/>
      <family val="2"/>
    </font>
    <font>
      <b/>
      <sz val="10"/>
      <name val="Verdana"/>
      <family val="2"/>
    </font>
    <font>
      <sz val="10"/>
      <name val="Symbol"/>
      <charset val="2"/>
    </font>
    <font>
      <sz val="12"/>
      <name val="Verdana"/>
      <family val="2"/>
    </font>
    <font>
      <vertAlign val="subscript"/>
      <sz val="10"/>
      <name val="Verdana"/>
      <family val="2"/>
    </font>
    <font>
      <sz val="10"/>
      <name val="Arial"/>
      <family val="2"/>
    </font>
    <font>
      <sz val="11"/>
      <color indexed="8"/>
      <name val="Helv"/>
    </font>
    <font>
      <b/>
      <sz val="11"/>
      <color indexed="8"/>
      <name val="Helv"/>
    </font>
    <font>
      <sz val="14"/>
      <name val="Verdana"/>
      <family val="2"/>
    </font>
    <font>
      <sz val="12"/>
      <color theme="1"/>
      <name val="Calibri"/>
      <family val="2"/>
      <scheme val="minor"/>
    </font>
    <font>
      <sz val="12"/>
      <color rgb="FFFF0000"/>
      <name val="Calibri"/>
      <family val="2"/>
      <scheme val="minor"/>
    </font>
    <font>
      <b/>
      <sz val="12"/>
      <color theme="1"/>
      <name val="Calibri"/>
      <family val="2"/>
      <scheme val="minor"/>
    </font>
    <font>
      <sz val="10"/>
      <name val="Verdana"/>
      <family val="2"/>
    </font>
    <font>
      <b/>
      <sz val="10"/>
      <name val="Verdana"/>
      <family val="2"/>
    </font>
    <font>
      <sz val="12"/>
      <name val="Verdana"/>
      <family val="2"/>
    </font>
    <font>
      <b/>
      <sz val="16"/>
      <color theme="1"/>
      <name val="Calibri"/>
      <family val="2"/>
      <scheme val="minor"/>
    </font>
    <font>
      <sz val="12"/>
      <color rgb="FF000000"/>
      <name val="Calibri"/>
      <family val="2"/>
      <scheme val="minor"/>
    </font>
    <font>
      <vertAlign val="subscript"/>
      <sz val="12"/>
      <name val="Verdana"/>
      <family val="2"/>
    </font>
    <font>
      <b/>
      <sz val="12"/>
      <name val="Verdana"/>
      <family val="2"/>
    </font>
    <font>
      <sz val="12"/>
      <name val="Calibri"/>
      <family val="2"/>
      <scheme val="minor"/>
    </font>
    <font>
      <b/>
      <sz val="12"/>
      <color rgb="FFFF0000"/>
      <name val="Calibri"/>
      <family val="2"/>
      <scheme val="minor"/>
    </font>
    <font>
      <b/>
      <sz val="12"/>
      <color rgb="FF000000"/>
      <name val="Calibri"/>
      <family val="2"/>
      <scheme val="minor"/>
    </font>
    <font>
      <b/>
      <sz val="20"/>
      <color rgb="FFFF0000"/>
      <name val="Calibri"/>
      <family val="2"/>
      <scheme val="minor"/>
    </font>
    <font>
      <b/>
      <sz val="14"/>
      <color theme="1"/>
      <name val="Calibri"/>
      <family val="2"/>
      <scheme val="minor"/>
    </font>
    <font>
      <sz val="14"/>
      <color theme="1"/>
      <name val="Calibri"/>
      <family val="2"/>
      <scheme val="minor"/>
    </font>
    <font>
      <sz val="12"/>
      <color theme="1"/>
      <name val="Cambria"/>
      <family val="1"/>
    </font>
    <font>
      <sz val="10"/>
      <name val="Arial"/>
      <family val="2"/>
    </font>
    <font>
      <sz val="10"/>
      <color theme="1"/>
      <name val="Verdana"/>
      <family val="2"/>
    </font>
    <font>
      <sz val="10"/>
      <color indexed="10"/>
      <name val="Verdana"/>
      <family val="2"/>
    </font>
    <font>
      <b/>
      <sz val="10"/>
      <color rgb="FFFF0000"/>
      <name val="Verdana"/>
      <family val="2"/>
    </font>
    <font>
      <sz val="12"/>
      <color theme="1"/>
      <name val="Times New Roman"/>
      <family val="1"/>
    </font>
    <font>
      <sz val="10"/>
      <name val="Times New Roman"/>
      <family val="1"/>
    </font>
    <font>
      <sz val="12"/>
      <name val="Times New Roman"/>
      <family val="1"/>
    </font>
    <font>
      <b/>
      <sz val="12"/>
      <name val="Times New Roman"/>
      <family val="1"/>
    </font>
    <font>
      <sz val="11"/>
      <color theme="1"/>
      <name val="Calibri"/>
      <family val="2"/>
      <scheme val="minor"/>
    </font>
    <font>
      <sz val="10"/>
      <color theme="1"/>
      <name val="Verdana"/>
      <family val="2"/>
    </font>
    <font>
      <sz val="11"/>
      <color theme="1"/>
      <name val="Verdana"/>
      <family val="2"/>
    </font>
    <font>
      <sz val="16"/>
      <color theme="1"/>
      <name val="Calibri"/>
      <family val="2"/>
      <scheme val="minor"/>
    </font>
    <font>
      <b/>
      <sz val="10"/>
      <name val="Arial"/>
      <family val="2"/>
    </font>
    <font>
      <b/>
      <sz val="12"/>
      <name val="Verdana"/>
      <family val="2"/>
    </font>
    <font>
      <b/>
      <sz val="10"/>
      <color rgb="FFFF0000"/>
      <name val="Arial"/>
      <family val="2"/>
    </font>
    <font>
      <b/>
      <sz val="11"/>
      <color theme="1"/>
      <name val="Arial"/>
      <family val="2"/>
    </font>
    <font>
      <sz val="11"/>
      <color theme="1"/>
      <name val="Arial"/>
      <family val="2"/>
    </font>
    <font>
      <b/>
      <sz val="16"/>
      <color theme="1"/>
      <name val="Arial"/>
      <family val="2"/>
    </font>
    <font>
      <b/>
      <sz val="14"/>
      <color theme="1"/>
      <name val="Arial"/>
      <family val="2"/>
    </font>
    <font>
      <b/>
      <sz val="12"/>
      <color theme="1"/>
      <name val="Arial"/>
      <family val="2"/>
    </font>
    <font>
      <b/>
      <sz val="18"/>
      <color theme="1"/>
      <name val="Calibri"/>
      <family val="2"/>
    </font>
    <font>
      <sz val="12"/>
      <color rgb="FF000000"/>
      <name val="Lucida Grande"/>
      <family val="2"/>
    </font>
    <font>
      <sz val="11"/>
      <color theme="1"/>
      <name val="Calibri"/>
      <family val="2"/>
    </font>
    <font>
      <sz val="11"/>
      <color rgb="FF333333"/>
      <name val="Open Sans"/>
      <family val="2"/>
    </font>
    <font>
      <i/>
      <sz val="10"/>
      <name val="Arial"/>
      <family val="2"/>
    </font>
    <font>
      <sz val="10"/>
      <color theme="1"/>
      <name val="Arial"/>
      <family val="2"/>
    </font>
    <font>
      <b/>
      <sz val="12"/>
      <color rgb="FFFF0000"/>
      <name val="Verdana"/>
      <family val="2"/>
    </font>
    <font>
      <b/>
      <sz val="11"/>
      <color rgb="FFFF0000"/>
      <name val="Arial"/>
      <family val="2"/>
    </font>
    <font>
      <sz val="26"/>
      <color theme="1"/>
      <name val="Calibri"/>
      <family val="2"/>
      <scheme val="minor"/>
    </font>
    <font>
      <b/>
      <sz val="28"/>
      <color rgb="FFFF0000"/>
      <name val="Calibri"/>
      <family val="2"/>
      <scheme val="minor"/>
    </font>
    <font>
      <b/>
      <sz val="26"/>
      <color rgb="FFFF0000"/>
      <name val="Calibri"/>
      <family val="2"/>
      <scheme val="minor"/>
    </font>
    <font>
      <sz val="22"/>
      <color theme="1"/>
      <name val="Calibri"/>
      <family val="2"/>
      <scheme val="minor"/>
    </font>
    <font>
      <sz val="14"/>
      <color rgb="FF333333"/>
      <name val="Open Sans"/>
      <family val="2"/>
    </font>
    <font>
      <sz val="24"/>
      <color theme="1"/>
      <name val="Calibri"/>
      <family val="2"/>
      <scheme val="minor"/>
    </font>
    <font>
      <sz val="21"/>
      <color theme="1"/>
      <name val="Calibri"/>
      <family val="2"/>
      <scheme val="minor"/>
    </font>
    <font>
      <b/>
      <sz val="11"/>
      <color rgb="FFFF0000"/>
      <name val="Helv"/>
    </font>
  </fonts>
  <fills count="10">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13"/>
        <bgColor indexed="64"/>
      </patternFill>
    </fill>
    <fill>
      <patternFill patternType="solid">
        <fgColor rgb="FFFFFF00"/>
        <bgColor indexed="64"/>
      </patternFill>
    </fill>
    <fill>
      <patternFill patternType="solid">
        <fgColor theme="3" tint="0.39997558519241921"/>
        <bgColor indexed="64"/>
      </patternFill>
    </fill>
    <fill>
      <patternFill patternType="solid">
        <fgColor rgb="FFFEFF96"/>
        <bgColor indexed="64"/>
      </patternFill>
    </fill>
    <fill>
      <patternFill patternType="solid">
        <fgColor theme="0"/>
        <bgColor indexed="64"/>
      </patternFill>
    </fill>
    <fill>
      <patternFill patternType="solid">
        <fgColor rgb="FFFFFFFF"/>
        <bgColor rgb="FF000000"/>
      </patternFill>
    </fill>
  </fills>
  <borders count="4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ck">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s>
  <cellStyleXfs count="17">
    <xf numFmtId="0" fontId="0" fillId="0" borderId="0"/>
    <xf numFmtId="0" fontId="1" fillId="0" borderId="0"/>
    <xf numFmtId="0" fontId="6" fillId="0" borderId="0"/>
    <xf numFmtId="0" fontId="13" fillId="0" borderId="0"/>
    <xf numFmtId="0" fontId="13" fillId="0" borderId="0"/>
    <xf numFmtId="171" fontId="1" fillId="0" borderId="0" applyFont="0" applyFill="0" applyBorder="0" applyAlignment="0" applyProtection="0"/>
    <xf numFmtId="9" fontId="1" fillId="0" borderId="0" applyFont="0" applyFill="0" applyBorder="0" applyAlignment="0" applyProtection="0"/>
    <xf numFmtId="171" fontId="10" fillId="0" borderId="0" applyFont="0" applyFill="0" applyBorder="0" applyAlignment="0" applyProtection="0"/>
    <xf numFmtId="9" fontId="10" fillId="0" borderId="0" applyFont="0" applyFill="0" applyBorder="0" applyAlignment="0" applyProtection="0"/>
    <xf numFmtId="0" fontId="1" fillId="0" borderId="0"/>
    <xf numFmtId="0" fontId="10" fillId="0" borderId="0"/>
    <xf numFmtId="9" fontId="10" fillId="0" borderId="0" applyFont="0" applyFill="0" applyBorder="0" applyAlignment="0" applyProtection="0"/>
    <xf numFmtId="0" fontId="27" fillId="0" borderId="0"/>
    <xf numFmtId="0" fontId="13" fillId="0" borderId="0"/>
    <xf numFmtId="0" fontId="1" fillId="0" borderId="0"/>
    <xf numFmtId="0" fontId="35" fillId="0" borderId="0"/>
    <xf numFmtId="0" fontId="35" fillId="0" borderId="0"/>
  </cellStyleXfs>
  <cellXfs count="634">
    <xf numFmtId="0" fontId="0" fillId="0" borderId="0" xfId="0"/>
    <xf numFmtId="0" fontId="1" fillId="0" borderId="0" xfId="1"/>
    <xf numFmtId="0" fontId="1" fillId="0" borderId="0" xfId="1" applyAlignment="1">
      <alignment horizontal="right"/>
    </xf>
    <xf numFmtId="0" fontId="2" fillId="0" borderId="0" xfId="1" applyFont="1" applyAlignment="1">
      <alignment horizontal="center"/>
    </xf>
    <xf numFmtId="0" fontId="1" fillId="0" borderId="0" xfId="1" applyAlignment="1">
      <alignment horizontal="center"/>
    </xf>
    <xf numFmtId="2" fontId="1" fillId="0" borderId="0" xfId="1" applyNumberFormat="1" applyAlignment="1">
      <alignment horizontal="center"/>
    </xf>
    <xf numFmtId="0" fontId="1" fillId="2" borderId="0" xfId="1" applyFill="1" applyAlignment="1">
      <alignment horizontal="center"/>
    </xf>
    <xf numFmtId="2" fontId="1" fillId="2" borderId="0" xfId="1" applyNumberFormat="1" applyFill="1" applyAlignment="1">
      <alignment horizontal="center"/>
    </xf>
    <xf numFmtId="0" fontId="2" fillId="0" borderId="0" xfId="1" applyFont="1" applyAlignment="1">
      <alignment horizontal="right"/>
    </xf>
    <xf numFmtId="0" fontId="2" fillId="0" borderId="0" xfId="1" applyFont="1" applyAlignment="1">
      <alignment horizontal="left"/>
    </xf>
    <xf numFmtId="0" fontId="2" fillId="0" borderId="0" xfId="1" applyFont="1"/>
    <xf numFmtId="164" fontId="1" fillId="0" borderId="0" xfId="1" applyNumberFormat="1" applyAlignment="1">
      <alignment horizontal="center"/>
    </xf>
    <xf numFmtId="165" fontId="1" fillId="0" borderId="0" xfId="1" applyNumberFormat="1" applyAlignment="1">
      <alignment horizontal="center"/>
    </xf>
    <xf numFmtId="2" fontId="1" fillId="0" borderId="0" xfId="1" applyNumberFormat="1"/>
    <xf numFmtId="0" fontId="4" fillId="0" borderId="0" xfId="1" applyFont="1"/>
    <xf numFmtId="166" fontId="1" fillId="0" borderId="0" xfId="1" applyNumberFormat="1"/>
    <xf numFmtId="10" fontId="1" fillId="0" borderId="0" xfId="1" applyNumberFormat="1"/>
    <xf numFmtId="1" fontId="1" fillId="0" borderId="0" xfId="1" applyNumberFormat="1" applyAlignment="1">
      <alignment horizontal="center"/>
    </xf>
    <xf numFmtId="167" fontId="1" fillId="0" borderId="0" xfId="1" applyNumberFormat="1" applyAlignment="1">
      <alignment horizontal="center"/>
    </xf>
    <xf numFmtId="0" fontId="1" fillId="3" borderId="0" xfId="1" applyFill="1"/>
    <xf numFmtId="166" fontId="1" fillId="3" borderId="0" xfId="1" applyNumberFormat="1" applyFill="1"/>
    <xf numFmtId="0" fontId="1" fillId="3" borderId="0" xfId="1" applyFill="1" applyAlignment="1">
      <alignment horizontal="center"/>
    </xf>
    <xf numFmtId="167" fontId="1" fillId="2" borderId="0" xfId="1" applyNumberFormat="1" applyFill="1" applyAlignment="1">
      <alignment horizontal="center"/>
    </xf>
    <xf numFmtId="164" fontId="1" fillId="0" borderId="0" xfId="1" applyNumberFormat="1"/>
    <xf numFmtId="0" fontId="7" fillId="0" borderId="0" xfId="2" applyFont="1"/>
    <xf numFmtId="0" fontId="6" fillId="0" borderId="0" xfId="2"/>
    <xf numFmtId="9" fontId="7" fillId="0" borderId="0" xfId="2" applyNumberFormat="1" applyFont="1"/>
    <xf numFmtId="164" fontId="1" fillId="5" borderId="0" xfId="1" applyNumberFormat="1" applyFill="1" applyAlignment="1">
      <alignment horizontal="center"/>
    </xf>
    <xf numFmtId="0" fontId="1" fillId="5" borderId="0" xfId="1" applyFill="1"/>
    <xf numFmtId="167" fontId="1" fillId="5" borderId="0" xfId="1" applyNumberFormat="1" applyFill="1" applyAlignment="1">
      <alignment horizontal="center"/>
    </xf>
    <xf numFmtId="0" fontId="14" fillId="0" borderId="0" xfId="3" applyFont="1" applyAlignment="1">
      <alignment horizontal="right"/>
    </xf>
    <xf numFmtId="0" fontId="14" fillId="0" borderId="0" xfId="3" applyFont="1" applyAlignment="1">
      <alignment horizontal="left"/>
    </xf>
    <xf numFmtId="0" fontId="14" fillId="0" borderId="0" xfId="3" applyFont="1"/>
    <xf numFmtId="0" fontId="13" fillId="0" borderId="0" xfId="3"/>
    <xf numFmtId="0" fontId="14" fillId="0" borderId="0" xfId="3" applyFont="1" applyAlignment="1">
      <alignment horizontal="center"/>
    </xf>
    <xf numFmtId="0" fontId="13" fillId="0" borderId="0" xfId="3" applyAlignment="1">
      <alignment horizontal="center"/>
    </xf>
    <xf numFmtId="164" fontId="13" fillId="0" borderId="0" xfId="3" applyNumberFormat="1" applyAlignment="1">
      <alignment horizontal="center"/>
    </xf>
    <xf numFmtId="165" fontId="13" fillId="0" borderId="0" xfId="3" applyNumberFormat="1" applyAlignment="1">
      <alignment horizontal="center"/>
    </xf>
    <xf numFmtId="165" fontId="14" fillId="0" borderId="0" xfId="3" applyNumberFormat="1" applyFont="1" applyAlignment="1">
      <alignment horizontal="center"/>
    </xf>
    <xf numFmtId="3" fontId="13" fillId="0" borderId="0" xfId="3" applyNumberFormat="1"/>
    <xf numFmtId="1" fontId="13" fillId="0" borderId="0" xfId="3" applyNumberFormat="1"/>
    <xf numFmtId="170" fontId="13" fillId="0" borderId="0" xfId="3" applyNumberFormat="1"/>
    <xf numFmtId="2" fontId="13" fillId="0" borderId="0" xfId="3" applyNumberFormat="1"/>
    <xf numFmtId="0" fontId="15" fillId="0" borderId="0" xfId="4" applyFont="1"/>
    <xf numFmtId="0" fontId="13" fillId="0" borderId="0" xfId="4"/>
    <xf numFmtId="166" fontId="13" fillId="0" borderId="0" xfId="4" applyNumberFormat="1"/>
    <xf numFmtId="10" fontId="13" fillId="0" borderId="0" xfId="4" applyNumberFormat="1"/>
    <xf numFmtId="1" fontId="13" fillId="0" borderId="0" xfId="4" applyNumberFormat="1" applyAlignment="1">
      <alignment horizontal="center"/>
    </xf>
    <xf numFmtId="0" fontId="13" fillId="0" borderId="0" xfId="4" applyAlignment="1">
      <alignment horizontal="center"/>
    </xf>
    <xf numFmtId="167" fontId="13" fillId="0" borderId="0" xfId="4" applyNumberFormat="1" applyAlignment="1">
      <alignment horizontal="center"/>
    </xf>
    <xf numFmtId="164" fontId="13" fillId="0" borderId="0" xfId="4" applyNumberFormat="1" applyAlignment="1">
      <alignment horizontal="center"/>
    </xf>
    <xf numFmtId="2" fontId="13" fillId="0" borderId="0" xfId="4" applyNumberFormat="1" applyAlignment="1">
      <alignment horizontal="center"/>
    </xf>
    <xf numFmtId="172" fontId="0" fillId="0" borderId="0" xfId="5" applyNumberFormat="1" applyFont="1"/>
    <xf numFmtId="9" fontId="13" fillId="0" borderId="0" xfId="4" applyNumberFormat="1"/>
    <xf numFmtId="0" fontId="2" fillId="0" borderId="0" xfId="4" applyFont="1" applyAlignment="1">
      <alignment horizontal="center"/>
    </xf>
    <xf numFmtId="0" fontId="13" fillId="5" borderId="0" xfId="4" applyFill="1" applyAlignment="1">
      <alignment horizontal="center"/>
    </xf>
    <xf numFmtId="2" fontId="13" fillId="5" borderId="0" xfId="4" applyNumberFormat="1" applyFill="1" applyAlignment="1">
      <alignment horizontal="center"/>
    </xf>
    <xf numFmtId="0" fontId="13" fillId="0" borderId="0" xfId="4" applyAlignment="1">
      <alignment horizontal="right"/>
    </xf>
    <xf numFmtId="1" fontId="13" fillId="0" borderId="0" xfId="4" applyNumberFormat="1" applyAlignment="1">
      <alignment horizontal="right"/>
    </xf>
    <xf numFmtId="0" fontId="2" fillId="0" borderId="0" xfId="4" applyFont="1"/>
    <xf numFmtId="10" fontId="0" fillId="0" borderId="0" xfId="6" applyNumberFormat="1" applyFont="1"/>
    <xf numFmtId="2" fontId="13" fillId="0" borderId="0" xfId="4" applyNumberFormat="1"/>
    <xf numFmtId="164" fontId="13" fillId="0" borderId="0" xfId="4" applyNumberFormat="1"/>
    <xf numFmtId="0" fontId="16" fillId="0" borderId="0" xfId="0" applyFont="1"/>
    <xf numFmtId="0" fontId="0" fillId="0" borderId="0" xfId="0" applyAlignment="1">
      <alignment horizontal="center"/>
    </xf>
    <xf numFmtId="0" fontId="0" fillId="0" borderId="4" xfId="0" applyBorder="1"/>
    <xf numFmtId="0" fontId="0" fillId="5" borderId="4" xfId="0" applyFill="1" applyBorder="1" applyAlignment="1">
      <alignment horizontal="center"/>
    </xf>
    <xf numFmtId="0" fontId="12" fillId="0" borderId="4" xfId="0" applyFont="1" applyBorder="1" applyAlignment="1">
      <alignment horizontal="center"/>
    </xf>
    <xf numFmtId="0" fontId="0" fillId="0" borderId="4" xfId="0" applyBorder="1" applyAlignment="1">
      <alignment horizontal="center"/>
    </xf>
    <xf numFmtId="0" fontId="0" fillId="0" borderId="4" xfId="0" applyBorder="1" applyAlignment="1">
      <alignment horizontal="center" wrapText="1"/>
    </xf>
    <xf numFmtId="0" fontId="0" fillId="0" borderId="4" xfId="0" applyBorder="1" applyAlignment="1">
      <alignment horizontal="center" vertical="center"/>
    </xf>
    <xf numFmtId="10" fontId="0" fillId="0" borderId="4" xfId="0" applyNumberFormat="1" applyBorder="1" applyAlignment="1">
      <alignment horizontal="center"/>
    </xf>
    <xf numFmtId="9" fontId="0" fillId="0" borderId="4" xfId="0" applyNumberFormat="1" applyBorder="1" applyAlignment="1">
      <alignment horizontal="center"/>
    </xf>
    <xf numFmtId="0" fontId="12" fillId="0" borderId="0" xfId="0" applyFont="1" applyAlignment="1">
      <alignment horizontal="center"/>
    </xf>
    <xf numFmtId="0" fontId="12" fillId="0" borderId="4" xfId="0" applyFont="1" applyBorder="1" applyAlignment="1">
      <alignment horizontal="center" vertical="center"/>
    </xf>
    <xf numFmtId="1" fontId="0" fillId="0" borderId="5" xfId="0" applyNumberFormat="1" applyBorder="1" applyAlignment="1">
      <alignment horizontal="center"/>
    </xf>
    <xf numFmtId="2" fontId="0" fillId="0" borderId="4" xfId="0" applyNumberFormat="1" applyBorder="1"/>
    <xf numFmtId="2" fontId="0" fillId="0" borderId="0" xfId="0" applyNumberFormat="1"/>
    <xf numFmtId="1" fontId="0" fillId="0" borderId="4" xfId="0" applyNumberFormat="1" applyBorder="1" applyAlignment="1">
      <alignment horizontal="center"/>
    </xf>
    <xf numFmtId="164" fontId="0" fillId="0" borderId="0" xfId="0" applyNumberFormat="1" applyAlignment="1">
      <alignment horizontal="center"/>
    </xf>
    <xf numFmtId="164" fontId="0" fillId="0" borderId="0" xfId="0" applyNumberFormat="1"/>
    <xf numFmtId="0" fontId="17" fillId="0" borderId="0" xfId="0" applyFont="1" applyAlignment="1">
      <alignment horizontal="center"/>
    </xf>
    <xf numFmtId="0" fontId="11" fillId="0" borderId="0" xfId="0" applyFont="1" applyAlignment="1">
      <alignment horizontal="center"/>
    </xf>
    <xf numFmtId="10" fontId="0" fillId="0" borderId="0" xfId="0" applyNumberFormat="1"/>
    <xf numFmtId="171" fontId="0" fillId="0" borderId="0" xfId="7" applyFont="1"/>
    <xf numFmtId="0" fontId="0" fillId="0" borderId="6" xfId="0" applyBorder="1"/>
    <xf numFmtId="0" fontId="15" fillId="0" borderId="7" xfId="0" applyFont="1" applyBorder="1" applyAlignment="1">
      <alignment horizontal="center" wrapText="1"/>
    </xf>
    <xf numFmtId="0" fontId="15" fillId="0" borderId="7" xfId="0" applyFont="1" applyBorder="1" applyAlignment="1">
      <alignment horizontal="center"/>
    </xf>
    <xf numFmtId="0" fontId="15" fillId="0" borderId="8" xfId="0" applyFont="1" applyBorder="1"/>
    <xf numFmtId="0" fontId="0" fillId="0" borderId="9" xfId="0" applyBorder="1"/>
    <xf numFmtId="0" fontId="15" fillId="0" borderId="0" xfId="0" applyFont="1"/>
    <xf numFmtId="2" fontId="15" fillId="0" borderId="0" xfId="0" applyNumberFormat="1" applyFont="1" applyAlignment="1">
      <alignment horizontal="center"/>
    </xf>
    <xf numFmtId="0" fontId="15" fillId="0" borderId="10" xfId="0" applyFont="1" applyBorder="1"/>
    <xf numFmtId="0" fontId="19" fillId="0" borderId="10" xfId="0" applyFont="1" applyBorder="1" applyAlignment="1">
      <alignment horizontal="center"/>
    </xf>
    <xf numFmtId="0" fontId="0" fillId="0" borderId="10" xfId="0" applyBorder="1"/>
    <xf numFmtId="0" fontId="15" fillId="5" borderId="0" xfId="0" applyFont="1" applyFill="1"/>
    <xf numFmtId="2" fontId="15" fillId="5" borderId="0" xfId="0" applyNumberFormat="1" applyFont="1" applyFill="1" applyAlignment="1">
      <alignment horizontal="center"/>
    </xf>
    <xf numFmtId="0" fontId="0" fillId="5" borderId="10" xfId="0" applyFill="1" applyBorder="1"/>
    <xf numFmtId="1" fontId="0" fillId="0" borderId="0" xfId="0" applyNumberFormat="1"/>
    <xf numFmtId="0" fontId="0" fillId="0" borderId="11" xfId="0" applyBorder="1"/>
    <xf numFmtId="0" fontId="0" fillId="0" borderId="12" xfId="0" applyBorder="1"/>
    <xf numFmtId="9" fontId="0" fillId="0" borderId="12" xfId="0" applyNumberFormat="1" applyBorder="1"/>
    <xf numFmtId="0" fontId="0" fillId="0" borderId="13" xfId="0" applyBorder="1"/>
    <xf numFmtId="0" fontId="0" fillId="0" borderId="7" xfId="0" applyBorder="1"/>
    <xf numFmtId="164" fontId="0" fillId="0" borderId="8" xfId="0" applyNumberFormat="1" applyBorder="1"/>
    <xf numFmtId="1" fontId="0" fillId="0" borderId="13" xfId="0" applyNumberFormat="1" applyBorder="1"/>
    <xf numFmtId="167" fontId="0" fillId="0" borderId="0" xfId="0" applyNumberFormat="1" applyAlignment="1">
      <alignment horizontal="center"/>
    </xf>
    <xf numFmtId="0" fontId="12" fillId="0" borderId="0" xfId="0" applyFont="1"/>
    <xf numFmtId="0" fontId="0" fillId="0" borderId="2" xfId="0" applyBorder="1" applyAlignment="1">
      <alignment horizontal="center"/>
    </xf>
    <xf numFmtId="173" fontId="0" fillId="0" borderId="0" xfId="0" applyNumberFormat="1"/>
    <xf numFmtId="174" fontId="0" fillId="0" borderId="0" xfId="0" applyNumberFormat="1"/>
    <xf numFmtId="9" fontId="0" fillId="0" borderId="0" xfId="0" applyNumberFormat="1"/>
    <xf numFmtId="10" fontId="0" fillId="0" borderId="0" xfId="8" applyNumberFormat="1" applyFont="1"/>
    <xf numFmtId="10" fontId="0" fillId="5" borderId="0" xfId="8" applyNumberFormat="1" applyFont="1" applyFill="1"/>
    <xf numFmtId="0" fontId="1" fillId="0" borderId="0" xfId="0" applyFont="1"/>
    <xf numFmtId="164" fontId="1" fillId="0" borderId="0" xfId="0" applyNumberFormat="1" applyFont="1"/>
    <xf numFmtId="0" fontId="20" fillId="0" borderId="0" xfId="9" applyFont="1"/>
    <xf numFmtId="0" fontId="1" fillId="0" borderId="0" xfId="9"/>
    <xf numFmtId="0" fontId="20" fillId="0" borderId="0" xfId="9" applyFont="1" applyAlignment="1">
      <alignment horizontal="center"/>
    </xf>
    <xf numFmtId="0" fontId="4" fillId="0" borderId="0" xfId="9" applyFont="1" applyAlignment="1">
      <alignment horizontal="center"/>
    </xf>
    <xf numFmtId="0" fontId="4" fillId="0" borderId="0" xfId="9" applyFont="1"/>
    <xf numFmtId="0" fontId="4" fillId="0" borderId="4" xfId="9" applyFont="1" applyBorder="1" applyAlignment="1">
      <alignment horizontal="center"/>
    </xf>
    <xf numFmtId="0" fontId="4" fillId="5" borderId="0" xfId="9" applyFont="1" applyFill="1"/>
    <xf numFmtId="175" fontId="4" fillId="5" borderId="0" xfId="8" applyNumberFormat="1" applyFont="1" applyFill="1"/>
    <xf numFmtId="164" fontId="0" fillId="0" borderId="4" xfId="0" applyNumberFormat="1" applyBorder="1"/>
    <xf numFmtId="1" fontId="0" fillId="0" borderId="4" xfId="0" applyNumberFormat="1" applyBorder="1"/>
    <xf numFmtId="167" fontId="0" fillId="0" borderId="4" xfId="0" applyNumberFormat="1" applyBorder="1"/>
    <xf numFmtId="172" fontId="0" fillId="0" borderId="0" xfId="7" applyNumberFormat="1" applyFont="1"/>
    <xf numFmtId="176" fontId="0" fillId="0" borderId="0" xfId="0" applyNumberFormat="1"/>
    <xf numFmtId="0" fontId="0" fillId="0" borderId="14" xfId="0" applyBorder="1"/>
    <xf numFmtId="0" fontId="0" fillId="0" borderId="15" xfId="0" applyBorder="1"/>
    <xf numFmtId="176" fontId="0" fillId="0" borderId="18" xfId="0" applyNumberFormat="1" applyBorder="1"/>
    <xf numFmtId="177" fontId="0" fillId="0" borderId="4" xfId="0" applyNumberFormat="1" applyBorder="1"/>
    <xf numFmtId="177" fontId="0" fillId="0" borderId="19" xfId="0" applyNumberFormat="1" applyBorder="1"/>
    <xf numFmtId="0" fontId="21" fillId="0" borderId="0" xfId="0" applyFont="1"/>
    <xf numFmtId="167" fontId="0" fillId="0" borderId="0" xfId="0" applyNumberFormat="1"/>
    <xf numFmtId="167" fontId="0" fillId="5" borderId="0" xfId="0" applyNumberFormat="1" applyFill="1"/>
    <xf numFmtId="178" fontId="0" fillId="0" borderId="0" xfId="7" applyNumberFormat="1" applyFont="1"/>
    <xf numFmtId="178" fontId="0" fillId="0" borderId="0" xfId="0" applyNumberFormat="1"/>
    <xf numFmtId="178" fontId="0" fillId="5" borderId="0" xfId="0" applyNumberFormat="1" applyFill="1"/>
    <xf numFmtId="171" fontId="0" fillId="0" borderId="0" xfId="0" applyNumberFormat="1"/>
    <xf numFmtId="0" fontId="0" fillId="5" borderId="0" xfId="0" applyFill="1"/>
    <xf numFmtId="0" fontId="10" fillId="0" borderId="0" xfId="10"/>
    <xf numFmtId="176" fontId="10" fillId="0" borderId="0" xfId="10" applyNumberFormat="1"/>
    <xf numFmtId="10" fontId="10" fillId="0" borderId="0" xfId="10" applyNumberFormat="1"/>
    <xf numFmtId="0" fontId="10" fillId="5" borderId="0" xfId="10" applyFill="1"/>
    <xf numFmtId="0" fontId="21" fillId="0" borderId="0" xfId="10" applyFont="1"/>
    <xf numFmtId="164" fontId="10" fillId="0" borderId="0" xfId="10" applyNumberFormat="1"/>
    <xf numFmtId="167" fontId="10" fillId="0" borderId="0" xfId="10" applyNumberFormat="1"/>
    <xf numFmtId="167" fontId="10" fillId="5" borderId="0" xfId="10" applyNumberFormat="1" applyFill="1"/>
    <xf numFmtId="0" fontId="12" fillId="5" borderId="0" xfId="10" applyFont="1" applyFill="1"/>
    <xf numFmtId="0" fontId="10" fillId="5" borderId="0" xfId="10" applyFill="1" applyAlignment="1">
      <alignment horizontal="center"/>
    </xf>
    <xf numFmtId="0" fontId="10" fillId="0" borderId="4" xfId="10" applyBorder="1"/>
    <xf numFmtId="2" fontId="10" fillId="0" borderId="4" xfId="10" applyNumberFormat="1" applyBorder="1"/>
    <xf numFmtId="177" fontId="10" fillId="0" borderId="4" xfId="10" applyNumberFormat="1" applyBorder="1"/>
    <xf numFmtId="2" fontId="0" fillId="0" borderId="0" xfId="11" applyNumberFormat="1" applyFont="1"/>
    <xf numFmtId="0" fontId="17" fillId="0" borderId="0" xfId="0" applyFont="1"/>
    <xf numFmtId="10" fontId="17" fillId="0" borderId="0" xfId="0" applyNumberFormat="1" applyFont="1"/>
    <xf numFmtId="0" fontId="22" fillId="0" borderId="0" xfId="0" applyFont="1"/>
    <xf numFmtId="0" fontId="1" fillId="0" borderId="0" xfId="1" applyAlignment="1">
      <alignment horizontal="left"/>
    </xf>
    <xf numFmtId="9" fontId="24" fillId="0" borderId="0" xfId="8" applyFont="1" applyAlignment="1">
      <alignment horizontal="center"/>
    </xf>
    <xf numFmtId="9" fontId="25" fillId="0" borderId="0" xfId="8" applyFont="1" applyAlignment="1">
      <alignment horizontal="center"/>
    </xf>
    <xf numFmtId="0" fontId="24" fillId="0" borderId="0" xfId="0" applyFont="1" applyAlignment="1">
      <alignment horizontal="center"/>
    </xf>
    <xf numFmtId="0" fontId="25" fillId="0" borderId="0" xfId="0" applyFont="1" applyAlignment="1">
      <alignment horizontal="center"/>
    </xf>
    <xf numFmtId="0" fontId="25" fillId="0" borderId="0" xfId="0" applyFont="1"/>
    <xf numFmtId="9" fontId="24" fillId="0" borderId="0" xfId="8" applyFont="1"/>
    <xf numFmtId="0" fontId="24" fillId="0" borderId="0" xfId="0" applyFont="1"/>
    <xf numFmtId="2" fontId="25" fillId="0" borderId="0" xfId="0" applyNumberFormat="1" applyFont="1"/>
    <xf numFmtId="2" fontId="24" fillId="0" borderId="0" xfId="0" applyNumberFormat="1" applyFont="1"/>
    <xf numFmtId="2" fontId="0" fillId="0" borderId="0" xfId="0" applyNumberFormat="1" applyAlignment="1">
      <alignment horizontal="center"/>
    </xf>
    <xf numFmtId="0" fontId="0" fillId="0" borderId="26" xfId="0" applyBorder="1"/>
    <xf numFmtId="0" fontId="0" fillId="0" borderId="2" xfId="0" applyBorder="1"/>
    <xf numFmtId="0" fontId="26" fillId="0" borderId="0" xfId="0" applyFont="1" applyAlignment="1">
      <alignment horizontal="center" vertical="center"/>
    </xf>
    <xf numFmtId="0" fontId="27" fillId="0" borderId="0" xfId="12" applyAlignment="1">
      <alignment horizontal="center"/>
    </xf>
    <xf numFmtId="0" fontId="27" fillId="0" borderId="0" xfId="12" applyAlignment="1">
      <alignment horizontal="center" wrapText="1"/>
    </xf>
    <xf numFmtId="0" fontId="27" fillId="0" borderId="0" xfId="12"/>
    <xf numFmtId="164" fontId="27" fillId="0" borderId="0" xfId="12" applyNumberFormat="1" applyAlignment="1">
      <alignment horizontal="center"/>
    </xf>
    <xf numFmtId="0" fontId="27" fillId="0" borderId="0" xfId="12" applyAlignment="1">
      <alignment horizontal="right"/>
    </xf>
    <xf numFmtId="164" fontId="27" fillId="0" borderId="0" xfId="12" applyNumberFormat="1"/>
    <xf numFmtId="18" fontId="0" fillId="0" borderId="4" xfId="0" applyNumberFormat="1" applyBorder="1" applyAlignment="1">
      <alignment horizontal="center"/>
    </xf>
    <xf numFmtId="0" fontId="28" fillId="0" borderId="4" xfId="0" applyFont="1" applyBorder="1" applyAlignment="1">
      <alignment horizontal="center" vertical="center"/>
    </xf>
    <xf numFmtId="0" fontId="0" fillId="0" borderId="0" xfId="0" applyAlignment="1">
      <alignment horizontal="right"/>
    </xf>
    <xf numFmtId="0" fontId="0" fillId="0" borderId="4" xfId="0" applyBorder="1" applyAlignment="1">
      <alignment horizontal="right"/>
    </xf>
    <xf numFmtId="164" fontId="0" fillId="0" borderId="4" xfId="0" applyNumberFormat="1" applyBorder="1" applyAlignment="1">
      <alignment horizontal="center"/>
    </xf>
    <xf numFmtId="2" fontId="0" fillId="0" borderId="4" xfId="0" applyNumberFormat="1" applyBorder="1" applyAlignment="1">
      <alignment horizontal="center"/>
    </xf>
    <xf numFmtId="0" fontId="0" fillId="5" borderId="4" xfId="0" applyFill="1" applyBorder="1" applyAlignment="1">
      <alignment horizontal="right"/>
    </xf>
    <xf numFmtId="164" fontId="0" fillId="5" borderId="4" xfId="0" applyNumberFormat="1" applyFill="1" applyBorder="1" applyAlignment="1">
      <alignment horizontal="center"/>
    </xf>
    <xf numFmtId="2" fontId="0" fillId="5" borderId="4" xfId="0" applyNumberFormat="1" applyFill="1" applyBorder="1" applyAlignment="1">
      <alignment horizontal="center"/>
    </xf>
    <xf numFmtId="0" fontId="0" fillId="6" borderId="0" xfId="0" applyFill="1"/>
    <xf numFmtId="164" fontId="0" fillId="5" borderId="0" xfId="0" applyNumberFormat="1" applyFill="1" applyAlignment="1">
      <alignment horizontal="left"/>
    </xf>
    <xf numFmtId="164" fontId="0" fillId="0" borderId="0" xfId="0" applyNumberFormat="1" applyAlignment="1">
      <alignment horizontal="left"/>
    </xf>
    <xf numFmtId="2" fontId="0" fillId="0" borderId="0" xfId="0" applyNumberFormat="1" applyAlignment="1">
      <alignment horizontal="left"/>
    </xf>
    <xf numFmtId="0" fontId="0" fillId="0" borderId="0" xfId="0" applyAlignment="1">
      <alignment horizontal="left"/>
    </xf>
    <xf numFmtId="9" fontId="0" fillId="0" borderId="0" xfId="0" applyNumberFormat="1" applyAlignment="1">
      <alignment horizontal="center"/>
    </xf>
    <xf numFmtId="0" fontId="2" fillId="0" borderId="0" xfId="13" applyFont="1" applyAlignment="1">
      <alignment horizontal="center"/>
    </xf>
    <xf numFmtId="0" fontId="13" fillId="0" borderId="0" xfId="13"/>
    <xf numFmtId="0" fontId="2" fillId="0" borderId="0" xfId="13" applyFont="1"/>
    <xf numFmtId="2" fontId="13" fillId="0" borderId="0" xfId="13" applyNumberFormat="1"/>
    <xf numFmtId="2" fontId="13" fillId="0" borderId="0" xfId="13" applyNumberFormat="1" applyAlignment="1">
      <alignment horizontal="center"/>
    </xf>
    <xf numFmtId="0" fontId="13" fillId="0" borderId="0" xfId="13" applyAlignment="1">
      <alignment horizontal="center"/>
    </xf>
    <xf numFmtId="179" fontId="13" fillId="0" borderId="0" xfId="13" applyNumberFormat="1" applyAlignment="1">
      <alignment horizontal="center"/>
    </xf>
    <xf numFmtId="2" fontId="13" fillId="0" borderId="0" xfId="13" applyNumberFormat="1" applyAlignment="1">
      <alignment horizontal="right"/>
    </xf>
    <xf numFmtId="164" fontId="13" fillId="0" borderId="0" xfId="13" applyNumberFormat="1" applyAlignment="1">
      <alignment horizontal="center"/>
    </xf>
    <xf numFmtId="0" fontId="29" fillId="0" borderId="0" xfId="13" applyFont="1"/>
    <xf numFmtId="10" fontId="13" fillId="0" borderId="0" xfId="13" applyNumberFormat="1"/>
    <xf numFmtId="167" fontId="13" fillId="0" borderId="0" xfId="13" applyNumberFormat="1"/>
    <xf numFmtId="0" fontId="13" fillId="0" borderId="0" xfId="13" applyAlignment="1">
      <alignment horizontal="right"/>
    </xf>
    <xf numFmtId="164" fontId="13" fillId="0" borderId="0" xfId="13" applyNumberFormat="1"/>
    <xf numFmtId="0" fontId="30" fillId="0" borderId="0" xfId="13" applyFont="1" applyAlignment="1">
      <alignment horizontal="center"/>
    </xf>
    <xf numFmtId="0" fontId="31" fillId="0" borderId="4" xfId="0" applyFont="1" applyBorder="1" applyAlignment="1">
      <alignment horizontal="center" wrapText="1"/>
    </xf>
    <xf numFmtId="0" fontId="1" fillId="0" borderId="0" xfId="9" applyAlignment="1">
      <alignment horizontal="center"/>
    </xf>
    <xf numFmtId="0" fontId="32" fillId="0" borderId="0" xfId="9" applyFont="1" applyAlignment="1">
      <alignment horizontal="center"/>
    </xf>
    <xf numFmtId="0" fontId="30" fillId="0" borderId="0" xfId="9" applyFont="1" applyAlignment="1">
      <alignment horizontal="center"/>
    </xf>
    <xf numFmtId="164" fontId="2" fillId="0" borderId="0" xfId="9" applyNumberFormat="1" applyFont="1" applyAlignment="1">
      <alignment horizontal="center"/>
    </xf>
    <xf numFmtId="0" fontId="2" fillId="0" borderId="0" xfId="9" applyFont="1" applyAlignment="1">
      <alignment horizontal="center"/>
    </xf>
    <xf numFmtId="2" fontId="2" fillId="0" borderId="0" xfId="9" applyNumberFormat="1" applyFont="1" applyAlignment="1">
      <alignment horizontal="center"/>
    </xf>
    <xf numFmtId="164" fontId="1" fillId="0" borderId="0" xfId="9" applyNumberFormat="1" applyAlignment="1">
      <alignment horizontal="center"/>
    </xf>
    <xf numFmtId="2" fontId="1" fillId="0" borderId="0" xfId="9" applyNumberFormat="1" applyAlignment="1">
      <alignment horizontal="center"/>
    </xf>
    <xf numFmtId="0" fontId="33" fillId="0" borderId="0" xfId="9" applyFont="1" applyAlignment="1">
      <alignment horizontal="center" vertical="center" wrapText="1"/>
    </xf>
    <xf numFmtId="2" fontId="33" fillId="0" borderId="0" xfId="9" applyNumberFormat="1" applyFont="1" applyAlignment="1">
      <alignment horizontal="center" vertical="center" wrapText="1"/>
    </xf>
    <xf numFmtId="0" fontId="34" fillId="0" borderId="0" xfId="9" applyFont="1" applyAlignment="1">
      <alignment horizontal="center" vertical="center" wrapText="1"/>
    </xf>
    <xf numFmtId="0" fontId="2" fillId="0" borderId="0" xfId="14" applyFont="1" applyAlignment="1">
      <alignment horizontal="center"/>
    </xf>
    <xf numFmtId="0" fontId="1" fillId="0" borderId="0" xfId="14"/>
    <xf numFmtId="0" fontId="35" fillId="0" borderId="0" xfId="15"/>
    <xf numFmtId="0" fontId="1" fillId="0" borderId="0" xfId="14" applyAlignment="1">
      <alignment horizontal="center"/>
    </xf>
    <xf numFmtId="2" fontId="36" fillId="0" borderId="0" xfId="15" applyNumberFormat="1" applyFont="1" applyAlignment="1">
      <alignment horizontal="center" vertical="center" wrapText="1"/>
    </xf>
    <xf numFmtId="164" fontId="1" fillId="0" borderId="0" xfId="14" applyNumberFormat="1" applyAlignment="1">
      <alignment horizontal="center"/>
    </xf>
    <xf numFmtId="2" fontId="1" fillId="0" borderId="0" xfId="14" applyNumberFormat="1" applyAlignment="1">
      <alignment horizontal="center"/>
    </xf>
    <xf numFmtId="0" fontId="36" fillId="0" borderId="0" xfId="15" applyFont="1"/>
    <xf numFmtId="0" fontId="37" fillId="0" borderId="0" xfId="15" applyFont="1"/>
    <xf numFmtId="0" fontId="2" fillId="7" borderId="7" xfId="14" applyFont="1" applyFill="1" applyBorder="1"/>
    <xf numFmtId="0" fontId="29" fillId="7" borderId="7" xfId="14" applyFont="1" applyFill="1" applyBorder="1"/>
    <xf numFmtId="0" fontId="1" fillId="7" borderId="7" xfId="14" applyFill="1" applyBorder="1"/>
    <xf numFmtId="0" fontId="1" fillId="7" borderId="8" xfId="14" applyFill="1" applyBorder="1"/>
    <xf numFmtId="0" fontId="2" fillId="7" borderId="0" xfId="14" applyFont="1" applyFill="1"/>
    <xf numFmtId="0" fontId="29" fillId="7" borderId="0" xfId="14" applyFont="1" applyFill="1"/>
    <xf numFmtId="0" fontId="1" fillId="7" borderId="0" xfId="14" applyFill="1"/>
    <xf numFmtId="0" fontId="1" fillId="7" borderId="10" xfId="14" applyFill="1" applyBorder="1"/>
    <xf numFmtId="2" fontId="1" fillId="7" borderId="0" xfId="14" applyNumberFormat="1" applyFill="1"/>
    <xf numFmtId="0" fontId="1" fillId="7" borderId="0" xfId="14" applyFill="1" applyAlignment="1">
      <alignment horizontal="center"/>
    </xf>
    <xf numFmtId="0" fontId="1" fillId="7" borderId="10" xfId="14" applyFill="1" applyBorder="1" applyAlignment="1">
      <alignment horizontal="center"/>
    </xf>
    <xf numFmtId="10" fontId="1" fillId="7" borderId="10" xfId="14" applyNumberFormat="1" applyFill="1" applyBorder="1"/>
    <xf numFmtId="0" fontId="1" fillId="7" borderId="12" xfId="14" applyFill="1" applyBorder="1"/>
    <xf numFmtId="0" fontId="1" fillId="7" borderId="13" xfId="14" applyFill="1" applyBorder="1"/>
    <xf numFmtId="0" fontId="39" fillId="0" borderId="0" xfId="14" applyFont="1" applyAlignment="1">
      <alignment horizontal="center"/>
    </xf>
    <xf numFmtId="0" fontId="1" fillId="0" borderId="0" xfId="14" applyAlignment="1">
      <alignment horizontal="right"/>
    </xf>
    <xf numFmtId="179" fontId="1" fillId="0" borderId="0" xfId="14" applyNumberFormat="1" applyAlignment="1">
      <alignment horizontal="right"/>
    </xf>
    <xf numFmtId="2" fontId="1" fillId="0" borderId="0" xfId="14" applyNumberFormat="1" applyAlignment="1">
      <alignment horizontal="right"/>
    </xf>
    <xf numFmtId="179" fontId="1" fillId="0" borderId="0" xfId="14" applyNumberFormat="1" applyAlignment="1">
      <alignment horizontal="center"/>
    </xf>
    <xf numFmtId="0" fontId="2" fillId="0" borderId="0" xfId="14" applyFont="1"/>
    <xf numFmtId="2" fontId="1" fillId="0" borderId="0" xfId="14" applyNumberFormat="1"/>
    <xf numFmtId="10" fontId="1" fillId="0" borderId="0" xfId="14" applyNumberFormat="1"/>
    <xf numFmtId="0" fontId="1" fillId="0" borderId="0" xfId="14" applyAlignment="1">
      <alignment horizontal="center" wrapText="1"/>
    </xf>
    <xf numFmtId="0" fontId="40" fillId="0" borderId="0" xfId="14" applyFont="1" applyAlignment="1">
      <alignment horizontal="right"/>
    </xf>
    <xf numFmtId="164" fontId="1" fillId="0" borderId="0" xfId="14" applyNumberFormat="1"/>
    <xf numFmtId="1" fontId="1" fillId="0" borderId="0" xfId="14" applyNumberFormat="1"/>
    <xf numFmtId="0" fontId="40" fillId="0" borderId="0" xfId="14" applyFont="1"/>
    <xf numFmtId="0" fontId="41" fillId="0" borderId="0" xfId="2" applyFont="1"/>
    <xf numFmtId="180" fontId="1" fillId="0" borderId="0" xfId="1" applyNumberFormat="1"/>
    <xf numFmtId="180" fontId="1" fillId="0" borderId="0" xfId="1" applyNumberFormat="1" applyAlignment="1">
      <alignment horizontal="left"/>
    </xf>
    <xf numFmtId="10" fontId="1" fillId="0" borderId="0" xfId="1" applyNumberFormat="1" applyAlignment="1">
      <alignment horizontal="center"/>
    </xf>
    <xf numFmtId="0" fontId="1" fillId="0" borderId="0" xfId="1" applyAlignment="1">
      <alignment wrapText="1"/>
    </xf>
    <xf numFmtId="0" fontId="29" fillId="0" borderId="0" xfId="1" applyFont="1"/>
    <xf numFmtId="165" fontId="1" fillId="2" borderId="0" xfId="1" applyNumberFormat="1" applyFill="1" applyAlignment="1">
      <alignment horizontal="center"/>
    </xf>
    <xf numFmtId="0" fontId="42" fillId="0" borderId="0" xfId="16" applyFont="1"/>
    <xf numFmtId="0" fontId="43" fillId="0" borderId="0" xfId="16" applyFont="1"/>
    <xf numFmtId="0" fontId="43" fillId="0" borderId="0" xfId="16" applyFont="1" applyAlignment="1">
      <alignment horizontal="center"/>
    </xf>
    <xf numFmtId="0" fontId="44" fillId="0" borderId="0" xfId="16" applyFont="1" applyAlignment="1">
      <alignment horizontal="right"/>
    </xf>
    <xf numFmtId="0" fontId="45" fillId="0" borderId="0" xfId="16" applyFont="1" applyAlignment="1">
      <alignment horizontal="left"/>
    </xf>
    <xf numFmtId="0" fontId="43" fillId="0" borderId="0" xfId="16" applyFont="1" applyAlignment="1">
      <alignment horizontal="right"/>
    </xf>
    <xf numFmtId="9" fontId="43" fillId="0" borderId="0" xfId="16" applyNumberFormat="1" applyFont="1"/>
    <xf numFmtId="0" fontId="43" fillId="0" borderId="0" xfId="16" quotePrefix="1" applyFont="1"/>
    <xf numFmtId="0" fontId="46" fillId="0" borderId="27" xfId="16" applyFont="1" applyBorder="1" applyAlignment="1">
      <alignment horizontal="center"/>
    </xf>
    <xf numFmtId="164" fontId="12" fillId="0" borderId="0" xfId="0" applyNumberFormat="1" applyFont="1"/>
    <xf numFmtId="0" fontId="12" fillId="0" borderId="9" xfId="0" applyFont="1" applyBorder="1"/>
    <xf numFmtId="164" fontId="0" fillId="0" borderId="10" xfId="0" applyNumberFormat="1" applyBorder="1"/>
    <xf numFmtId="164" fontId="0" fillId="0" borderId="12" xfId="0" applyNumberFormat="1" applyBorder="1"/>
    <xf numFmtId="164" fontId="0" fillId="0" borderId="13" xfId="0" applyNumberFormat="1" applyBorder="1"/>
    <xf numFmtId="0" fontId="35" fillId="0" borderId="0" xfId="16"/>
    <xf numFmtId="0" fontId="35" fillId="0" borderId="0" xfId="16" applyAlignment="1">
      <alignment horizontal="center"/>
    </xf>
    <xf numFmtId="179" fontId="35" fillId="0" borderId="0" xfId="16" applyNumberFormat="1" applyAlignment="1">
      <alignment horizontal="center" vertical="center"/>
    </xf>
    <xf numFmtId="167" fontId="35" fillId="0" borderId="0" xfId="16" applyNumberFormat="1" applyAlignment="1">
      <alignment horizontal="center" vertical="center"/>
    </xf>
    <xf numFmtId="1" fontId="35" fillId="0" borderId="0" xfId="16" applyNumberFormat="1"/>
    <xf numFmtId="0" fontId="0" fillId="0" borderId="15" xfId="0" applyBorder="1" applyAlignment="1">
      <alignment horizontal="center"/>
    </xf>
    <xf numFmtId="0" fontId="0" fillId="0" borderId="24" xfId="0" applyBorder="1" applyAlignment="1">
      <alignment horizontal="center"/>
    </xf>
    <xf numFmtId="0" fontId="15" fillId="0" borderId="0" xfId="4" applyFont="1" applyAlignment="1">
      <alignment horizontal="center"/>
    </xf>
    <xf numFmtId="0" fontId="51" fillId="0" borderId="0" xfId="12" applyFont="1" applyAlignment="1">
      <alignment horizontal="center"/>
    </xf>
    <xf numFmtId="0" fontId="0" fillId="8" borderId="20" xfId="0" applyFill="1" applyBorder="1"/>
    <xf numFmtId="0" fontId="0" fillId="8" borderId="26" xfId="0" applyFill="1" applyBorder="1" applyAlignment="1">
      <alignment horizontal="center"/>
    </xf>
    <xf numFmtId="0" fontId="0" fillId="8" borderId="0" xfId="0" applyFill="1" applyAlignment="1">
      <alignment horizontal="center"/>
    </xf>
    <xf numFmtId="181" fontId="0" fillId="8" borderId="0" xfId="0" applyNumberFormat="1" applyFill="1" applyAlignment="1">
      <alignment horizontal="center"/>
    </xf>
    <xf numFmtId="0" fontId="17" fillId="9" borderId="20" xfId="0" applyFont="1" applyFill="1" applyBorder="1"/>
    <xf numFmtId="0" fontId="17" fillId="9" borderId="0" xfId="0" applyFont="1" applyFill="1" applyAlignment="1">
      <alignment horizontal="center"/>
    </xf>
    <xf numFmtId="0" fontId="17" fillId="9" borderId="26" xfId="0" applyFont="1" applyFill="1" applyBorder="1" applyAlignment="1">
      <alignment horizontal="center"/>
    </xf>
    <xf numFmtId="181" fontId="17" fillId="9" borderId="0" xfId="0" applyNumberFormat="1" applyFont="1" applyFill="1" applyAlignment="1">
      <alignment horizontal="center"/>
    </xf>
    <xf numFmtId="181" fontId="0" fillId="8" borderId="26" xfId="0" applyNumberFormat="1" applyFill="1" applyBorder="1" applyAlignment="1">
      <alignment horizontal="center"/>
    </xf>
    <xf numFmtId="181" fontId="17" fillId="9" borderId="26" xfId="0" applyNumberFormat="1" applyFont="1" applyFill="1" applyBorder="1" applyAlignment="1">
      <alignment horizontal="center"/>
    </xf>
    <xf numFmtId="0" fontId="0" fillId="0" borderId="4" xfId="0" applyBorder="1" applyAlignment="1">
      <alignment horizontal="center" vertical="center" wrapText="1"/>
    </xf>
    <xf numFmtId="0" fontId="30" fillId="0" borderId="0" xfId="1" applyFont="1"/>
    <xf numFmtId="164" fontId="4" fillId="0" borderId="7" xfId="1" applyNumberFormat="1" applyFont="1" applyBorder="1"/>
    <xf numFmtId="0" fontId="4" fillId="0" borderId="7" xfId="1" applyFont="1" applyBorder="1"/>
    <xf numFmtId="0" fontId="4" fillId="0" borderId="9" xfId="1" applyFont="1" applyBorder="1"/>
    <xf numFmtId="164" fontId="4" fillId="0" borderId="0" xfId="1" applyNumberFormat="1" applyFont="1"/>
    <xf numFmtId="0" fontId="4" fillId="0" borderId="11" xfId="1" applyFont="1" applyBorder="1"/>
    <xf numFmtId="0" fontId="4" fillId="0" borderId="12" xfId="1" applyFont="1" applyBorder="1"/>
    <xf numFmtId="0" fontId="4" fillId="0" borderId="6" xfId="1" applyFont="1" applyBorder="1"/>
    <xf numFmtId="0" fontId="4" fillId="0" borderId="8" xfId="1" applyFont="1" applyBorder="1"/>
    <xf numFmtId="0" fontId="4" fillId="0" borderId="10" xfId="1" applyFont="1" applyBorder="1"/>
    <xf numFmtId="0" fontId="4" fillId="0" borderId="13" xfId="1" applyFont="1" applyBorder="1"/>
    <xf numFmtId="2" fontId="0" fillId="0" borderId="0" xfId="0" applyNumberFormat="1" applyAlignment="1">
      <alignment horizontal="center" vertical="center" wrapText="1"/>
    </xf>
    <xf numFmtId="0" fontId="46" fillId="0" borderId="6" xfId="16" applyFont="1" applyBorder="1" applyAlignment="1">
      <alignment horizontal="center"/>
    </xf>
    <xf numFmtId="0" fontId="46" fillId="0" borderId="7" xfId="16" applyFont="1" applyBorder="1" applyAlignment="1">
      <alignment horizontal="center"/>
    </xf>
    <xf numFmtId="2" fontId="42" fillId="0" borderId="7" xfId="16" applyNumberFormat="1" applyFont="1" applyBorder="1" applyAlignment="1">
      <alignment horizontal="center"/>
    </xf>
    <xf numFmtId="0" fontId="42" fillId="0" borderId="7" xfId="16" applyFont="1" applyBorder="1"/>
    <xf numFmtId="2" fontId="42" fillId="0" borderId="7" xfId="16" applyNumberFormat="1" applyFont="1" applyBorder="1"/>
    <xf numFmtId="0" fontId="46" fillId="0" borderId="9" xfId="16" applyFont="1" applyBorder="1" applyAlignment="1">
      <alignment horizontal="center"/>
    </xf>
    <xf numFmtId="0" fontId="46" fillId="0" borderId="0" xfId="16" applyFont="1" applyAlignment="1">
      <alignment horizontal="center"/>
    </xf>
    <xf numFmtId="2" fontId="42" fillId="0" borderId="0" xfId="16" applyNumberFormat="1" applyFont="1"/>
    <xf numFmtId="0" fontId="43" fillId="0" borderId="9" xfId="16" applyFont="1" applyBorder="1"/>
    <xf numFmtId="2" fontId="42" fillId="0" borderId="0" xfId="16" applyNumberFormat="1" applyFont="1" applyAlignment="1">
      <alignment horizontal="center"/>
    </xf>
    <xf numFmtId="0" fontId="42" fillId="0" borderId="0" xfId="16" applyFont="1" applyAlignment="1">
      <alignment horizontal="center"/>
    </xf>
    <xf numFmtId="0" fontId="47" fillId="0" borderId="9" xfId="1" applyFont="1" applyBorder="1" applyAlignment="1">
      <alignment horizontal="right"/>
    </xf>
    <xf numFmtId="0" fontId="48" fillId="0" borderId="0" xfId="1" applyFont="1"/>
    <xf numFmtId="0" fontId="43" fillId="0" borderId="0" xfId="1" applyFont="1"/>
    <xf numFmtId="0" fontId="43" fillId="0" borderId="0" xfId="1" applyFont="1" applyAlignment="1">
      <alignment horizontal="center"/>
    </xf>
    <xf numFmtId="0" fontId="43" fillId="0" borderId="9" xfId="1" applyFont="1" applyBorder="1"/>
    <xf numFmtId="0" fontId="43" fillId="0" borderId="9" xfId="1" applyFont="1" applyBorder="1" applyAlignment="1">
      <alignment horizontal="right"/>
    </xf>
    <xf numFmtId="0" fontId="46" fillId="0" borderId="9" xfId="1" applyFont="1" applyBorder="1" applyAlignment="1">
      <alignment horizontal="right"/>
    </xf>
    <xf numFmtId="164" fontId="42" fillId="0" borderId="0" xfId="16" applyNumberFormat="1" applyFont="1" applyAlignment="1">
      <alignment horizontal="center"/>
    </xf>
    <xf numFmtId="0" fontId="42" fillId="0" borderId="0" xfId="1" applyFont="1" applyAlignment="1">
      <alignment horizontal="right"/>
    </xf>
    <xf numFmtId="164" fontId="42" fillId="0" borderId="0" xfId="16" applyNumberFormat="1" applyFont="1"/>
    <xf numFmtId="0" fontId="43" fillId="0" borderId="11" xfId="1" applyFont="1" applyBorder="1"/>
    <xf numFmtId="0" fontId="43" fillId="0" borderId="12" xfId="1" applyFont="1" applyBorder="1"/>
    <xf numFmtId="0" fontId="42" fillId="0" borderId="12" xfId="1" applyFont="1" applyBorder="1" applyAlignment="1">
      <alignment horizontal="right"/>
    </xf>
    <xf numFmtId="0" fontId="42" fillId="0" borderId="12" xfId="16" applyFont="1" applyBorder="1"/>
    <xf numFmtId="164" fontId="42" fillId="0" borderId="12" xfId="16" applyNumberFormat="1" applyFont="1" applyBorder="1"/>
    <xf numFmtId="0" fontId="21" fillId="0" borderId="0" xfId="0" applyFont="1" applyAlignment="1">
      <alignment horizontal="center"/>
    </xf>
    <xf numFmtId="0" fontId="12" fillId="0" borderId="6" xfId="0" applyFont="1" applyBorder="1"/>
    <xf numFmtId="164" fontId="12" fillId="0" borderId="7" xfId="0" applyNumberFormat="1" applyFont="1" applyBorder="1"/>
    <xf numFmtId="0" fontId="12" fillId="0" borderId="11" xfId="0" applyFont="1" applyBorder="1"/>
    <xf numFmtId="164" fontId="12" fillId="0" borderId="12" xfId="0" applyNumberFormat="1" applyFont="1" applyBorder="1"/>
    <xf numFmtId="0" fontId="21" fillId="0" borderId="0" xfId="0" applyFont="1" applyAlignment="1">
      <alignment horizontal="center" vertical="center"/>
    </xf>
    <xf numFmtId="0" fontId="55" fillId="0" borderId="0" xfId="0" applyFont="1" applyAlignment="1">
      <alignment vertical="center" wrapText="1"/>
    </xf>
    <xf numFmtId="0" fontId="56" fillId="0" borderId="0" xfId="0" applyFont="1" applyAlignment="1">
      <alignment horizontal="center"/>
    </xf>
    <xf numFmtId="0" fontId="57" fillId="0" borderId="0" xfId="16" applyFont="1" applyAlignment="1">
      <alignment horizontal="center"/>
    </xf>
    <xf numFmtId="0" fontId="57" fillId="0" borderId="0" xfId="16" applyFont="1" applyAlignment="1">
      <alignment horizontal="center" vertical="center"/>
    </xf>
    <xf numFmtId="0" fontId="1" fillId="0" borderId="0" xfId="4" applyFont="1"/>
    <xf numFmtId="0" fontId="58" fillId="0" borderId="0" xfId="0" applyFont="1" applyAlignment="1">
      <alignment vertical="center" wrapText="1"/>
    </xf>
    <xf numFmtId="0" fontId="60" fillId="0" borderId="0" xfId="0" applyFont="1" applyAlignment="1">
      <alignment vertical="center" wrapText="1"/>
    </xf>
    <xf numFmtId="0" fontId="57" fillId="0" borderId="0" xfId="0" applyFont="1" applyAlignment="1">
      <alignment vertical="center" wrapText="1"/>
    </xf>
    <xf numFmtId="4" fontId="0" fillId="0" borderId="4" xfId="0" applyNumberFormat="1" applyBorder="1"/>
    <xf numFmtId="1" fontId="35" fillId="0" borderId="0" xfId="0" applyNumberFormat="1" applyFont="1" applyAlignment="1">
      <alignment vertical="center" wrapText="1"/>
    </xf>
    <xf numFmtId="0" fontId="12" fillId="0" borderId="31" xfId="0" applyFont="1" applyBorder="1" applyAlignment="1">
      <alignment horizontal="center"/>
    </xf>
    <xf numFmtId="0" fontId="12" fillId="0" borderId="33" xfId="0" applyFont="1" applyBorder="1" applyAlignment="1">
      <alignment horizontal="center"/>
    </xf>
    <xf numFmtId="0" fontId="12" fillId="0" borderId="14" xfId="0" applyFont="1" applyBorder="1" applyAlignment="1">
      <alignment horizontal="center"/>
    </xf>
    <xf numFmtId="164" fontId="12" fillId="0" borderId="16" xfId="0" applyNumberFormat="1" applyFont="1" applyBorder="1" applyAlignment="1">
      <alignment horizontal="center"/>
    </xf>
    <xf numFmtId="0" fontId="12" fillId="0" borderId="18" xfId="0" applyFont="1" applyBorder="1" applyAlignment="1">
      <alignment horizontal="center"/>
    </xf>
    <xf numFmtId="182" fontId="0" fillId="0" borderId="4" xfId="0" applyNumberFormat="1" applyBorder="1" applyAlignment="1">
      <alignment horizontal="center"/>
    </xf>
    <xf numFmtId="182" fontId="12" fillId="0" borderId="19" xfId="0" applyNumberFormat="1" applyFont="1" applyBorder="1" applyAlignment="1">
      <alignment horizontal="center"/>
    </xf>
    <xf numFmtId="0" fontId="12" fillId="0" borderId="22" xfId="0" applyFont="1" applyBorder="1" applyAlignment="1">
      <alignment horizontal="center"/>
    </xf>
    <xf numFmtId="164" fontId="0" fillId="0" borderId="24" xfId="0" applyNumberFormat="1" applyBorder="1" applyAlignment="1">
      <alignment horizontal="center"/>
    </xf>
    <xf numFmtId="164" fontId="12" fillId="0" borderId="25" xfId="0" applyNumberFormat="1" applyFont="1" applyBorder="1" applyAlignment="1">
      <alignment horizontal="center"/>
    </xf>
    <xf numFmtId="164" fontId="12" fillId="0" borderId="42" xfId="0" applyNumberFormat="1" applyFont="1" applyBorder="1" applyAlignment="1">
      <alignment horizontal="center"/>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1" fontId="35" fillId="0" borderId="9" xfId="0" applyNumberFormat="1" applyFont="1" applyBorder="1" applyAlignment="1">
      <alignment vertical="center" wrapText="1"/>
    </xf>
    <xf numFmtId="1" fontId="35" fillId="0" borderId="10" xfId="0" applyNumberFormat="1" applyFont="1" applyBorder="1" applyAlignment="1">
      <alignment vertical="center" wrapText="1"/>
    </xf>
    <xf numFmtId="0" fontId="31" fillId="0" borderId="0" xfId="0" applyFont="1" applyAlignment="1">
      <alignment horizontal="center" vertical="center" wrapText="1"/>
    </xf>
    <xf numFmtId="0" fontId="1" fillId="0" borderId="6" xfId="1" applyBorder="1"/>
    <xf numFmtId="0" fontId="1" fillId="0" borderId="9" xfId="1" applyBorder="1"/>
    <xf numFmtId="0" fontId="1" fillId="0" borderId="10" xfId="1" applyBorder="1" applyAlignment="1">
      <alignment horizontal="center"/>
    </xf>
    <xf numFmtId="0" fontId="1" fillId="0" borderId="11" xfId="1" applyBorder="1"/>
    <xf numFmtId="0" fontId="1" fillId="0" borderId="12" xfId="1" applyBorder="1"/>
    <xf numFmtId="0" fontId="1" fillId="0" borderId="13" xfId="1" applyBorder="1"/>
    <xf numFmtId="0" fontId="2" fillId="0" borderId="6" xfId="1" applyFont="1" applyBorder="1"/>
    <xf numFmtId="0" fontId="2" fillId="0" borderId="7" xfId="1" applyFont="1" applyBorder="1" applyAlignment="1">
      <alignment horizontal="right"/>
    </xf>
    <xf numFmtId="0" fontId="2" fillId="0" borderId="8" xfId="1" applyFont="1" applyBorder="1" applyAlignment="1">
      <alignment horizontal="center"/>
    </xf>
    <xf numFmtId="0" fontId="2" fillId="0" borderId="9" xfId="1" applyFont="1" applyBorder="1"/>
    <xf numFmtId="0" fontId="2" fillId="0" borderId="10" xfId="1" applyFont="1" applyBorder="1" applyAlignment="1">
      <alignment horizontal="center"/>
    </xf>
    <xf numFmtId="0" fontId="1" fillId="0" borderId="10" xfId="1" applyBorder="1"/>
    <xf numFmtId="0" fontId="3" fillId="0" borderId="10" xfId="1" applyFont="1" applyBorder="1"/>
    <xf numFmtId="2" fontId="1" fillId="0" borderId="9" xfId="1" applyNumberFormat="1" applyBorder="1"/>
    <xf numFmtId="0" fontId="1" fillId="0" borderId="8" xfId="1" applyBorder="1"/>
    <xf numFmtId="0" fontId="1" fillId="0" borderId="7" xfId="1" applyBorder="1"/>
    <xf numFmtId="0" fontId="2" fillId="0" borderId="9" xfId="1" applyFont="1" applyBorder="1" applyAlignment="1">
      <alignment horizontal="left"/>
    </xf>
    <xf numFmtId="0" fontId="30" fillId="0" borderId="9" xfId="1" applyFont="1" applyBorder="1"/>
    <xf numFmtId="0" fontId="1" fillId="0" borderId="12" xfId="1" applyBorder="1" applyAlignment="1">
      <alignment horizontal="center"/>
    </xf>
    <xf numFmtId="2" fontId="1" fillId="0" borderId="13" xfId="1" applyNumberFormat="1" applyBorder="1" applyAlignment="1">
      <alignment horizontal="center"/>
    </xf>
    <xf numFmtId="168" fontId="1" fillId="0" borderId="8" xfId="1" applyNumberFormat="1" applyBorder="1" applyAlignment="1">
      <alignment horizontal="center"/>
    </xf>
    <xf numFmtId="168" fontId="1" fillId="0" borderId="10" xfId="1" applyNumberFormat="1" applyBorder="1" applyAlignment="1">
      <alignment horizontal="center"/>
    </xf>
    <xf numFmtId="0" fontId="1" fillId="0" borderId="0" xfId="1" applyAlignment="1">
      <alignment horizontal="center" wrapText="1"/>
    </xf>
    <xf numFmtId="168" fontId="1" fillId="0" borderId="12" xfId="1" applyNumberFormat="1" applyBorder="1" applyAlignment="1">
      <alignment horizontal="center"/>
    </xf>
    <xf numFmtId="169" fontId="1" fillId="0" borderId="12" xfId="1" applyNumberFormat="1" applyBorder="1" applyAlignment="1">
      <alignment horizontal="center"/>
    </xf>
    <xf numFmtId="169" fontId="1" fillId="0" borderId="13" xfId="1" applyNumberFormat="1" applyBorder="1" applyAlignment="1">
      <alignment horizontal="center"/>
    </xf>
    <xf numFmtId="0" fontId="30" fillId="0" borderId="9" xfId="1" applyFont="1" applyBorder="1" applyAlignment="1">
      <alignment horizontal="center"/>
    </xf>
    <xf numFmtId="0" fontId="7" fillId="0" borderId="6" xfId="2" applyFont="1" applyBorder="1"/>
    <xf numFmtId="0" fontId="7" fillId="0" borderId="7" xfId="2" applyFont="1" applyBorder="1"/>
    <xf numFmtId="0" fontId="7" fillId="0" borderId="8" xfId="2" applyFont="1" applyBorder="1"/>
    <xf numFmtId="0" fontId="7" fillId="0" borderId="9" xfId="2" applyFont="1" applyBorder="1"/>
    <xf numFmtId="2" fontId="7" fillId="0" borderId="0" xfId="2" applyNumberFormat="1" applyFont="1"/>
    <xf numFmtId="0" fontId="7" fillId="0" borderId="10" xfId="2" applyFont="1" applyBorder="1"/>
    <xf numFmtId="0" fontId="7" fillId="4" borderId="0" xfId="2" applyFont="1" applyFill="1"/>
    <xf numFmtId="2" fontId="7" fillId="4" borderId="0" xfId="2" applyNumberFormat="1" applyFont="1" applyFill="1"/>
    <xf numFmtId="0" fontId="8" fillId="0" borderId="0" xfId="2" applyFont="1"/>
    <xf numFmtId="2" fontId="8" fillId="0" borderId="10" xfId="2" applyNumberFormat="1" applyFont="1" applyBorder="1"/>
    <xf numFmtId="0" fontId="7" fillId="0" borderId="11" xfId="2" applyFont="1" applyBorder="1"/>
    <xf numFmtId="0" fontId="7" fillId="0" borderId="12" xfId="2" applyFont="1" applyBorder="1"/>
    <xf numFmtId="2" fontId="7" fillId="0" borderId="12" xfId="2" applyNumberFormat="1" applyFont="1" applyBorder="1"/>
    <xf numFmtId="0" fontId="7" fillId="0" borderId="13" xfId="2" applyFont="1" applyBorder="1"/>
    <xf numFmtId="0" fontId="7" fillId="0" borderId="28" xfId="2" applyFont="1" applyBorder="1"/>
    <xf numFmtId="0" fontId="7" fillId="0" borderId="29" xfId="2" applyFont="1" applyBorder="1"/>
    <xf numFmtId="0" fontId="7" fillId="0" borderId="30" xfId="2" applyFont="1" applyBorder="1"/>
    <xf numFmtId="1" fontId="7" fillId="0" borderId="10" xfId="2" applyNumberFormat="1" applyFont="1" applyBorder="1"/>
    <xf numFmtId="1" fontId="7" fillId="0" borderId="13" xfId="2" applyNumberFormat="1" applyFont="1" applyBorder="1"/>
    <xf numFmtId="0" fontId="62" fillId="0" borderId="0" xfId="2" applyFont="1" applyAlignment="1">
      <alignment horizontal="center"/>
    </xf>
    <xf numFmtId="0" fontId="9" fillId="0" borderId="6" xfId="1" applyFont="1" applyBorder="1"/>
    <xf numFmtId="0" fontId="9" fillId="0" borderId="9" xfId="1" applyFont="1" applyBorder="1"/>
    <xf numFmtId="0" fontId="9" fillId="0" borderId="11" xfId="1" applyFont="1" applyBorder="1"/>
    <xf numFmtId="0" fontId="30" fillId="0" borderId="8" xfId="1" applyFont="1" applyBorder="1"/>
    <xf numFmtId="0" fontId="30" fillId="0" borderId="10" xfId="1" applyFont="1" applyBorder="1"/>
    <xf numFmtId="0" fontId="30" fillId="0" borderId="13" xfId="1" applyFont="1" applyBorder="1"/>
    <xf numFmtId="0" fontId="1" fillId="0" borderId="0" xfId="3" applyFont="1"/>
    <xf numFmtId="0" fontId="4" fillId="0" borderId="6" xfId="4" applyFont="1" applyBorder="1"/>
    <xf numFmtId="0" fontId="13" fillId="0" borderId="7" xfId="4" applyBorder="1" applyAlignment="1">
      <alignment horizontal="center"/>
    </xf>
    <xf numFmtId="0" fontId="13" fillId="0" borderId="8" xfId="4" applyBorder="1" applyAlignment="1">
      <alignment horizontal="center"/>
    </xf>
    <xf numFmtId="0" fontId="13" fillId="0" borderId="9" xfId="4" applyBorder="1"/>
    <xf numFmtId="0" fontId="13" fillId="0" borderId="10" xfId="4" applyBorder="1" applyAlignment="1">
      <alignment horizontal="center"/>
    </xf>
    <xf numFmtId="167" fontId="13" fillId="0" borderId="10" xfId="4" applyNumberFormat="1" applyBorder="1" applyAlignment="1">
      <alignment horizontal="center"/>
    </xf>
    <xf numFmtId="0" fontId="13" fillId="0" borderId="11" xfId="4" applyBorder="1"/>
    <xf numFmtId="0" fontId="13" fillId="0" borderId="12" xfId="4" applyBorder="1" applyAlignment="1">
      <alignment horizontal="center"/>
    </xf>
    <xf numFmtId="167" fontId="13" fillId="0" borderId="13" xfId="4" applyNumberFormat="1" applyBorder="1" applyAlignment="1">
      <alignment horizontal="center"/>
    </xf>
    <xf numFmtId="0" fontId="15" fillId="0" borderId="9" xfId="4" applyFont="1" applyBorder="1"/>
    <xf numFmtId="0" fontId="13" fillId="0" borderId="10" xfId="4" applyBorder="1"/>
    <xf numFmtId="164" fontId="13" fillId="0" borderId="12" xfId="4" applyNumberFormat="1" applyBorder="1" applyAlignment="1">
      <alignment horizontal="center"/>
    </xf>
    <xf numFmtId="2" fontId="13" fillId="0" borderId="12" xfId="4" applyNumberFormat="1" applyBorder="1" applyAlignment="1">
      <alignment horizontal="center"/>
    </xf>
    <xf numFmtId="0" fontId="13" fillId="0" borderId="7" xfId="4" applyBorder="1"/>
    <xf numFmtId="0" fontId="13" fillId="0" borderId="8" xfId="4" applyBorder="1"/>
    <xf numFmtId="0" fontId="13" fillId="3" borderId="9" xfId="4" applyFill="1" applyBorder="1"/>
    <xf numFmtId="166" fontId="13" fillId="3" borderId="0" xfId="4" applyNumberFormat="1" applyFill="1"/>
    <xf numFmtId="0" fontId="13" fillId="3" borderId="10" xfId="4" applyFill="1" applyBorder="1" applyAlignment="1">
      <alignment horizontal="center"/>
    </xf>
    <xf numFmtId="166" fontId="13" fillId="0" borderId="12" xfId="4" applyNumberFormat="1" applyBorder="1"/>
    <xf numFmtId="0" fontId="13" fillId="0" borderId="13" xfId="4" applyBorder="1"/>
    <xf numFmtId="0" fontId="13" fillId="0" borderId="6" xfId="4" applyBorder="1"/>
    <xf numFmtId="0" fontId="13" fillId="0" borderId="12" xfId="4" applyBorder="1"/>
    <xf numFmtId="0" fontId="30" fillId="0" borderId="9" xfId="1" applyFont="1" applyBorder="1" applyAlignment="1">
      <alignment horizontal="center" vertical="center"/>
    </xf>
    <xf numFmtId="0" fontId="1" fillId="0" borderId="6" xfId="1" applyBorder="1" applyAlignment="1">
      <alignment horizontal="center"/>
    </xf>
    <xf numFmtId="0" fontId="1" fillId="0" borderId="8" xfId="1" applyBorder="1" applyAlignment="1">
      <alignment horizontal="center"/>
    </xf>
    <xf numFmtId="0" fontId="1" fillId="0" borderId="0" xfId="1" applyAlignment="1">
      <alignment horizontal="center"/>
    </xf>
    <xf numFmtId="0" fontId="1" fillId="0" borderId="7" xfId="1" applyBorder="1" applyAlignment="1">
      <alignment horizontal="center"/>
    </xf>
    <xf numFmtId="0" fontId="1" fillId="0" borderId="7" xfId="1" applyBorder="1" applyAlignment="1">
      <alignment horizontal="left"/>
    </xf>
    <xf numFmtId="0" fontId="1" fillId="0" borderId="0" xfId="1" applyAlignment="1">
      <alignment horizontal="left"/>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0" xfId="1" applyAlignment="1">
      <alignment horizontal="center" vertical="center" wrapText="1"/>
    </xf>
    <xf numFmtId="0" fontId="1" fillId="0" borderId="10" xfId="1" applyBorder="1" applyAlignment="1">
      <alignment horizontal="center" vertical="center" wrapText="1"/>
    </xf>
    <xf numFmtId="0" fontId="1" fillId="0" borderId="12" xfId="1" applyBorder="1" applyAlignment="1">
      <alignment horizontal="center" vertical="center" wrapText="1"/>
    </xf>
    <xf numFmtId="0" fontId="1" fillId="0" borderId="13" xfId="1" applyBorder="1" applyAlignment="1">
      <alignment horizontal="center" vertical="center" wrapText="1"/>
    </xf>
    <xf numFmtId="0" fontId="1" fillId="0" borderId="6" xfId="1" applyBorder="1" applyAlignment="1">
      <alignment horizontal="center" wrapText="1"/>
    </xf>
    <xf numFmtId="0" fontId="1" fillId="0" borderId="7" xfId="1" applyBorder="1" applyAlignment="1">
      <alignment horizontal="center" wrapText="1"/>
    </xf>
    <xf numFmtId="0" fontId="1" fillId="0" borderId="8" xfId="1" applyBorder="1" applyAlignment="1">
      <alignment horizontal="center" wrapText="1"/>
    </xf>
    <xf numFmtId="0" fontId="1" fillId="0" borderId="9" xfId="1" applyBorder="1" applyAlignment="1">
      <alignment horizontal="center" wrapText="1"/>
    </xf>
    <xf numFmtId="0" fontId="1" fillId="0" borderId="0" xfId="1" applyAlignment="1">
      <alignment horizontal="center" wrapText="1"/>
    </xf>
    <xf numFmtId="0" fontId="1" fillId="0" borderId="10" xfId="1" applyBorder="1" applyAlignment="1">
      <alignment horizontal="center" wrapText="1"/>
    </xf>
    <xf numFmtId="0" fontId="1" fillId="0" borderId="11" xfId="1" applyBorder="1" applyAlignment="1">
      <alignment horizontal="center" wrapText="1"/>
    </xf>
    <xf numFmtId="0" fontId="1" fillId="0" borderId="12" xfId="1" applyBorder="1" applyAlignment="1">
      <alignment horizontal="center" wrapText="1"/>
    </xf>
    <xf numFmtId="0" fontId="1" fillId="0" borderId="13" xfId="1" applyBorder="1" applyAlignment="1">
      <alignment horizontal="center" wrapText="1"/>
    </xf>
    <xf numFmtId="0" fontId="30" fillId="0" borderId="0" xfId="1" applyFont="1" applyAlignment="1">
      <alignment horizontal="center"/>
    </xf>
    <xf numFmtId="0" fontId="30" fillId="0" borderId="12" xfId="4"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12" fillId="0" borderId="1" xfId="0" applyFont="1" applyBorder="1" applyAlignment="1">
      <alignment horizontal="center"/>
    </xf>
    <xf numFmtId="0" fontId="12" fillId="0" borderId="2"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21" fillId="0" borderId="0" xfId="0" applyFont="1" applyAlignment="1">
      <alignment horizontal="left" wrapText="1"/>
    </xf>
    <xf numFmtId="0" fontId="0" fillId="0" borderId="4" xfId="0" applyBorder="1" applyAlignment="1">
      <alignment horizontal="left"/>
    </xf>
    <xf numFmtId="0" fontId="0" fillId="0" borderId="19" xfId="0" applyBorder="1" applyAlignment="1">
      <alignment horizontal="left"/>
    </xf>
    <xf numFmtId="0" fontId="0" fillId="0" borderId="3" xfId="0" applyBorder="1" applyAlignment="1">
      <alignment horizontal="left"/>
    </xf>
    <xf numFmtId="176" fontId="0" fillId="0" borderId="18" xfId="0" applyNumberFormat="1" applyBorder="1" applyAlignment="1">
      <alignment horizontal="right" vertical="center"/>
    </xf>
    <xf numFmtId="176" fontId="0" fillId="0" borderId="22" xfId="0" applyNumberFormat="1" applyBorder="1" applyAlignment="1">
      <alignment horizontal="right"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23" xfId="0" applyBorder="1" applyAlignment="1">
      <alignment horizontal="center"/>
    </xf>
    <xf numFmtId="0" fontId="0" fillId="0" borderId="24" xfId="0" applyBorder="1" applyAlignment="1">
      <alignment horizontal="center"/>
    </xf>
    <xf numFmtId="177" fontId="0" fillId="0" borderId="24" xfId="0" applyNumberFormat="1" applyBorder="1" applyAlignment="1">
      <alignment horizontal="center"/>
    </xf>
    <xf numFmtId="0" fontId="0" fillId="0" borderId="25" xfId="0" applyBorder="1" applyAlignment="1">
      <alignment horizontal="center"/>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10" fillId="0" borderId="4" xfId="10" applyBorder="1" applyAlignment="1">
      <alignment horizontal="center"/>
    </xf>
    <xf numFmtId="0" fontId="10" fillId="5" borderId="0" xfId="10" applyFill="1" applyAlignment="1">
      <alignment horizontal="center"/>
    </xf>
    <xf numFmtId="0" fontId="10" fillId="0" borderId="1" xfId="10" applyBorder="1" applyAlignment="1">
      <alignment horizontal="center"/>
    </xf>
    <xf numFmtId="0" fontId="10" fillId="0" borderId="3" xfId="10" applyBorder="1" applyAlignment="1">
      <alignment horizontal="center"/>
    </xf>
    <xf numFmtId="0" fontId="1" fillId="2" borderId="0" xfId="1" applyFill="1" applyAlignment="1">
      <alignment horizontal="center"/>
    </xf>
    <xf numFmtId="0" fontId="23" fillId="0" borderId="0" xfId="0" applyFont="1" applyAlignment="1">
      <alignment horizontal="center" vertical="center"/>
    </xf>
    <xf numFmtId="0" fontId="13" fillId="0" borderId="6" xfId="13" applyBorder="1" applyAlignment="1">
      <alignment horizontal="center" vertical="center" wrapText="1"/>
    </xf>
    <xf numFmtId="0" fontId="13" fillId="0" borderId="7" xfId="13" applyBorder="1" applyAlignment="1">
      <alignment horizontal="center" vertical="center" wrapText="1"/>
    </xf>
    <xf numFmtId="0" fontId="13" fillId="0" borderId="8" xfId="13" applyBorder="1" applyAlignment="1">
      <alignment horizontal="center" vertical="center" wrapText="1"/>
    </xf>
    <xf numFmtId="0" fontId="13" fillId="0" borderId="9" xfId="13" applyBorder="1" applyAlignment="1">
      <alignment horizontal="center" vertical="center" wrapText="1"/>
    </xf>
    <xf numFmtId="0" fontId="13" fillId="0" borderId="0" xfId="13" applyAlignment="1">
      <alignment horizontal="center" vertical="center" wrapText="1"/>
    </xf>
    <xf numFmtId="0" fontId="13" fillId="0" borderId="10" xfId="13" applyBorder="1" applyAlignment="1">
      <alignment horizontal="center" vertical="center" wrapText="1"/>
    </xf>
    <xf numFmtId="0" fontId="13" fillId="0" borderId="11" xfId="13" applyBorder="1" applyAlignment="1">
      <alignment horizontal="center" vertical="center" wrapText="1"/>
    </xf>
    <xf numFmtId="0" fontId="13" fillId="0" borderId="12" xfId="13" applyBorder="1" applyAlignment="1">
      <alignment horizontal="center" vertical="center" wrapText="1"/>
    </xf>
    <xf numFmtId="0" fontId="13" fillId="0" borderId="13" xfId="13" applyBorder="1" applyAlignment="1">
      <alignment horizontal="center" vertical="center" wrapText="1"/>
    </xf>
    <xf numFmtId="0" fontId="1" fillId="0" borderId="6" xfId="13" applyFont="1" applyBorder="1" applyAlignment="1">
      <alignment horizontal="center" vertical="center" wrapText="1"/>
    </xf>
    <xf numFmtId="0" fontId="12" fillId="0" borderId="0" xfId="0" applyFont="1" applyAlignment="1">
      <alignment horizontal="left" wrapText="1"/>
    </xf>
    <xf numFmtId="0" fontId="33" fillId="0" borderId="0" xfId="9" applyFont="1" applyAlignment="1">
      <alignment horizontal="center" vertical="center" wrapText="1"/>
    </xf>
    <xf numFmtId="0" fontId="1" fillId="0" borderId="0" xfId="9" applyAlignment="1">
      <alignment horizontal="center"/>
    </xf>
    <xf numFmtId="0" fontId="2" fillId="0" borderId="0" xfId="9" applyFont="1" applyAlignment="1">
      <alignment horizontal="left" wrapText="1"/>
    </xf>
    <xf numFmtId="0" fontId="2" fillId="5" borderId="6" xfId="14" applyFont="1" applyFill="1" applyBorder="1" applyAlignment="1">
      <alignment horizontal="center" vertical="center" wrapText="1"/>
    </xf>
    <xf numFmtId="0" fontId="2" fillId="5" borderId="9" xfId="14" applyFont="1" applyFill="1" applyBorder="1" applyAlignment="1">
      <alignment horizontal="center" vertical="center" wrapText="1"/>
    </xf>
    <xf numFmtId="0" fontId="2" fillId="5" borderId="11" xfId="14" applyFont="1" applyFill="1" applyBorder="1" applyAlignment="1">
      <alignment horizontal="center" vertical="center" wrapText="1"/>
    </xf>
    <xf numFmtId="0" fontId="38" fillId="0" borderId="6" xfId="15" applyFont="1" applyBorder="1" applyAlignment="1">
      <alignment horizontal="center" vertical="center" wrapText="1"/>
    </xf>
    <xf numFmtId="0" fontId="38" fillId="0" borderId="7" xfId="15" applyFont="1" applyBorder="1" applyAlignment="1">
      <alignment horizontal="center" vertical="center" wrapText="1"/>
    </xf>
    <xf numFmtId="0" fontId="38" fillId="0" borderId="8" xfId="15" applyFont="1" applyBorder="1" applyAlignment="1">
      <alignment horizontal="center" vertical="center" wrapText="1"/>
    </xf>
    <xf numFmtId="0" fontId="38" fillId="0" borderId="9" xfId="15" applyFont="1" applyBorder="1" applyAlignment="1">
      <alignment horizontal="center" vertical="center" wrapText="1"/>
    </xf>
    <xf numFmtId="0" fontId="38" fillId="0" borderId="0" xfId="15" applyFont="1" applyAlignment="1">
      <alignment horizontal="center" vertical="center" wrapText="1"/>
    </xf>
    <xf numFmtId="0" fontId="38" fillId="0" borderId="10" xfId="15" applyFont="1" applyBorder="1" applyAlignment="1">
      <alignment horizontal="center" vertical="center" wrapText="1"/>
    </xf>
    <xf numFmtId="0" fontId="38" fillId="0" borderId="11" xfId="15" applyFont="1" applyBorder="1" applyAlignment="1">
      <alignment horizontal="center" vertical="center" wrapText="1"/>
    </xf>
    <xf numFmtId="0" fontId="38" fillId="0" borderId="12" xfId="15" applyFont="1" applyBorder="1" applyAlignment="1">
      <alignment horizontal="center" vertical="center" wrapText="1"/>
    </xf>
    <xf numFmtId="0" fontId="38" fillId="0" borderId="13" xfId="15" applyFont="1" applyBorder="1" applyAlignment="1">
      <alignment horizontal="center" vertical="center" wrapText="1"/>
    </xf>
    <xf numFmtId="0" fontId="2" fillId="0" borderId="0" xfId="14" applyFont="1" applyAlignment="1">
      <alignment horizontal="center"/>
    </xf>
    <xf numFmtId="0" fontId="40" fillId="0" borderId="0" xfId="14" applyFont="1" applyAlignment="1">
      <alignment horizontal="center" vertical="center" wrapText="1"/>
    </xf>
    <xf numFmtId="0" fontId="40" fillId="0" borderId="0" xfId="14" applyFont="1" applyAlignment="1">
      <alignment horizontal="center" wrapText="1"/>
    </xf>
    <xf numFmtId="0" fontId="2" fillId="0" borderId="0" xfId="14" applyFont="1" applyAlignment="1">
      <alignment horizontal="center" vertical="center" wrapText="1"/>
    </xf>
    <xf numFmtId="0" fontId="12" fillId="0" borderId="34" xfId="0" applyFont="1" applyBorder="1" applyAlignment="1">
      <alignment horizontal="center"/>
    </xf>
    <xf numFmtId="0" fontId="12" fillId="0" borderId="35" xfId="0" applyFont="1" applyBorder="1" applyAlignment="1">
      <alignment horizontal="center"/>
    </xf>
    <xf numFmtId="0" fontId="12" fillId="0" borderId="36" xfId="0" applyFont="1" applyBorder="1" applyAlignment="1">
      <alignment horizontal="center"/>
    </xf>
    <xf numFmtId="0" fontId="0" fillId="0" borderId="4" xfId="0" applyBorder="1" applyAlignment="1">
      <alignment horizontal="center"/>
    </xf>
    <xf numFmtId="0" fontId="12" fillId="0" borderId="28" xfId="0" applyFont="1" applyBorder="1" applyAlignment="1">
      <alignment horizontal="center"/>
    </xf>
    <xf numFmtId="0" fontId="12" fillId="0" borderId="29" xfId="0" applyFont="1" applyBorder="1" applyAlignment="1">
      <alignment horizontal="center"/>
    </xf>
    <xf numFmtId="0" fontId="12" fillId="0" borderId="30" xfId="0" applyFont="1" applyBorder="1" applyAlignment="1">
      <alignment horizontal="center"/>
    </xf>
    <xf numFmtId="0" fontId="12" fillId="0" borderId="32" xfId="0" applyFont="1" applyBorder="1" applyAlignment="1">
      <alignment horizontal="center"/>
    </xf>
    <xf numFmtId="0" fontId="12" fillId="0" borderId="39" xfId="0" applyFont="1" applyBorder="1" applyAlignment="1">
      <alignment horizontal="center" vertical="center"/>
    </xf>
    <xf numFmtId="0" fontId="12" fillId="0" borderId="22" xfId="0" applyFont="1" applyBorder="1" applyAlignment="1">
      <alignment horizontal="center" vertical="center"/>
    </xf>
    <xf numFmtId="0" fontId="0" fillId="0" borderId="40" xfId="0" applyBorder="1" applyAlignment="1">
      <alignment horizontal="center"/>
    </xf>
    <xf numFmtId="0" fontId="0" fillId="0" borderId="41" xfId="0" applyBorder="1" applyAlignment="1">
      <alignment horizontal="center"/>
    </xf>
    <xf numFmtId="0" fontId="0" fillId="0" borderId="38" xfId="0" applyBorder="1" applyAlignment="1">
      <alignment horizontal="center"/>
    </xf>
    <xf numFmtId="0" fontId="52" fillId="0" borderId="0" xfId="2" applyFont="1" applyAlignment="1">
      <alignment horizontal="center" wrapText="1"/>
    </xf>
    <xf numFmtId="0" fontId="52" fillId="0" borderId="10" xfId="2" applyFont="1" applyBorder="1" applyAlignment="1">
      <alignment horizontal="center" wrapText="1"/>
    </xf>
    <xf numFmtId="0" fontId="52" fillId="0" borderId="12" xfId="2" applyFont="1" applyBorder="1" applyAlignment="1">
      <alignment horizontal="center" wrapText="1"/>
    </xf>
    <xf numFmtId="0" fontId="52" fillId="0" borderId="13" xfId="2" applyFont="1" applyBorder="1" applyAlignment="1">
      <alignment horizontal="center" wrapText="1"/>
    </xf>
    <xf numFmtId="0" fontId="12" fillId="0" borderId="14" xfId="0" applyFont="1" applyBorder="1" applyAlignment="1">
      <alignment horizontal="center" vertical="center"/>
    </xf>
    <xf numFmtId="0" fontId="0" fillId="0" borderId="37" xfId="0" applyBorder="1" applyAlignment="1">
      <alignment horizontal="center"/>
    </xf>
    <xf numFmtId="0" fontId="52" fillId="0" borderId="0" xfId="2" applyFont="1" applyAlignment="1">
      <alignment horizontal="center" vertical="center" wrapText="1"/>
    </xf>
    <xf numFmtId="0" fontId="54" fillId="0" borderId="7" xfId="16" applyFont="1" applyBorder="1" applyAlignment="1">
      <alignment horizontal="center" vertical="center"/>
    </xf>
    <xf numFmtId="0" fontId="54" fillId="0" borderId="0" xfId="16" applyFont="1" applyAlignment="1">
      <alignment horizontal="center" vertical="center"/>
    </xf>
    <xf numFmtId="0" fontId="54" fillId="0" borderId="8" xfId="16" applyFont="1" applyBorder="1" applyAlignment="1">
      <alignment horizontal="center" vertical="center"/>
    </xf>
    <xf numFmtId="0" fontId="54" fillId="0" borderId="10" xfId="16" applyFont="1" applyBorder="1" applyAlignment="1">
      <alignment horizontal="center" vertical="center"/>
    </xf>
    <xf numFmtId="0" fontId="54" fillId="0" borderId="13" xfId="16" applyFont="1" applyBorder="1" applyAlignment="1">
      <alignment horizontal="center" vertical="center"/>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13" xfId="0" applyFont="1" applyBorder="1" applyAlignment="1">
      <alignment horizontal="center" vertical="center"/>
    </xf>
    <xf numFmtId="0" fontId="0" fillId="0" borderId="0" xfId="0" applyAlignment="1">
      <alignment horizontal="left" wrapText="1"/>
    </xf>
    <xf numFmtId="0" fontId="12" fillId="0" borderId="6" xfId="0"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0" fillId="0" borderId="9" xfId="0" applyBorder="1" applyAlignment="1">
      <alignment horizontal="center" vertical="center"/>
    </xf>
    <xf numFmtId="0" fontId="12" fillId="0" borderId="0" xfId="0" applyFont="1" applyAlignment="1">
      <alignment horizontal="center" vertical="center" wrapText="1"/>
    </xf>
    <xf numFmtId="0" fontId="50" fillId="0" borderId="6" xfId="16" applyFont="1" applyBorder="1" applyAlignment="1">
      <alignment horizontal="center" vertical="center" wrapText="1"/>
    </xf>
    <xf numFmtId="0" fontId="50" fillId="0" borderId="7" xfId="16" applyFont="1" applyBorder="1" applyAlignment="1">
      <alignment horizontal="center" vertical="center" wrapText="1"/>
    </xf>
    <xf numFmtId="0" fontId="50" fillId="0" borderId="8" xfId="16" applyFont="1" applyBorder="1" applyAlignment="1">
      <alignment horizontal="center" vertical="center" wrapText="1"/>
    </xf>
    <xf numFmtId="0" fontId="50" fillId="0" borderId="11" xfId="16" applyFont="1" applyBorder="1" applyAlignment="1">
      <alignment horizontal="center" vertical="center" wrapText="1"/>
    </xf>
    <xf numFmtId="0" fontId="50" fillId="0" borderId="12" xfId="16" applyFont="1" applyBorder="1" applyAlignment="1">
      <alignment horizontal="center" vertical="center" wrapText="1"/>
    </xf>
    <xf numFmtId="0" fontId="50" fillId="0" borderId="13" xfId="16" applyFont="1" applyBorder="1" applyAlignment="1">
      <alignment horizontal="center" vertical="center" wrapText="1"/>
    </xf>
    <xf numFmtId="0" fontId="50" fillId="0" borderId="0" xfId="16" applyFont="1" applyAlignment="1">
      <alignment horizontal="center" vertical="center" wrapText="1"/>
    </xf>
    <xf numFmtId="0" fontId="35" fillId="0" borderId="0" xfId="16" applyAlignment="1">
      <alignment horizontal="center"/>
    </xf>
    <xf numFmtId="0" fontId="50" fillId="0" borderId="6" xfId="16" applyFont="1" applyBorder="1" applyAlignment="1">
      <alignment horizontal="center" wrapText="1"/>
    </xf>
    <xf numFmtId="0" fontId="50" fillId="0" borderId="7" xfId="16" applyFont="1" applyBorder="1" applyAlignment="1">
      <alignment horizontal="center" wrapText="1"/>
    </xf>
    <xf numFmtId="0" fontId="50" fillId="0" borderId="8" xfId="16" applyFont="1" applyBorder="1" applyAlignment="1">
      <alignment horizontal="center" wrapText="1"/>
    </xf>
    <xf numFmtId="0" fontId="50" fillId="0" borderId="9" xfId="16" applyFont="1" applyBorder="1" applyAlignment="1">
      <alignment horizontal="center" wrapText="1"/>
    </xf>
    <xf numFmtId="0" fontId="50" fillId="0" borderId="0" xfId="16" applyFont="1" applyAlignment="1">
      <alignment horizontal="center" wrapText="1"/>
    </xf>
    <xf numFmtId="0" fontId="50" fillId="0" borderId="10" xfId="16" applyFont="1" applyBorder="1" applyAlignment="1">
      <alignment horizontal="center" wrapText="1"/>
    </xf>
    <xf numFmtId="0" fontId="50" fillId="0" borderId="11" xfId="16" applyFont="1" applyBorder="1" applyAlignment="1">
      <alignment horizontal="center" wrapText="1"/>
    </xf>
    <xf numFmtId="0" fontId="50" fillId="0" borderId="12" xfId="16" applyFont="1" applyBorder="1" applyAlignment="1">
      <alignment horizontal="center" wrapText="1"/>
    </xf>
    <xf numFmtId="0" fontId="50" fillId="0" borderId="13" xfId="16" applyFont="1" applyBorder="1" applyAlignment="1">
      <alignment horizontal="center" wrapText="1"/>
    </xf>
    <xf numFmtId="0" fontId="58" fillId="0" borderId="6"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0" xfId="0" applyFont="1" applyAlignment="1">
      <alignment horizontal="center" vertical="center" wrapText="1"/>
    </xf>
    <xf numFmtId="0" fontId="58" fillId="0" borderId="10" xfId="0" applyFont="1" applyBorder="1" applyAlignment="1">
      <alignment horizontal="center" vertical="center" wrapText="1"/>
    </xf>
    <xf numFmtId="0" fontId="58" fillId="0" borderId="11"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3" xfId="0" applyFont="1" applyBorder="1" applyAlignment="1">
      <alignment horizontal="center" vertical="center" wrapText="1"/>
    </xf>
    <xf numFmtId="0" fontId="50" fillId="0" borderId="9" xfId="16" applyFont="1" applyBorder="1" applyAlignment="1">
      <alignment horizontal="center" vertical="center" wrapText="1"/>
    </xf>
    <xf numFmtId="0" fontId="50" fillId="0" borderId="10" xfId="16" applyFont="1" applyBorder="1" applyAlignment="1">
      <alignment horizontal="center" vertical="center" wrapText="1"/>
    </xf>
    <xf numFmtId="0" fontId="59" fillId="0" borderId="6" xfId="16" applyFont="1" applyBorder="1" applyAlignment="1">
      <alignment horizontal="center" vertical="center" wrapText="1"/>
    </xf>
    <xf numFmtId="0" fontId="59" fillId="0" borderId="7" xfId="16" applyFont="1" applyBorder="1" applyAlignment="1">
      <alignment horizontal="center" vertical="center" wrapText="1"/>
    </xf>
    <xf numFmtId="0" fontId="59" fillId="0" borderId="8" xfId="16" applyFont="1" applyBorder="1" applyAlignment="1">
      <alignment horizontal="center" vertical="center" wrapText="1"/>
    </xf>
    <xf numFmtId="0" fontId="59" fillId="0" borderId="9" xfId="16" applyFont="1" applyBorder="1" applyAlignment="1">
      <alignment horizontal="center" vertical="center" wrapText="1"/>
    </xf>
    <xf numFmtId="0" fontId="59" fillId="0" borderId="0" xfId="16" applyFont="1" applyAlignment="1">
      <alignment horizontal="center" vertical="center" wrapText="1"/>
    </xf>
    <xf numFmtId="0" fontId="59" fillId="0" borderId="10" xfId="16" applyFont="1" applyBorder="1" applyAlignment="1">
      <alignment horizontal="center" vertical="center" wrapText="1"/>
    </xf>
    <xf numFmtId="0" fontId="59" fillId="0" borderId="11" xfId="16" applyFont="1" applyBorder="1" applyAlignment="1">
      <alignment horizontal="center" vertical="center" wrapText="1"/>
    </xf>
    <xf numFmtId="0" fontId="59" fillId="0" borderId="12" xfId="16" applyFont="1" applyBorder="1" applyAlignment="1">
      <alignment horizontal="center" vertical="center" wrapText="1"/>
    </xf>
    <xf numFmtId="0" fontId="59" fillId="0" borderId="13" xfId="16" applyFont="1" applyBorder="1" applyAlignment="1">
      <alignment horizontal="center" vertical="center" wrapText="1"/>
    </xf>
    <xf numFmtId="0" fontId="55" fillId="0" borderId="6"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0" xfId="0" applyFont="1" applyAlignment="1">
      <alignment horizontal="center" vertical="center" wrapText="1"/>
    </xf>
    <xf numFmtId="0" fontId="55" fillId="0" borderId="10"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3" xfId="0" applyFont="1" applyBorder="1" applyAlignment="1">
      <alignment horizontal="center" vertical="center" wrapText="1"/>
    </xf>
    <xf numFmtId="0" fontId="0" fillId="8" borderId="2" xfId="0" applyFill="1" applyBorder="1" applyAlignment="1">
      <alignment horizontal="center"/>
    </xf>
    <xf numFmtId="0" fontId="60" fillId="0" borderId="0" xfId="0" applyFont="1" applyAlignment="1">
      <alignment horizontal="center" vertical="center" wrapText="1"/>
    </xf>
    <xf numFmtId="0" fontId="17" fillId="9" borderId="2" xfId="0" applyFont="1" applyFill="1" applyBorder="1" applyAlignment="1">
      <alignment horizontal="center"/>
    </xf>
    <xf numFmtId="0" fontId="60" fillId="0" borderId="6" xfId="0" applyFont="1" applyBorder="1" applyAlignment="1">
      <alignment horizontal="center" vertical="center" wrapText="1"/>
    </xf>
    <xf numFmtId="0" fontId="60" fillId="0" borderId="7" xfId="0" applyFont="1" applyBorder="1" applyAlignment="1">
      <alignment horizontal="center" vertical="center" wrapText="1"/>
    </xf>
    <xf numFmtId="0" fontId="60" fillId="0" borderId="8" xfId="0" applyFont="1" applyBorder="1" applyAlignment="1">
      <alignment horizontal="center" vertical="center" wrapText="1"/>
    </xf>
    <xf numFmtId="0" fontId="60" fillId="0" borderId="9"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11"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13"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0" xfId="0" applyFont="1" applyAlignment="1">
      <alignment horizontal="center" vertical="center" wrapText="1"/>
    </xf>
    <xf numFmtId="0" fontId="61" fillId="0" borderId="10" xfId="0" applyFont="1" applyBorder="1" applyAlignment="1">
      <alignment horizontal="center" vertical="center" wrapText="1"/>
    </xf>
    <xf numFmtId="0" fontId="61" fillId="0" borderId="11" xfId="0" applyFont="1" applyBorder="1" applyAlignment="1">
      <alignment horizontal="center" vertical="center" wrapText="1"/>
    </xf>
    <xf numFmtId="0" fontId="61" fillId="0" borderId="12" xfId="0" applyFont="1" applyBorder="1" applyAlignment="1">
      <alignment horizontal="center" vertical="center" wrapText="1"/>
    </xf>
    <xf numFmtId="0" fontId="61" fillId="0" borderId="13" xfId="0" applyFont="1" applyBorder="1" applyAlignment="1">
      <alignment horizontal="center" vertical="center" wrapText="1"/>
    </xf>
  </cellXfs>
  <cellStyles count="17">
    <cellStyle name="Comma 2" xfId="5" xr:uid="{220781A2-1910-6F49-B71B-BDC475D181ED}"/>
    <cellStyle name="Comma 3" xfId="7" xr:uid="{AF82E2A3-D7AE-9242-BACE-E94BF08C071F}"/>
    <cellStyle name="Normal" xfId="0" builtinId="0"/>
    <cellStyle name="Normal 2" xfId="1" xr:uid="{67EB76C5-24F5-634E-A988-87E12B5148C8}"/>
    <cellStyle name="Normal 2 2" xfId="4" xr:uid="{4FE4B236-18B2-E840-AF23-0900218223B9}"/>
    <cellStyle name="Normal 2 3" xfId="12" xr:uid="{1A11EC6F-CF2F-D849-9C6C-87C3CF4F325F}"/>
    <cellStyle name="Normal 2 4" xfId="16" xr:uid="{A2814E49-4197-1848-8C2C-CD69C34B56BD}"/>
    <cellStyle name="Normal 3" xfId="2" xr:uid="{C55F96A2-33AC-934B-AF00-9BFADC173C3B}"/>
    <cellStyle name="Normal 3 2" xfId="13" xr:uid="{71EE267C-42CD-BB40-AB9E-51299C85BC7A}"/>
    <cellStyle name="Normal 3 2 2" xfId="14" xr:uid="{2FC963F5-8E3E-3042-B1DA-96D6B24DBE2B}"/>
    <cellStyle name="Normal 4" xfId="3" xr:uid="{5D1D3F5E-E878-E14F-B746-30AA9EBA0CBD}"/>
    <cellStyle name="Normal 4 2" xfId="9" xr:uid="{1462BBEC-D312-774D-BD42-C9A4F3D4E2B6}"/>
    <cellStyle name="Normal 5" xfId="15" xr:uid="{E378177D-9A72-3B47-BC09-AF74904E93F4}"/>
    <cellStyle name="Normal 6" xfId="10" xr:uid="{6718D867-7070-7945-8588-7967FE838435}"/>
    <cellStyle name="Percent" xfId="8" builtinId="5"/>
    <cellStyle name="Percent 2" xfId="6" xr:uid="{760A7B2D-08B2-6741-A8AD-30F90605FC13}"/>
    <cellStyle name="Percent 2 2" xfId="11" xr:uid="{459673CC-2634-4845-9AFC-7C0AAF91F2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OC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0"/>
          <c:order val="0"/>
          <c:tx>
            <c:strRef>
              <c:f>'1MA'!$B$28</c:f>
              <c:strCache>
                <c:ptCount val="1"/>
                <c:pt idx="0">
                  <c:v>PA</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'1MA'!$A$29:$A$37</c:f>
              <c:numCache>
                <c:formatCode>General</c:formatCode>
                <c:ptCount val="9"/>
                <c:pt idx="0">
                  <c:v>0</c:v>
                </c:pt>
                <c:pt idx="1">
                  <c:v>0.01</c:v>
                </c:pt>
                <c:pt idx="2">
                  <c:v>0.02</c:v>
                </c:pt>
                <c:pt idx="3">
                  <c:v>0.03</c:v>
                </c:pt>
                <c:pt idx="4">
                  <c:v>0.04</c:v>
                </c:pt>
                <c:pt idx="5">
                  <c:v>0.05</c:v>
                </c:pt>
                <c:pt idx="6">
                  <c:v>0.06</c:v>
                </c:pt>
                <c:pt idx="7">
                  <c:v>7.0000000000000007E-2</c:v>
                </c:pt>
                <c:pt idx="8">
                  <c:v>0.08</c:v>
                </c:pt>
              </c:numCache>
            </c:numRef>
          </c:xVal>
          <c:yVal>
            <c:numRef>
              <c:f>'1MA'!$B$29:$B$37</c:f>
              <c:numCache>
                <c:formatCode>0.000</c:formatCode>
                <c:ptCount val="9"/>
                <c:pt idx="0" formatCode="General">
                  <c:v>1</c:v>
                </c:pt>
                <c:pt idx="1">
                  <c:v>0.998</c:v>
                </c:pt>
                <c:pt idx="2">
                  <c:v>0.95099999999999996</c:v>
                </c:pt>
                <c:pt idx="3">
                  <c:v>0.8</c:v>
                </c:pt>
                <c:pt idx="4">
                  <c:v>0.58099999999999996</c:v>
                </c:pt>
                <c:pt idx="5">
                  <c:v>0.36899999999999999</c:v>
                </c:pt>
                <c:pt idx="6">
                  <c:v>0.21</c:v>
                </c:pt>
                <c:pt idx="7">
                  <c:v>0.11</c:v>
                </c:pt>
                <c:pt idx="8">
                  <c:v>5.2999999999999999E-2</c:v>
                </c:pt>
              </c:numCache>
            </c:numRef>
          </c:yVal>
          <c:smooth val="1"/>
          <c:extLst>
            <c:ext xmlns:c16="http://schemas.microsoft.com/office/drawing/2014/chart" uri="{C3380CC4-5D6E-409C-BE32-E72D297353CC}">
              <c16:uniqueId val="{00000000-A809-F74E-8440-17C9EB3AAD35}"/>
            </c:ext>
          </c:extLst>
        </c:ser>
        <c:dLbls>
          <c:showLegendKey val="0"/>
          <c:showVal val="0"/>
          <c:showCatName val="0"/>
          <c:showSerName val="0"/>
          <c:showPercent val="0"/>
          <c:showBubbleSize val="0"/>
        </c:dLbls>
        <c:axId val="674928175"/>
        <c:axId val="1128348607"/>
      </c:scatterChart>
      <c:valAx>
        <c:axId val="6749281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128348607"/>
        <c:crosses val="autoZero"/>
        <c:crossBetween val="midCat"/>
      </c:valAx>
      <c:valAx>
        <c:axId val="11283486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6749281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rPr>
              <a:t>Curvas AOQ Planes de la Tabla Militar</a:t>
            </a:r>
            <a:r>
              <a:rPr lang="en-US" baseline="0">
                <a:solidFill>
                  <a:schemeClr val="tx1"/>
                </a:solidFill>
              </a:rPr>
              <a:t> 105</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0"/>
          <c:order val="0"/>
          <c:tx>
            <c:strRef>
              <c:f>'6MA'!$D$26</c:f>
              <c:strCache>
                <c:ptCount val="1"/>
                <c:pt idx="0">
                  <c:v>AOQ-P normal</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'6MA'!$C$27:$C$39</c:f>
              <c:numCache>
                <c:formatCode>0.0000</c:formatCode>
                <c:ptCount val="13"/>
                <c:pt idx="0">
                  <c:v>1E-3</c:v>
                </c:pt>
                <c:pt idx="1">
                  <c:v>5.0000000000000001E-3</c:v>
                </c:pt>
                <c:pt idx="2">
                  <c:v>8.9999999999999993E-3</c:v>
                </c:pt>
                <c:pt idx="3">
                  <c:v>0.01</c:v>
                </c:pt>
                <c:pt idx="4">
                  <c:v>0.02</c:v>
                </c:pt>
                <c:pt idx="5">
                  <c:v>0.03</c:v>
                </c:pt>
                <c:pt idx="6">
                  <c:v>0.04</c:v>
                </c:pt>
                <c:pt idx="7">
                  <c:v>0.05</c:v>
                </c:pt>
                <c:pt idx="8">
                  <c:v>0.06</c:v>
                </c:pt>
                <c:pt idx="9">
                  <c:v>7.0000000000000007E-2</c:v>
                </c:pt>
                <c:pt idx="10">
                  <c:v>0.08</c:v>
                </c:pt>
                <c:pt idx="11">
                  <c:v>0.09</c:v>
                </c:pt>
                <c:pt idx="12">
                  <c:v>0.1</c:v>
                </c:pt>
              </c:numCache>
            </c:numRef>
          </c:xVal>
          <c:yVal>
            <c:numRef>
              <c:f>'6MA'!$D$27:$D$39</c:f>
              <c:numCache>
                <c:formatCode>0.0000</c:formatCode>
                <c:ptCount val="13"/>
                <c:pt idx="0">
                  <c:v>9.99703522459112E-4</c:v>
                </c:pt>
                <c:pt idx="1">
                  <c:v>4.8717153455048725E-3</c:v>
                </c:pt>
                <c:pt idx="2">
                  <c:v>8.0579756937302887E-3</c:v>
                </c:pt>
                <c:pt idx="3">
                  <c:v>8.6846766548245111E-3</c:v>
                </c:pt>
                <c:pt idx="4">
                  <c:v>1.0876262317666592E-2</c:v>
                </c:pt>
                <c:pt idx="5">
                  <c:v>8.3120533009832191E-3</c:v>
                </c:pt>
                <c:pt idx="6">
                  <c:v>4.9860807793232452E-3</c:v>
                </c:pt>
                <c:pt idx="7">
                  <c:v>2.5849987417924172E-3</c:v>
                </c:pt>
                <c:pt idx="8">
                  <c:v>1.2154029033998644E-3</c:v>
                </c:pt>
                <c:pt idx="9">
                  <c:v>5.3277668653761495E-4</c:v>
                </c:pt>
                <c:pt idx="10">
                  <c:v>2.2155165724092611E-4</c:v>
                </c:pt>
                <c:pt idx="11">
                  <c:v>8.8421170584041548E-5</c:v>
                </c:pt>
                <c:pt idx="12">
                  <c:v>3.4145459689170829E-5</c:v>
                </c:pt>
              </c:numCache>
            </c:numRef>
          </c:yVal>
          <c:smooth val="1"/>
          <c:extLst>
            <c:ext xmlns:c16="http://schemas.microsoft.com/office/drawing/2014/chart" uri="{C3380CC4-5D6E-409C-BE32-E72D297353CC}">
              <c16:uniqueId val="{00000000-2CCE-634C-9E8E-4F3D84429735}"/>
            </c:ext>
          </c:extLst>
        </c:ser>
        <c:ser>
          <c:idx val="1"/>
          <c:order val="1"/>
          <c:tx>
            <c:strRef>
              <c:f>'6MA'!$E$26</c:f>
              <c:strCache>
                <c:ptCount val="1"/>
                <c:pt idx="0">
                  <c:v>AOQ-P riguroso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'6MA'!$C$27:$C$39</c:f>
              <c:numCache>
                <c:formatCode>0.0000</c:formatCode>
                <c:ptCount val="13"/>
                <c:pt idx="0">
                  <c:v>1E-3</c:v>
                </c:pt>
                <c:pt idx="1">
                  <c:v>5.0000000000000001E-3</c:v>
                </c:pt>
                <c:pt idx="2">
                  <c:v>8.9999999999999993E-3</c:v>
                </c:pt>
                <c:pt idx="3">
                  <c:v>0.01</c:v>
                </c:pt>
                <c:pt idx="4">
                  <c:v>0.02</c:v>
                </c:pt>
                <c:pt idx="5">
                  <c:v>0.03</c:v>
                </c:pt>
                <c:pt idx="6">
                  <c:v>0.04</c:v>
                </c:pt>
                <c:pt idx="7">
                  <c:v>0.05</c:v>
                </c:pt>
                <c:pt idx="8">
                  <c:v>0.06</c:v>
                </c:pt>
                <c:pt idx="9">
                  <c:v>7.0000000000000007E-2</c:v>
                </c:pt>
                <c:pt idx="10">
                  <c:v>0.08</c:v>
                </c:pt>
                <c:pt idx="11">
                  <c:v>0.09</c:v>
                </c:pt>
                <c:pt idx="12">
                  <c:v>0.1</c:v>
                </c:pt>
              </c:numCache>
            </c:numRef>
          </c:xVal>
          <c:yVal>
            <c:numRef>
              <c:f>'6MA'!$E$27:$E$39</c:f>
              <c:numCache>
                <c:formatCode>0.0000</c:formatCode>
                <c:ptCount val="13"/>
                <c:pt idx="0">
                  <c:v>9.9280901540766981E-4</c:v>
                </c:pt>
                <c:pt idx="1">
                  <c:v>4.3489991067167961E-3</c:v>
                </c:pt>
                <c:pt idx="2">
                  <c:v>6.2089784382284375E-3</c:v>
                </c:pt>
                <c:pt idx="3">
                  <c:v>6.4463579293542782E-3</c:v>
                </c:pt>
                <c:pt idx="4">
                  <c:v>5.7459499036729153E-3</c:v>
                </c:pt>
                <c:pt idx="5">
                  <c:v>3.3512787844812977E-3</c:v>
                </c:pt>
                <c:pt idx="6">
                  <c:v>1.6171072797805119E-3</c:v>
                </c:pt>
                <c:pt idx="7">
                  <c:v>6.9978962438254461E-4</c:v>
                </c:pt>
                <c:pt idx="8">
                  <c:v>2.8207302877539513E-4</c:v>
                </c:pt>
                <c:pt idx="9">
                  <c:v>1.0814985439150024E-4</c:v>
                </c:pt>
                <c:pt idx="10">
                  <c:v>3.9951938190986675E-5</c:v>
                </c:pt>
                <c:pt idx="11">
                  <c:v>1.4340545663609552E-5</c:v>
                </c:pt>
                <c:pt idx="12">
                  <c:v>5.0309817823062066E-6</c:v>
                </c:pt>
              </c:numCache>
            </c:numRef>
          </c:yVal>
          <c:smooth val="1"/>
          <c:extLst>
            <c:ext xmlns:c16="http://schemas.microsoft.com/office/drawing/2014/chart" uri="{C3380CC4-5D6E-409C-BE32-E72D297353CC}">
              <c16:uniqueId val="{00000001-2CCE-634C-9E8E-4F3D84429735}"/>
            </c:ext>
          </c:extLst>
        </c:ser>
        <c:ser>
          <c:idx val="2"/>
          <c:order val="2"/>
          <c:tx>
            <c:strRef>
              <c:f>'6MA'!$F$26</c:f>
              <c:strCache>
                <c:ptCount val="1"/>
                <c:pt idx="0">
                  <c:v>AOQ-P reducido</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'6MA'!$C$27:$C$39</c:f>
              <c:numCache>
                <c:formatCode>0.0000</c:formatCode>
                <c:ptCount val="13"/>
                <c:pt idx="0">
                  <c:v>1E-3</c:v>
                </c:pt>
                <c:pt idx="1">
                  <c:v>5.0000000000000001E-3</c:v>
                </c:pt>
                <c:pt idx="2">
                  <c:v>8.9999999999999993E-3</c:v>
                </c:pt>
                <c:pt idx="3">
                  <c:v>0.01</c:v>
                </c:pt>
                <c:pt idx="4">
                  <c:v>0.02</c:v>
                </c:pt>
                <c:pt idx="5">
                  <c:v>0.03</c:v>
                </c:pt>
                <c:pt idx="6">
                  <c:v>0.04</c:v>
                </c:pt>
                <c:pt idx="7">
                  <c:v>0.05</c:v>
                </c:pt>
                <c:pt idx="8">
                  <c:v>0.06</c:v>
                </c:pt>
                <c:pt idx="9">
                  <c:v>7.0000000000000007E-2</c:v>
                </c:pt>
                <c:pt idx="10">
                  <c:v>0.08</c:v>
                </c:pt>
                <c:pt idx="11">
                  <c:v>0.09</c:v>
                </c:pt>
                <c:pt idx="12">
                  <c:v>0.1</c:v>
                </c:pt>
              </c:numCache>
            </c:numRef>
          </c:xVal>
          <c:yVal>
            <c:numRef>
              <c:f>'6MA'!$F$27:$F$39</c:f>
              <c:numCache>
                <c:formatCode>0.0000</c:formatCode>
                <c:ptCount val="13"/>
                <c:pt idx="0">
                  <c:v>9.987908957257497E-4</c:v>
                </c:pt>
                <c:pt idx="1">
                  <c:v>4.8675048941962803E-3</c:v>
                </c:pt>
                <c:pt idx="2">
                  <c:v>8.3210473786641415E-3</c:v>
                </c:pt>
                <c:pt idx="3">
                  <c:v>9.0979598956895009E-3</c:v>
                </c:pt>
                <c:pt idx="4">
                  <c:v>1.4715177646857695E-2</c:v>
                </c:pt>
                <c:pt idx="5">
                  <c:v>1.6734762011132238E-2</c:v>
                </c:pt>
                <c:pt idx="6">
                  <c:v>1.6240233988393523E-2</c:v>
                </c:pt>
                <c:pt idx="7">
                  <c:v>1.436487475918229E-2</c:v>
                </c:pt>
                <c:pt idx="8">
                  <c:v>1.1948896408287345E-2</c:v>
                </c:pt>
                <c:pt idx="9">
                  <c:v>9.5121757780303236E-3</c:v>
                </c:pt>
                <c:pt idx="10">
                  <c:v>7.3262555554936713E-3</c:v>
                </c:pt>
                <c:pt idx="11">
                  <c:v>5.4989532864299414E-3</c:v>
                </c:pt>
                <c:pt idx="12">
                  <c:v>4.0427681994512797E-3</c:v>
                </c:pt>
              </c:numCache>
            </c:numRef>
          </c:yVal>
          <c:smooth val="1"/>
          <c:extLst>
            <c:ext xmlns:c16="http://schemas.microsoft.com/office/drawing/2014/chart" uri="{C3380CC4-5D6E-409C-BE32-E72D297353CC}">
              <c16:uniqueId val="{00000002-2CCE-634C-9E8E-4F3D84429735}"/>
            </c:ext>
          </c:extLst>
        </c:ser>
        <c:dLbls>
          <c:showLegendKey val="0"/>
          <c:showVal val="0"/>
          <c:showCatName val="0"/>
          <c:showSerName val="0"/>
          <c:showPercent val="0"/>
          <c:showBubbleSize val="0"/>
        </c:dLbls>
        <c:axId val="700724351"/>
        <c:axId val="701131567"/>
      </c:scatterChart>
      <c:valAx>
        <c:axId val="700724351"/>
        <c:scaling>
          <c:orientation val="minMax"/>
        </c:scaling>
        <c:delete val="0"/>
        <c:axPos val="b"/>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01131567"/>
        <c:crosses val="autoZero"/>
        <c:crossBetween val="midCat"/>
      </c:valAx>
      <c:valAx>
        <c:axId val="701131567"/>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0072435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rPr>
              <a:t>Curvas OC Tabla</a:t>
            </a:r>
            <a:r>
              <a:rPr lang="en-US" baseline="0">
                <a:solidFill>
                  <a:schemeClr val="tx1"/>
                </a:solidFill>
              </a:rPr>
              <a:t> Militar 105</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0"/>
          <c:order val="0"/>
          <c:tx>
            <c:strRef>
              <c:f>'6MA'!$D$45</c:f>
              <c:strCache>
                <c:ptCount val="1"/>
                <c:pt idx="0">
                  <c:v>PA-normal</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'6MA'!$C$46:$C$58</c:f>
              <c:numCache>
                <c:formatCode>0.000</c:formatCode>
                <c:ptCount val="13"/>
                <c:pt idx="0">
                  <c:v>1E-3</c:v>
                </c:pt>
                <c:pt idx="1">
                  <c:v>5.0000000000000001E-3</c:v>
                </c:pt>
                <c:pt idx="2">
                  <c:v>8.9999999999999993E-3</c:v>
                </c:pt>
                <c:pt idx="3">
                  <c:v>0.01</c:v>
                </c:pt>
                <c:pt idx="4">
                  <c:v>0.02</c:v>
                </c:pt>
                <c:pt idx="5">
                  <c:v>0.03</c:v>
                </c:pt>
                <c:pt idx="6">
                  <c:v>0.04</c:v>
                </c:pt>
                <c:pt idx="7">
                  <c:v>0.05</c:v>
                </c:pt>
                <c:pt idx="8">
                  <c:v>0.06</c:v>
                </c:pt>
                <c:pt idx="9">
                  <c:v>7.0000000000000007E-2</c:v>
                </c:pt>
                <c:pt idx="10">
                  <c:v>0.08</c:v>
                </c:pt>
                <c:pt idx="11">
                  <c:v>0.09</c:v>
                </c:pt>
                <c:pt idx="12">
                  <c:v>0.1</c:v>
                </c:pt>
              </c:numCache>
            </c:numRef>
          </c:xVal>
          <c:yVal>
            <c:numRef>
              <c:f>'6MA'!$D$46:$D$58</c:f>
              <c:numCache>
                <c:formatCode>0.000</c:formatCode>
                <c:ptCount val="13"/>
                <c:pt idx="0">
                  <c:v>0.99970352245911198</c:v>
                </c:pt>
                <c:pt idx="1">
                  <c:v>0.97434306910097446</c:v>
                </c:pt>
                <c:pt idx="2">
                  <c:v>0.89533063263669888</c:v>
                </c:pt>
                <c:pt idx="3">
                  <c:v>0.86846766548245113</c:v>
                </c:pt>
                <c:pt idx="4">
                  <c:v>0.54381311588332959</c:v>
                </c:pt>
                <c:pt idx="5">
                  <c:v>0.27706844336610731</c:v>
                </c:pt>
                <c:pt idx="6">
                  <c:v>0.12465201948308113</c:v>
                </c:pt>
                <c:pt idx="7">
                  <c:v>5.1699974835848338E-2</c:v>
                </c:pt>
                <c:pt idx="8">
                  <c:v>2.0256715056664407E-2</c:v>
                </c:pt>
                <c:pt idx="9">
                  <c:v>7.6110955219659271E-3</c:v>
                </c:pt>
                <c:pt idx="10">
                  <c:v>2.7693957155115762E-3</c:v>
                </c:pt>
                <c:pt idx="11">
                  <c:v>9.8245745093379503E-4</c:v>
                </c:pt>
                <c:pt idx="12">
                  <c:v>3.4145459689170825E-4</c:v>
                </c:pt>
              </c:numCache>
            </c:numRef>
          </c:yVal>
          <c:smooth val="1"/>
          <c:extLst>
            <c:ext xmlns:c16="http://schemas.microsoft.com/office/drawing/2014/chart" uri="{C3380CC4-5D6E-409C-BE32-E72D297353CC}">
              <c16:uniqueId val="{00000000-B8AB-C84D-BC73-7F9EAB2F6C9D}"/>
            </c:ext>
          </c:extLst>
        </c:ser>
        <c:ser>
          <c:idx val="1"/>
          <c:order val="1"/>
          <c:tx>
            <c:strRef>
              <c:f>'6MA'!$E$45</c:f>
              <c:strCache>
                <c:ptCount val="1"/>
                <c:pt idx="0">
                  <c:v>PA-riguroso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'6MA'!$C$46:$C$58</c:f>
              <c:numCache>
                <c:formatCode>0.000</c:formatCode>
                <c:ptCount val="13"/>
                <c:pt idx="0">
                  <c:v>1E-3</c:v>
                </c:pt>
                <c:pt idx="1">
                  <c:v>5.0000000000000001E-3</c:v>
                </c:pt>
                <c:pt idx="2">
                  <c:v>8.9999999999999993E-3</c:v>
                </c:pt>
                <c:pt idx="3">
                  <c:v>0.01</c:v>
                </c:pt>
                <c:pt idx="4">
                  <c:v>0.02</c:v>
                </c:pt>
                <c:pt idx="5">
                  <c:v>0.03</c:v>
                </c:pt>
                <c:pt idx="6">
                  <c:v>0.04</c:v>
                </c:pt>
                <c:pt idx="7">
                  <c:v>0.05</c:v>
                </c:pt>
                <c:pt idx="8">
                  <c:v>0.06</c:v>
                </c:pt>
                <c:pt idx="9">
                  <c:v>7.0000000000000007E-2</c:v>
                </c:pt>
                <c:pt idx="10">
                  <c:v>0.08</c:v>
                </c:pt>
                <c:pt idx="11">
                  <c:v>0.09</c:v>
                </c:pt>
                <c:pt idx="12">
                  <c:v>0.1</c:v>
                </c:pt>
              </c:numCache>
            </c:numRef>
          </c:xVal>
          <c:yVal>
            <c:numRef>
              <c:f>'6MA'!$E$46:$E$58</c:f>
              <c:numCache>
                <c:formatCode>0.000</c:formatCode>
                <c:ptCount val="13"/>
                <c:pt idx="0">
                  <c:v>0.99280901540766986</c:v>
                </c:pt>
                <c:pt idx="1">
                  <c:v>0.8697998213433592</c:v>
                </c:pt>
                <c:pt idx="2">
                  <c:v>0.68988649313649308</c:v>
                </c:pt>
                <c:pt idx="3">
                  <c:v>0.64463579293542783</c:v>
                </c:pt>
                <c:pt idx="4">
                  <c:v>0.28729749518364578</c:v>
                </c:pt>
                <c:pt idx="5">
                  <c:v>0.11170929281604326</c:v>
                </c:pt>
                <c:pt idx="6">
                  <c:v>4.0427681994512799E-2</c:v>
                </c:pt>
                <c:pt idx="7">
                  <c:v>1.3995792487650892E-2</c:v>
                </c:pt>
                <c:pt idx="8">
                  <c:v>4.7012171462565856E-3</c:v>
                </c:pt>
                <c:pt idx="9">
                  <c:v>1.5449979198785748E-3</c:v>
                </c:pt>
                <c:pt idx="10">
                  <c:v>4.9939922738733344E-4</c:v>
                </c:pt>
                <c:pt idx="11">
                  <c:v>1.5933939626232836E-4</c:v>
                </c:pt>
                <c:pt idx="12">
                  <c:v>5.0309817823062061E-5</c:v>
                </c:pt>
              </c:numCache>
            </c:numRef>
          </c:yVal>
          <c:smooth val="1"/>
          <c:extLst>
            <c:ext xmlns:c16="http://schemas.microsoft.com/office/drawing/2014/chart" uri="{C3380CC4-5D6E-409C-BE32-E72D297353CC}">
              <c16:uniqueId val="{00000001-B8AB-C84D-BC73-7F9EAB2F6C9D}"/>
            </c:ext>
          </c:extLst>
        </c:ser>
        <c:ser>
          <c:idx val="2"/>
          <c:order val="2"/>
          <c:tx>
            <c:strRef>
              <c:f>'6MA'!$F$45</c:f>
              <c:strCache>
                <c:ptCount val="1"/>
                <c:pt idx="0">
                  <c:v>PA-reducido</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'6MA'!$C$46:$C$58</c:f>
              <c:numCache>
                <c:formatCode>0.000</c:formatCode>
                <c:ptCount val="13"/>
                <c:pt idx="0">
                  <c:v>1E-3</c:v>
                </c:pt>
                <c:pt idx="1">
                  <c:v>5.0000000000000001E-3</c:v>
                </c:pt>
                <c:pt idx="2">
                  <c:v>8.9999999999999993E-3</c:v>
                </c:pt>
                <c:pt idx="3">
                  <c:v>0.01</c:v>
                </c:pt>
                <c:pt idx="4">
                  <c:v>0.02</c:v>
                </c:pt>
                <c:pt idx="5">
                  <c:v>0.03</c:v>
                </c:pt>
                <c:pt idx="6">
                  <c:v>0.04</c:v>
                </c:pt>
                <c:pt idx="7">
                  <c:v>0.05</c:v>
                </c:pt>
                <c:pt idx="8">
                  <c:v>0.06</c:v>
                </c:pt>
                <c:pt idx="9">
                  <c:v>7.0000000000000007E-2</c:v>
                </c:pt>
                <c:pt idx="10">
                  <c:v>0.08</c:v>
                </c:pt>
                <c:pt idx="11">
                  <c:v>0.09</c:v>
                </c:pt>
                <c:pt idx="12">
                  <c:v>0.1</c:v>
                </c:pt>
              </c:numCache>
            </c:numRef>
          </c:xVal>
          <c:yVal>
            <c:numRef>
              <c:f>'6MA'!$F$46:$F$58</c:f>
              <c:numCache>
                <c:formatCode>0.000</c:formatCode>
                <c:ptCount val="13"/>
                <c:pt idx="0">
                  <c:v>0.99879089572574964</c:v>
                </c:pt>
                <c:pt idx="1">
                  <c:v>0.97350097883925613</c:v>
                </c:pt>
                <c:pt idx="2">
                  <c:v>0.92456081985157135</c:v>
                </c:pt>
                <c:pt idx="3">
                  <c:v>0.90979598956895014</c:v>
                </c:pt>
                <c:pt idx="4">
                  <c:v>0.73575888234288478</c:v>
                </c:pt>
                <c:pt idx="5">
                  <c:v>0.55782540037107464</c:v>
                </c:pt>
                <c:pt idx="6">
                  <c:v>0.40600584970983811</c:v>
                </c:pt>
                <c:pt idx="7">
                  <c:v>0.28729749518364578</c:v>
                </c:pt>
                <c:pt idx="8">
                  <c:v>0.19914827347145578</c:v>
                </c:pt>
                <c:pt idx="9">
                  <c:v>0.13588822540043319</c:v>
                </c:pt>
                <c:pt idx="10">
                  <c:v>9.1578194443670893E-2</c:v>
                </c:pt>
                <c:pt idx="11">
                  <c:v>6.1099480960332686E-2</c:v>
                </c:pt>
                <c:pt idx="12">
                  <c:v>4.0427681994512799E-2</c:v>
                </c:pt>
              </c:numCache>
            </c:numRef>
          </c:yVal>
          <c:smooth val="1"/>
          <c:extLst>
            <c:ext xmlns:c16="http://schemas.microsoft.com/office/drawing/2014/chart" uri="{C3380CC4-5D6E-409C-BE32-E72D297353CC}">
              <c16:uniqueId val="{00000002-B8AB-C84D-BC73-7F9EAB2F6C9D}"/>
            </c:ext>
          </c:extLst>
        </c:ser>
        <c:dLbls>
          <c:showLegendKey val="0"/>
          <c:showVal val="0"/>
          <c:showCatName val="0"/>
          <c:showSerName val="0"/>
          <c:showPercent val="0"/>
          <c:showBubbleSize val="0"/>
        </c:dLbls>
        <c:axId val="700713583"/>
        <c:axId val="700715231"/>
      </c:scatterChart>
      <c:valAx>
        <c:axId val="700713583"/>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00715231"/>
        <c:crosses val="autoZero"/>
        <c:crossBetween val="midCat"/>
      </c:valAx>
      <c:valAx>
        <c:axId val="700715231"/>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0071358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1"/>
          <c:order val="0"/>
          <c:tx>
            <c:v>Curva OC (75,2)</c:v>
          </c:tx>
          <c:marker>
            <c:symbol val="none"/>
          </c:marker>
          <c:yVal>
            <c:numRef>
              <c:f>'7MA'!$C$16:$C$25</c:f>
              <c:numCache>
                <c:formatCode>General</c:formatCode>
                <c:ptCount val="10"/>
                <c:pt idx="1">
                  <c:v>0.99399999999999999</c:v>
                </c:pt>
                <c:pt idx="2" formatCode="0.000">
                  <c:v>0.95899999999999996</c:v>
                </c:pt>
                <c:pt idx="3" formatCode="0.000">
                  <c:v>0.80900000000000005</c:v>
                </c:pt>
                <c:pt idx="4" formatCode="0.000">
                  <c:v>0.60899999999999999</c:v>
                </c:pt>
                <c:pt idx="5" formatCode="0.000">
                  <c:v>0.42299999999999999</c:v>
                </c:pt>
                <c:pt idx="6" formatCode="0.000">
                  <c:v>0.27700000000000002</c:v>
                </c:pt>
                <c:pt idx="7" formatCode="0.000">
                  <c:v>0.17399999999999999</c:v>
                </c:pt>
                <c:pt idx="8" formatCode="0.000">
                  <c:v>0.105</c:v>
                </c:pt>
                <c:pt idx="9" formatCode="0.000">
                  <c:v>6.2E-2</c:v>
                </c:pt>
              </c:numCache>
            </c:numRef>
          </c:yVal>
          <c:smooth val="1"/>
          <c:extLst>
            <c:ext xmlns:c16="http://schemas.microsoft.com/office/drawing/2014/chart" uri="{C3380CC4-5D6E-409C-BE32-E72D297353CC}">
              <c16:uniqueId val="{00000000-0401-0742-BAF1-72624A4A6719}"/>
            </c:ext>
          </c:extLst>
        </c:ser>
        <c:dLbls>
          <c:showLegendKey val="0"/>
          <c:showVal val="0"/>
          <c:showCatName val="0"/>
          <c:showSerName val="0"/>
          <c:showPercent val="0"/>
          <c:showBubbleSize val="0"/>
        </c:dLbls>
        <c:axId val="470978664"/>
        <c:axId val="470981624"/>
      </c:scatterChart>
      <c:valAx>
        <c:axId val="470978664"/>
        <c:scaling>
          <c:orientation val="minMax"/>
        </c:scaling>
        <c:delete val="0"/>
        <c:axPos val="b"/>
        <c:majorTickMark val="out"/>
        <c:minorTickMark val="none"/>
        <c:tickLblPos val="nextTo"/>
        <c:crossAx val="470981624"/>
        <c:crosses val="autoZero"/>
        <c:crossBetween val="midCat"/>
      </c:valAx>
      <c:valAx>
        <c:axId val="470981624"/>
        <c:scaling>
          <c:orientation val="minMax"/>
        </c:scaling>
        <c:delete val="0"/>
        <c:axPos val="l"/>
        <c:majorGridlines/>
        <c:numFmt formatCode="General" sourceLinked="1"/>
        <c:majorTickMark val="out"/>
        <c:minorTickMark val="none"/>
        <c:tickLblPos val="nextTo"/>
        <c:crossAx val="470978664"/>
        <c:crosses val="autoZero"/>
        <c:crossBetween val="midCat"/>
      </c:valAx>
    </c:plotArea>
    <c:legend>
      <c:legendPos val="b"/>
      <c:overlay val="0"/>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Curva AOQ</c:v>
          </c:tx>
          <c:marker>
            <c:symbol val="none"/>
          </c:marker>
          <c:xVal>
            <c:numRef>
              <c:f>'7MA'!$D$18:$D$25</c:f>
              <c:numCache>
                <c:formatCode>0.000</c:formatCode>
                <c:ptCount val="8"/>
                <c:pt idx="0">
                  <c:v>0.01</c:v>
                </c:pt>
                <c:pt idx="1">
                  <c:v>0.02</c:v>
                </c:pt>
                <c:pt idx="2">
                  <c:v>0.03</c:v>
                </c:pt>
                <c:pt idx="3">
                  <c:v>0.04</c:v>
                </c:pt>
                <c:pt idx="4">
                  <c:v>0.05</c:v>
                </c:pt>
                <c:pt idx="5">
                  <c:v>0.06</c:v>
                </c:pt>
                <c:pt idx="6">
                  <c:v>7.0000000000000007E-2</c:v>
                </c:pt>
                <c:pt idx="7">
                  <c:v>0.08</c:v>
                </c:pt>
              </c:numCache>
            </c:numRef>
          </c:xVal>
          <c:yVal>
            <c:numRef>
              <c:f>'7MA'!$E$18:$E$25</c:f>
              <c:numCache>
                <c:formatCode>0.000</c:formatCode>
                <c:ptCount val="8"/>
                <c:pt idx="0">
                  <c:v>9.980000000000001E-3</c:v>
                </c:pt>
                <c:pt idx="1">
                  <c:v>1.9019999999999999E-2</c:v>
                </c:pt>
                <c:pt idx="2">
                  <c:v>2.4E-2</c:v>
                </c:pt>
                <c:pt idx="3">
                  <c:v>2.324E-2</c:v>
                </c:pt>
                <c:pt idx="4">
                  <c:v>1.8450000000000001E-2</c:v>
                </c:pt>
                <c:pt idx="5">
                  <c:v>1.2599999999999998E-2</c:v>
                </c:pt>
                <c:pt idx="6">
                  <c:v>7.7000000000000011E-3</c:v>
                </c:pt>
                <c:pt idx="7">
                  <c:v>4.2399999999999998E-3</c:v>
                </c:pt>
              </c:numCache>
            </c:numRef>
          </c:yVal>
          <c:smooth val="1"/>
          <c:extLst>
            <c:ext xmlns:c16="http://schemas.microsoft.com/office/drawing/2014/chart" uri="{C3380CC4-5D6E-409C-BE32-E72D297353CC}">
              <c16:uniqueId val="{00000000-D433-3445-81A5-09DBC5F74AB5}"/>
            </c:ext>
          </c:extLst>
        </c:ser>
        <c:dLbls>
          <c:showLegendKey val="0"/>
          <c:showVal val="0"/>
          <c:showCatName val="0"/>
          <c:showSerName val="0"/>
          <c:showPercent val="0"/>
          <c:showBubbleSize val="0"/>
        </c:dLbls>
        <c:axId val="471012104"/>
        <c:axId val="471015064"/>
      </c:scatterChart>
      <c:valAx>
        <c:axId val="471012104"/>
        <c:scaling>
          <c:orientation val="minMax"/>
        </c:scaling>
        <c:delete val="0"/>
        <c:axPos val="b"/>
        <c:numFmt formatCode="0.000" sourceLinked="1"/>
        <c:majorTickMark val="out"/>
        <c:minorTickMark val="none"/>
        <c:tickLblPos val="nextTo"/>
        <c:crossAx val="471015064"/>
        <c:crosses val="autoZero"/>
        <c:crossBetween val="midCat"/>
      </c:valAx>
      <c:valAx>
        <c:axId val="471015064"/>
        <c:scaling>
          <c:orientation val="minMax"/>
        </c:scaling>
        <c:delete val="0"/>
        <c:axPos val="l"/>
        <c:majorGridlines/>
        <c:numFmt formatCode="0.000" sourceLinked="1"/>
        <c:majorTickMark val="out"/>
        <c:minorTickMark val="none"/>
        <c:tickLblPos val="nextTo"/>
        <c:crossAx val="471012104"/>
        <c:crosses val="autoZero"/>
        <c:crossBetween val="midCat"/>
      </c:valAx>
    </c:plotArea>
    <c:legend>
      <c:legendPos val="b"/>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2"/>
          <c:order val="0"/>
          <c:tx>
            <c:strRef>
              <c:f>'8MA'!$F$35</c:f>
              <c:strCache>
                <c:ptCount val="1"/>
                <c:pt idx="0">
                  <c:v>AOQ</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'8MA'!$C$36:$C$46</c:f>
              <c:numCache>
                <c:formatCode>General</c:formatCode>
                <c:ptCount val="11"/>
                <c:pt idx="0">
                  <c:v>0.01</c:v>
                </c:pt>
                <c:pt idx="1">
                  <c:v>0.02</c:v>
                </c:pt>
                <c:pt idx="2">
                  <c:v>0.03</c:v>
                </c:pt>
                <c:pt idx="3">
                  <c:v>0.04</c:v>
                </c:pt>
                <c:pt idx="4">
                  <c:v>0.05</c:v>
                </c:pt>
                <c:pt idx="5">
                  <c:v>0.06</c:v>
                </c:pt>
                <c:pt idx="6">
                  <c:v>7.0000000000000007E-2</c:v>
                </c:pt>
                <c:pt idx="7">
                  <c:v>0.08</c:v>
                </c:pt>
                <c:pt idx="8">
                  <c:v>0.09</c:v>
                </c:pt>
                <c:pt idx="9">
                  <c:v>0.1</c:v>
                </c:pt>
                <c:pt idx="10">
                  <c:v>0.11</c:v>
                </c:pt>
              </c:numCache>
            </c:numRef>
          </c:xVal>
          <c:yVal>
            <c:numRef>
              <c:f>'8MA'!$F$36:$F$46</c:f>
              <c:numCache>
                <c:formatCode>0.0000</c:formatCode>
                <c:ptCount val="11"/>
                <c:pt idx="0">
                  <c:v>9.9995093534061396E-3</c:v>
                </c:pt>
                <c:pt idx="1">
                  <c:v>1.991506609021311E-2</c:v>
                </c:pt>
                <c:pt idx="2">
                  <c:v>2.887135972744918E-2</c:v>
                </c:pt>
                <c:pt idx="3">
                  <c:v>3.4665133037199709E-2</c:v>
                </c:pt>
                <c:pt idx="4">
                  <c:v>3.5445186204248365E-2</c:v>
                </c:pt>
                <c:pt idx="5">
                  <c:v>3.1478311589256326E-2</c:v>
                </c:pt>
                <c:pt idx="6">
                  <c:v>2.4778370979473659E-2</c:v>
                </c:pt>
                <c:pt idx="7">
                  <c:v>1.7617651728135921E-2</c:v>
                </c:pt>
                <c:pt idx="8">
                  <c:v>1.1499148552268603E-2</c:v>
                </c:pt>
                <c:pt idx="9">
                  <c:v>6.9825463184047531E-3</c:v>
                </c:pt>
                <c:pt idx="10">
                  <c:v>3.9874151805365677E-3</c:v>
                </c:pt>
              </c:numCache>
            </c:numRef>
          </c:yVal>
          <c:smooth val="1"/>
          <c:extLst>
            <c:ext xmlns:c16="http://schemas.microsoft.com/office/drawing/2014/chart" uri="{C3380CC4-5D6E-409C-BE32-E72D297353CC}">
              <c16:uniqueId val="{00000002-2736-1F48-BAC1-A31AC489629D}"/>
            </c:ext>
          </c:extLst>
        </c:ser>
        <c:dLbls>
          <c:showLegendKey val="0"/>
          <c:showVal val="0"/>
          <c:showCatName val="0"/>
          <c:showSerName val="0"/>
          <c:showPercent val="0"/>
          <c:showBubbleSize val="0"/>
        </c:dLbls>
        <c:axId val="855830223"/>
        <c:axId val="855677535"/>
      </c:scatterChart>
      <c:valAx>
        <c:axId val="8558302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55677535"/>
        <c:crosses val="autoZero"/>
        <c:crossBetween val="midCat"/>
      </c:valAx>
      <c:valAx>
        <c:axId val="855677535"/>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558302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1"/>
          <c:order val="0"/>
          <c:tx>
            <c:strRef>
              <c:f>'8MA'!$E$35</c:f>
              <c:strCache>
                <c:ptCount val="1"/>
                <c:pt idx="0">
                  <c:v>PA</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'8MA'!$C$36:$C$46</c:f>
              <c:numCache>
                <c:formatCode>General</c:formatCode>
                <c:ptCount val="11"/>
                <c:pt idx="0">
                  <c:v>0.01</c:v>
                </c:pt>
                <c:pt idx="1">
                  <c:v>0.02</c:v>
                </c:pt>
                <c:pt idx="2">
                  <c:v>0.03</c:v>
                </c:pt>
                <c:pt idx="3">
                  <c:v>0.04</c:v>
                </c:pt>
                <c:pt idx="4">
                  <c:v>0.05</c:v>
                </c:pt>
                <c:pt idx="5">
                  <c:v>0.06</c:v>
                </c:pt>
                <c:pt idx="6">
                  <c:v>7.0000000000000007E-2</c:v>
                </c:pt>
                <c:pt idx="7">
                  <c:v>0.08</c:v>
                </c:pt>
                <c:pt idx="8">
                  <c:v>0.09</c:v>
                </c:pt>
                <c:pt idx="9">
                  <c:v>0.1</c:v>
                </c:pt>
                <c:pt idx="10">
                  <c:v>0.11</c:v>
                </c:pt>
              </c:numCache>
            </c:numRef>
          </c:xVal>
          <c:yVal>
            <c:numRef>
              <c:f>'8MA'!$E$36:$E$46</c:f>
              <c:numCache>
                <c:formatCode>General</c:formatCode>
                <c:ptCount val="11"/>
                <c:pt idx="0">
                  <c:v>0.99995093534061397</c:v>
                </c:pt>
                <c:pt idx="1">
                  <c:v>0.99575330451065547</c:v>
                </c:pt>
                <c:pt idx="2">
                  <c:v>0.96237865758163932</c:v>
                </c:pt>
                <c:pt idx="3">
                  <c:v>0.86662832592999273</c:v>
                </c:pt>
                <c:pt idx="4">
                  <c:v>0.70890372408496727</c:v>
                </c:pt>
                <c:pt idx="5">
                  <c:v>0.52463852648760545</c:v>
                </c:pt>
                <c:pt idx="6">
                  <c:v>0.3539767282781951</c:v>
                </c:pt>
                <c:pt idx="7">
                  <c:v>0.22022064660169899</c:v>
                </c:pt>
                <c:pt idx="8" formatCode="0.000">
                  <c:v>0.12776831724742893</c:v>
                </c:pt>
                <c:pt idx="9" formatCode="0.000">
                  <c:v>6.9825463184047531E-2</c:v>
                </c:pt>
                <c:pt idx="10" formatCode="0.000">
                  <c:v>3.6249228913968798E-2</c:v>
                </c:pt>
              </c:numCache>
            </c:numRef>
          </c:yVal>
          <c:smooth val="1"/>
          <c:extLst>
            <c:ext xmlns:c16="http://schemas.microsoft.com/office/drawing/2014/chart" uri="{C3380CC4-5D6E-409C-BE32-E72D297353CC}">
              <c16:uniqueId val="{00000001-9EEB-F545-90BE-C8111687BFF4}"/>
            </c:ext>
          </c:extLst>
        </c:ser>
        <c:dLbls>
          <c:showLegendKey val="0"/>
          <c:showVal val="0"/>
          <c:showCatName val="0"/>
          <c:showSerName val="0"/>
          <c:showPercent val="0"/>
          <c:showBubbleSize val="0"/>
        </c:dLbls>
        <c:axId val="891618607"/>
        <c:axId val="891620255"/>
      </c:scatterChart>
      <c:valAx>
        <c:axId val="8916186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91620255"/>
        <c:crosses val="autoZero"/>
        <c:crossBetween val="midCat"/>
      </c:valAx>
      <c:valAx>
        <c:axId val="8916202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9161860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smoothMarker"/>
        <c:varyColors val="0"/>
        <c:ser>
          <c:idx val="0"/>
          <c:order val="0"/>
          <c:tx>
            <c:strRef>
              <c:f>'9MA'!$D$49</c:f>
              <c:strCache>
                <c:ptCount val="1"/>
                <c:pt idx="0">
                  <c:v>PA1</c:v>
                </c:pt>
              </c:strCache>
            </c:strRef>
          </c:tx>
          <c:xVal>
            <c:numRef>
              <c:f>'9MA'!$C$50:$C$55</c:f>
              <c:numCache>
                <c:formatCode>General</c:formatCode>
                <c:ptCount val="6"/>
                <c:pt idx="0">
                  <c:v>0.01</c:v>
                </c:pt>
                <c:pt idx="1">
                  <c:v>1.4999999999999999E-2</c:v>
                </c:pt>
                <c:pt idx="2">
                  <c:v>0.02</c:v>
                </c:pt>
                <c:pt idx="3">
                  <c:v>0.03</c:v>
                </c:pt>
                <c:pt idx="4">
                  <c:v>0.04</c:v>
                </c:pt>
                <c:pt idx="5">
                  <c:v>0.05</c:v>
                </c:pt>
              </c:numCache>
            </c:numRef>
          </c:xVal>
          <c:yVal>
            <c:numRef>
              <c:f>'9MA'!$D$50:$D$55</c:f>
              <c:numCache>
                <c:formatCode>0.000</c:formatCode>
                <c:ptCount val="6"/>
                <c:pt idx="0">
                  <c:v>0.99890328103214132</c:v>
                </c:pt>
                <c:pt idx="1">
                  <c:v>0.98809549614364256</c:v>
                </c:pt>
                <c:pt idx="2">
                  <c:v>0.94886638420715264</c:v>
                </c:pt>
                <c:pt idx="3">
                  <c:v>0.74397976045371694</c:v>
                </c:pt>
                <c:pt idx="4">
                  <c:v>0.45296080948699424</c:v>
                </c:pt>
                <c:pt idx="5">
                  <c:v>0.22022064660169899</c:v>
                </c:pt>
              </c:numCache>
            </c:numRef>
          </c:yVal>
          <c:smooth val="1"/>
          <c:extLst>
            <c:ext xmlns:c16="http://schemas.microsoft.com/office/drawing/2014/chart" uri="{C3380CC4-5D6E-409C-BE32-E72D297353CC}">
              <c16:uniqueId val="{00000000-BF42-284B-A2A8-CB09B9B39FE6}"/>
            </c:ext>
          </c:extLst>
        </c:ser>
        <c:ser>
          <c:idx val="1"/>
          <c:order val="1"/>
          <c:tx>
            <c:strRef>
              <c:f>'9MA'!$E$49</c:f>
              <c:strCache>
                <c:ptCount val="1"/>
                <c:pt idx="0">
                  <c:v>PA2</c:v>
                </c:pt>
              </c:strCache>
            </c:strRef>
          </c:tx>
          <c:xVal>
            <c:numRef>
              <c:f>'9MA'!$C$50:$C$55</c:f>
              <c:numCache>
                <c:formatCode>General</c:formatCode>
                <c:ptCount val="6"/>
                <c:pt idx="0">
                  <c:v>0.01</c:v>
                </c:pt>
                <c:pt idx="1">
                  <c:v>1.4999999999999999E-2</c:v>
                </c:pt>
                <c:pt idx="2">
                  <c:v>0.02</c:v>
                </c:pt>
                <c:pt idx="3">
                  <c:v>0.03</c:v>
                </c:pt>
                <c:pt idx="4">
                  <c:v>0.04</c:v>
                </c:pt>
                <c:pt idx="5">
                  <c:v>0.05</c:v>
                </c:pt>
              </c:numCache>
            </c:numRef>
          </c:xVal>
          <c:yVal>
            <c:numRef>
              <c:f>'9MA'!$E$50:$E$55</c:f>
              <c:numCache>
                <c:formatCode>0.000</c:formatCode>
                <c:ptCount val="6"/>
                <c:pt idx="0">
                  <c:v>0.91557752313120533</c:v>
                </c:pt>
                <c:pt idx="1">
                  <c:v>0.76609144618612679</c:v>
                </c:pt>
                <c:pt idx="2">
                  <c:v>0.58476036961064048</c:v>
                </c:pt>
                <c:pt idx="3">
                  <c:v>0.2764359534401965</c:v>
                </c:pt>
                <c:pt idx="4">
                  <c:v>0.10778694646250486</c:v>
                </c:pt>
                <c:pt idx="5">
                  <c:v>3.6999864127607134E-2</c:v>
                </c:pt>
              </c:numCache>
            </c:numRef>
          </c:yVal>
          <c:smooth val="1"/>
          <c:extLst>
            <c:ext xmlns:c16="http://schemas.microsoft.com/office/drawing/2014/chart" uri="{C3380CC4-5D6E-409C-BE32-E72D297353CC}">
              <c16:uniqueId val="{00000001-BF42-284B-A2A8-CB09B9B39FE6}"/>
            </c:ext>
          </c:extLst>
        </c:ser>
        <c:dLbls>
          <c:showLegendKey val="0"/>
          <c:showVal val="0"/>
          <c:showCatName val="0"/>
          <c:showSerName val="0"/>
          <c:showPercent val="0"/>
          <c:showBubbleSize val="0"/>
        </c:dLbls>
        <c:axId val="1734488568"/>
        <c:axId val="1730020776"/>
      </c:scatterChart>
      <c:valAx>
        <c:axId val="1734488568"/>
        <c:scaling>
          <c:orientation val="minMax"/>
        </c:scaling>
        <c:delete val="0"/>
        <c:axPos val="b"/>
        <c:numFmt formatCode="General" sourceLinked="1"/>
        <c:majorTickMark val="out"/>
        <c:minorTickMark val="none"/>
        <c:tickLblPos val="nextTo"/>
        <c:crossAx val="1730020776"/>
        <c:crosses val="autoZero"/>
        <c:crossBetween val="midCat"/>
      </c:valAx>
      <c:valAx>
        <c:axId val="1730020776"/>
        <c:scaling>
          <c:orientation val="minMax"/>
        </c:scaling>
        <c:delete val="0"/>
        <c:axPos val="l"/>
        <c:majorGridlines/>
        <c:numFmt formatCode="0.000" sourceLinked="1"/>
        <c:majorTickMark val="out"/>
        <c:minorTickMark val="none"/>
        <c:tickLblPos val="nextTo"/>
        <c:crossAx val="1734488568"/>
        <c:crosses val="autoZero"/>
        <c:crossBetween val="midCat"/>
      </c:valAx>
    </c:plotArea>
    <c:legend>
      <c:legendPos val="b"/>
      <c:overlay val="0"/>
    </c:legend>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Curvas OC</a:t>
            </a:r>
          </a:p>
        </c:rich>
      </c:tx>
      <c:overlay val="0"/>
    </c:title>
    <c:autoTitleDeleted val="0"/>
    <c:plotArea>
      <c:layout/>
      <c:scatterChart>
        <c:scatterStyle val="lineMarker"/>
        <c:varyColors val="0"/>
        <c:ser>
          <c:idx val="1"/>
          <c:order val="0"/>
          <c:tx>
            <c:strRef>
              <c:f>'11MA'!$E$10</c:f>
              <c:strCache>
                <c:ptCount val="1"/>
                <c:pt idx="0">
                  <c:v>PA C=0 n=20</c:v>
                </c:pt>
              </c:strCache>
            </c:strRef>
          </c:tx>
          <c:xVal>
            <c:numRef>
              <c:f>'11MA'!$C$11:$C$20</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'11MA'!$E$11:$E$20</c:f>
              <c:numCache>
                <c:formatCode>0.000</c:formatCode>
                <c:ptCount val="10"/>
                <c:pt idx="0">
                  <c:v>0.81873075307798182</c:v>
                </c:pt>
                <c:pt idx="1">
                  <c:v>0.67032004603563933</c:v>
                </c:pt>
                <c:pt idx="2">
                  <c:v>0.54881163609402639</c:v>
                </c:pt>
                <c:pt idx="3">
                  <c:v>0.44932896411722156</c:v>
                </c:pt>
                <c:pt idx="4">
                  <c:v>0.36787944117144233</c:v>
                </c:pt>
                <c:pt idx="5">
                  <c:v>0.30119421191220214</c:v>
                </c:pt>
                <c:pt idx="6">
                  <c:v>0.24659696394160643</c:v>
                </c:pt>
                <c:pt idx="7">
                  <c:v>0.20189651799465538</c:v>
                </c:pt>
                <c:pt idx="8">
                  <c:v>0.16529888822158656</c:v>
                </c:pt>
                <c:pt idx="9">
                  <c:v>0.1353352832366127</c:v>
                </c:pt>
              </c:numCache>
            </c:numRef>
          </c:yVal>
          <c:smooth val="0"/>
          <c:extLst>
            <c:ext xmlns:c16="http://schemas.microsoft.com/office/drawing/2014/chart" uri="{C3380CC4-5D6E-409C-BE32-E72D297353CC}">
              <c16:uniqueId val="{00000000-D8BD-EB4B-93A7-9A4695628C54}"/>
            </c:ext>
          </c:extLst>
        </c:ser>
        <c:ser>
          <c:idx val="7"/>
          <c:order val="1"/>
          <c:tx>
            <c:strRef>
              <c:f>'11MA'!$K$10</c:f>
              <c:strCache>
                <c:ptCount val="1"/>
                <c:pt idx="0">
                  <c:v>PA MIL STD</c:v>
                </c:pt>
              </c:strCache>
            </c:strRef>
          </c:tx>
          <c:xVal>
            <c:numRef>
              <c:f>'11MA'!$C$11:$C$20</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'11MA'!$K$11:$K$20</c:f>
              <c:numCache>
                <c:formatCode>0.000</c:formatCode>
                <c:ptCount val="10"/>
                <c:pt idx="0">
                  <c:v>0.90979598956895014</c:v>
                </c:pt>
                <c:pt idx="1">
                  <c:v>0.73575888234288478</c:v>
                </c:pt>
                <c:pt idx="2">
                  <c:v>0.55782540037107464</c:v>
                </c:pt>
                <c:pt idx="3">
                  <c:v>0.40600584970983811</c:v>
                </c:pt>
                <c:pt idx="4">
                  <c:v>0.28729749518364578</c:v>
                </c:pt>
                <c:pt idx="5">
                  <c:v>0.19914827347145578</c:v>
                </c:pt>
                <c:pt idx="6">
                  <c:v>0.13588822540043319</c:v>
                </c:pt>
                <c:pt idx="7">
                  <c:v>9.1578194443670893E-2</c:v>
                </c:pt>
                <c:pt idx="8">
                  <c:v>6.1099480960332686E-2</c:v>
                </c:pt>
                <c:pt idx="9">
                  <c:v>4.0427681994512799E-2</c:v>
                </c:pt>
              </c:numCache>
            </c:numRef>
          </c:yVal>
          <c:smooth val="0"/>
          <c:extLst>
            <c:ext xmlns:c16="http://schemas.microsoft.com/office/drawing/2014/chart" uri="{C3380CC4-5D6E-409C-BE32-E72D297353CC}">
              <c16:uniqueId val="{00000001-D8BD-EB4B-93A7-9A4695628C54}"/>
            </c:ext>
          </c:extLst>
        </c:ser>
        <c:dLbls>
          <c:showLegendKey val="0"/>
          <c:showVal val="0"/>
          <c:showCatName val="0"/>
          <c:showSerName val="0"/>
          <c:showPercent val="0"/>
          <c:showBubbleSize val="0"/>
        </c:dLbls>
        <c:axId val="1650204360"/>
        <c:axId val="1650207416"/>
      </c:scatterChart>
      <c:valAx>
        <c:axId val="1650204360"/>
        <c:scaling>
          <c:orientation val="minMax"/>
        </c:scaling>
        <c:delete val="0"/>
        <c:axPos val="b"/>
        <c:majorGridlines/>
        <c:numFmt formatCode="General" sourceLinked="1"/>
        <c:majorTickMark val="none"/>
        <c:minorTickMark val="none"/>
        <c:tickLblPos val="nextTo"/>
        <c:crossAx val="1650207416"/>
        <c:crosses val="autoZero"/>
        <c:crossBetween val="midCat"/>
      </c:valAx>
      <c:valAx>
        <c:axId val="1650207416"/>
        <c:scaling>
          <c:orientation val="minMax"/>
        </c:scaling>
        <c:delete val="0"/>
        <c:axPos val="l"/>
        <c:majorGridlines/>
        <c:numFmt formatCode="0.000" sourceLinked="1"/>
        <c:majorTickMark val="none"/>
        <c:minorTickMark val="none"/>
        <c:tickLblPos val="nextTo"/>
        <c:crossAx val="1650204360"/>
        <c:crosses val="autoZero"/>
        <c:crossBetween val="midCat"/>
      </c:valAx>
    </c:plotArea>
    <c:legend>
      <c:legendPos val="b"/>
      <c:overlay val="0"/>
    </c:legend>
    <c:plotVisOnly val="1"/>
    <c:dispBlanksAs val="gap"/>
    <c:showDLblsOverMax val="0"/>
  </c:chart>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AOQ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2"/>
          <c:order val="0"/>
          <c:tx>
            <c:strRef>
              <c:f>'13MA'!$E$35</c:f>
              <c:strCache>
                <c:ptCount val="1"/>
                <c:pt idx="0">
                  <c:v>AOQ</c:v>
                </c:pt>
              </c:strCache>
            </c:strRef>
          </c:tx>
          <c:spPr>
            <a:ln w="19050" cap="rnd">
              <a:solidFill>
                <a:schemeClr val="accent3"/>
              </a:solidFill>
              <a:round/>
            </a:ln>
            <a:effectLst/>
          </c:spPr>
          <c:marker>
            <c:symbol val="none"/>
          </c:marker>
          <c:xVal>
            <c:numRef>
              <c:f>'13MA'!$B$36:$B$50</c:f>
              <c:numCache>
                <c:formatCode>General</c:formatCode>
                <c:ptCount val="15"/>
                <c:pt idx="0">
                  <c:v>5.0000000000000001E-3</c:v>
                </c:pt>
                <c:pt idx="1">
                  <c:v>0.01</c:v>
                </c:pt>
                <c:pt idx="2">
                  <c:v>1.4999999999999999E-2</c:v>
                </c:pt>
                <c:pt idx="3">
                  <c:v>0.02</c:v>
                </c:pt>
                <c:pt idx="4">
                  <c:v>2.5000000000000001E-2</c:v>
                </c:pt>
                <c:pt idx="5">
                  <c:v>0.03</c:v>
                </c:pt>
                <c:pt idx="6">
                  <c:v>3.5000000000000003E-2</c:v>
                </c:pt>
                <c:pt idx="7">
                  <c:v>0.04</c:v>
                </c:pt>
                <c:pt idx="8">
                  <c:v>4.4999999999999998E-2</c:v>
                </c:pt>
                <c:pt idx="9">
                  <c:v>0.05</c:v>
                </c:pt>
                <c:pt idx="10">
                  <c:v>5.5E-2</c:v>
                </c:pt>
                <c:pt idx="11">
                  <c:v>0.06</c:v>
                </c:pt>
                <c:pt idx="12">
                  <c:v>6.5000000000000002E-2</c:v>
                </c:pt>
                <c:pt idx="13">
                  <c:v>7.0000000000000007E-2</c:v>
                </c:pt>
                <c:pt idx="14">
                  <c:v>7.4999999999999997E-2</c:v>
                </c:pt>
              </c:numCache>
            </c:numRef>
          </c:xVal>
          <c:yVal>
            <c:numRef>
              <c:f>'13MA'!$E$36:$E$50</c:f>
              <c:numCache>
                <c:formatCode>0.000</c:formatCode>
                <c:ptCount val="15"/>
                <c:pt idx="0">
                  <c:v>4.9886346604952362E-3</c:v>
                </c:pt>
                <c:pt idx="1">
                  <c:v>9.502240589406805E-3</c:v>
                </c:pt>
                <c:pt idx="2">
                  <c:v>1.1974053016667836E-2</c:v>
                </c:pt>
                <c:pt idx="3">
                  <c:v>1.1548373832340926E-2</c:v>
                </c:pt>
                <c:pt idx="4">
                  <c:v>9.1354242400943884E-3</c:v>
                </c:pt>
                <c:pt idx="5">
                  <c:v>6.2192870547103296E-3</c:v>
                </c:pt>
                <c:pt idx="6">
                  <c:v>3.7707231973759278E-3</c:v>
                </c:pt>
                <c:pt idx="7">
                  <c:v>2.0866208016862265E-3</c:v>
                </c:pt>
                <c:pt idx="8">
                  <c:v>1.0729163196863099E-3</c:v>
                </c:pt>
                <c:pt idx="9">
                  <c:v>5.1947669893451784E-4</c:v>
                </c:pt>
                <c:pt idx="10">
                  <c:v>2.3923533405937448E-4</c:v>
                </c:pt>
                <c:pt idx="11">
                  <c:v>1.0561670815813409E-4</c:v>
                </c:pt>
                <c:pt idx="12">
                  <c:v>4.49734633351552E-5</c:v>
                </c:pt>
                <c:pt idx="13">
                  <c:v>1.8562268691920577E-5</c:v>
                </c:pt>
                <c:pt idx="14">
                  <c:v>7.4557083088858793E-6</c:v>
                </c:pt>
              </c:numCache>
            </c:numRef>
          </c:yVal>
          <c:smooth val="1"/>
          <c:extLst>
            <c:ext xmlns:c16="http://schemas.microsoft.com/office/drawing/2014/chart" uri="{C3380CC4-5D6E-409C-BE32-E72D297353CC}">
              <c16:uniqueId val="{00000002-3AEB-B547-971F-D79CF3BA4628}"/>
            </c:ext>
          </c:extLst>
        </c:ser>
        <c:dLbls>
          <c:showLegendKey val="0"/>
          <c:showVal val="0"/>
          <c:showCatName val="0"/>
          <c:showSerName val="0"/>
          <c:showPercent val="0"/>
          <c:showBubbleSize val="0"/>
        </c:dLbls>
        <c:axId val="433692528"/>
        <c:axId val="433694176"/>
      </c:scatterChart>
      <c:valAx>
        <c:axId val="433692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433694176"/>
        <c:crosses val="autoZero"/>
        <c:crossBetween val="midCat"/>
      </c:valAx>
      <c:valAx>
        <c:axId val="43369417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43369252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OC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1"/>
          <c:order val="0"/>
          <c:tx>
            <c:strRef>
              <c:f>'13MA'!$D$35</c:f>
              <c:strCache>
                <c:ptCount val="1"/>
                <c:pt idx="0">
                  <c:v>PA</c:v>
                </c:pt>
              </c:strCache>
            </c:strRef>
          </c:tx>
          <c:spPr>
            <a:ln w="19050" cap="rnd">
              <a:solidFill>
                <a:schemeClr val="accent2"/>
              </a:solidFill>
              <a:round/>
            </a:ln>
            <a:effectLst/>
          </c:spPr>
          <c:marker>
            <c:symbol val="none"/>
          </c:marker>
          <c:xVal>
            <c:numRef>
              <c:f>'13MA'!$B$36:$B$50</c:f>
              <c:numCache>
                <c:formatCode>General</c:formatCode>
                <c:ptCount val="15"/>
                <c:pt idx="0">
                  <c:v>5.0000000000000001E-3</c:v>
                </c:pt>
                <c:pt idx="1">
                  <c:v>0.01</c:v>
                </c:pt>
                <c:pt idx="2">
                  <c:v>1.4999999999999999E-2</c:v>
                </c:pt>
                <c:pt idx="3">
                  <c:v>0.02</c:v>
                </c:pt>
                <c:pt idx="4">
                  <c:v>2.5000000000000001E-2</c:v>
                </c:pt>
                <c:pt idx="5">
                  <c:v>0.03</c:v>
                </c:pt>
                <c:pt idx="6">
                  <c:v>3.5000000000000003E-2</c:v>
                </c:pt>
                <c:pt idx="7">
                  <c:v>0.04</c:v>
                </c:pt>
                <c:pt idx="8">
                  <c:v>4.4999999999999998E-2</c:v>
                </c:pt>
                <c:pt idx="9">
                  <c:v>0.05</c:v>
                </c:pt>
                <c:pt idx="10">
                  <c:v>5.5E-2</c:v>
                </c:pt>
                <c:pt idx="11">
                  <c:v>0.06</c:v>
                </c:pt>
                <c:pt idx="12">
                  <c:v>6.5000000000000002E-2</c:v>
                </c:pt>
                <c:pt idx="13">
                  <c:v>7.0000000000000007E-2</c:v>
                </c:pt>
                <c:pt idx="14">
                  <c:v>7.4999999999999997E-2</c:v>
                </c:pt>
              </c:numCache>
            </c:numRef>
          </c:xVal>
          <c:yVal>
            <c:numRef>
              <c:f>'13MA'!$D$36:$D$50</c:f>
              <c:numCache>
                <c:formatCode>0.00%</c:formatCode>
                <c:ptCount val="15"/>
                <c:pt idx="0">
                  <c:v>0.99772693209904717</c:v>
                </c:pt>
                <c:pt idx="1">
                  <c:v>0.95022405894068052</c:v>
                </c:pt>
                <c:pt idx="2">
                  <c:v>0.79827020111118907</c:v>
                </c:pt>
                <c:pt idx="3">
                  <c:v>0.57741869161704629</c:v>
                </c:pt>
                <c:pt idx="4">
                  <c:v>0.36541696960377551</c:v>
                </c:pt>
                <c:pt idx="5">
                  <c:v>0.20730956849034432</c:v>
                </c:pt>
                <c:pt idx="6">
                  <c:v>0.10773494849645507</c:v>
                </c:pt>
                <c:pt idx="7">
                  <c:v>5.2165520042155661E-2</c:v>
                </c:pt>
                <c:pt idx="8">
                  <c:v>2.3842584881917997E-2</c:v>
                </c:pt>
                <c:pt idx="9">
                  <c:v>1.0389533978690357E-2</c:v>
                </c:pt>
                <c:pt idx="10">
                  <c:v>4.3497333465340815E-3</c:v>
                </c:pt>
                <c:pt idx="11">
                  <c:v>1.7602784693022348E-3</c:v>
                </c:pt>
                <c:pt idx="12">
                  <c:v>6.9189943592546461E-4</c:v>
                </c:pt>
                <c:pt idx="13">
                  <c:v>2.6517526702743676E-4</c:v>
                </c:pt>
                <c:pt idx="14">
                  <c:v>9.9409444118478399E-5</c:v>
                </c:pt>
              </c:numCache>
            </c:numRef>
          </c:yVal>
          <c:smooth val="1"/>
          <c:extLst>
            <c:ext xmlns:c16="http://schemas.microsoft.com/office/drawing/2014/chart" uri="{C3380CC4-5D6E-409C-BE32-E72D297353CC}">
              <c16:uniqueId val="{00000001-A7E5-D046-930F-765378F02405}"/>
            </c:ext>
          </c:extLst>
        </c:ser>
        <c:dLbls>
          <c:showLegendKey val="0"/>
          <c:showVal val="0"/>
          <c:showCatName val="0"/>
          <c:showSerName val="0"/>
          <c:showPercent val="0"/>
          <c:showBubbleSize val="0"/>
        </c:dLbls>
        <c:axId val="447541152"/>
        <c:axId val="447509888"/>
      </c:scatterChart>
      <c:valAx>
        <c:axId val="447541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447509888"/>
        <c:crosses val="autoZero"/>
        <c:crossBetween val="midCat"/>
      </c:valAx>
      <c:valAx>
        <c:axId val="4475098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4475411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AOQ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0"/>
          <c:order val="0"/>
          <c:tx>
            <c:strRef>
              <c:f>'1MA'!$D$28</c:f>
              <c:strCache>
                <c:ptCount val="1"/>
                <c:pt idx="0">
                  <c:v>AOQ</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'1MA'!$C$29:$C$36</c:f>
              <c:numCache>
                <c:formatCode>General</c:formatCode>
                <c:ptCount val="8"/>
                <c:pt idx="0">
                  <c:v>0.01</c:v>
                </c:pt>
                <c:pt idx="1">
                  <c:v>0.02</c:v>
                </c:pt>
                <c:pt idx="2">
                  <c:v>0.03</c:v>
                </c:pt>
                <c:pt idx="3">
                  <c:v>0.04</c:v>
                </c:pt>
                <c:pt idx="4">
                  <c:v>0.05</c:v>
                </c:pt>
                <c:pt idx="5">
                  <c:v>0.06</c:v>
                </c:pt>
                <c:pt idx="6">
                  <c:v>7.0000000000000007E-2</c:v>
                </c:pt>
                <c:pt idx="7">
                  <c:v>0.08</c:v>
                </c:pt>
              </c:numCache>
            </c:numRef>
          </c:xVal>
          <c:yVal>
            <c:numRef>
              <c:f>'1MA'!$D$29:$D$36</c:f>
              <c:numCache>
                <c:formatCode>General</c:formatCode>
                <c:ptCount val="8"/>
                <c:pt idx="0">
                  <c:v>9.980000000000001E-3</c:v>
                </c:pt>
                <c:pt idx="1">
                  <c:v>1.9019999999999999E-2</c:v>
                </c:pt>
                <c:pt idx="2">
                  <c:v>2.4E-2</c:v>
                </c:pt>
                <c:pt idx="3">
                  <c:v>2.324E-2</c:v>
                </c:pt>
                <c:pt idx="4">
                  <c:v>1.8450000000000001E-2</c:v>
                </c:pt>
                <c:pt idx="5">
                  <c:v>1.2599999999999998E-2</c:v>
                </c:pt>
                <c:pt idx="6">
                  <c:v>7.7000000000000011E-3</c:v>
                </c:pt>
                <c:pt idx="7">
                  <c:v>4.2399999999999998E-3</c:v>
                </c:pt>
              </c:numCache>
            </c:numRef>
          </c:yVal>
          <c:smooth val="1"/>
          <c:extLst>
            <c:ext xmlns:c16="http://schemas.microsoft.com/office/drawing/2014/chart" uri="{C3380CC4-5D6E-409C-BE32-E72D297353CC}">
              <c16:uniqueId val="{00000000-80FF-C843-97BC-857C57D7CBBE}"/>
            </c:ext>
          </c:extLst>
        </c:ser>
        <c:dLbls>
          <c:showLegendKey val="0"/>
          <c:showVal val="0"/>
          <c:showCatName val="0"/>
          <c:showSerName val="0"/>
          <c:showPercent val="0"/>
          <c:showBubbleSize val="0"/>
        </c:dLbls>
        <c:axId val="742285039"/>
        <c:axId val="700616639"/>
      </c:scatterChart>
      <c:valAx>
        <c:axId val="7422850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00616639"/>
        <c:crosses val="autoZero"/>
        <c:crossBetween val="midCat"/>
      </c:valAx>
      <c:valAx>
        <c:axId val="7006166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422850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rPr>
              <a:t>OC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1"/>
          <c:order val="0"/>
          <c:tx>
            <c:strRef>
              <c:f>'14MA'!$D$3</c:f>
              <c:strCache>
                <c:ptCount val="1"/>
                <c:pt idx="0">
                  <c:v>PA</c:v>
                </c:pt>
              </c:strCache>
            </c:strRef>
          </c:tx>
          <c:spPr>
            <a:ln w="19050" cap="rnd">
              <a:solidFill>
                <a:schemeClr val="accent2"/>
              </a:solidFill>
              <a:round/>
            </a:ln>
            <a:effectLst/>
          </c:spPr>
          <c:marker>
            <c:symbol val="none"/>
          </c:marker>
          <c:xVal>
            <c:numRef>
              <c:f>'14MA'!$B$4:$B$10</c:f>
              <c:numCache>
                <c:formatCode>General</c:formatCode>
                <c:ptCount val="7"/>
                <c:pt idx="0">
                  <c:v>5.0000000000000001E-3</c:v>
                </c:pt>
                <c:pt idx="1">
                  <c:v>0.01</c:v>
                </c:pt>
                <c:pt idx="2">
                  <c:v>0.02</c:v>
                </c:pt>
                <c:pt idx="3">
                  <c:v>0.03</c:v>
                </c:pt>
                <c:pt idx="4">
                  <c:v>0.04</c:v>
                </c:pt>
                <c:pt idx="5">
                  <c:v>0.05</c:v>
                </c:pt>
                <c:pt idx="6">
                  <c:v>0.06</c:v>
                </c:pt>
              </c:numCache>
            </c:numRef>
          </c:xVal>
          <c:yVal>
            <c:numRef>
              <c:f>'14MA'!$D$4:$D$10</c:f>
              <c:numCache>
                <c:formatCode>0.000</c:formatCode>
                <c:ptCount val="7"/>
                <c:pt idx="0">
                  <c:v>0.98101184312384615</c:v>
                </c:pt>
                <c:pt idx="1">
                  <c:v>0.85712346049854693</c:v>
                </c:pt>
                <c:pt idx="2">
                  <c:v>0.43347012036670896</c:v>
                </c:pt>
                <c:pt idx="3">
                  <c:v>0.15120388277664787</c:v>
                </c:pt>
                <c:pt idx="4">
                  <c:v>4.2380111991683997E-2</c:v>
                </c:pt>
                <c:pt idx="5">
                  <c:v>1.0336050675925718E-2</c:v>
                </c:pt>
                <c:pt idx="6">
                  <c:v>2.2917912077914221E-3</c:v>
                </c:pt>
              </c:numCache>
            </c:numRef>
          </c:yVal>
          <c:smooth val="1"/>
          <c:extLst>
            <c:ext xmlns:c16="http://schemas.microsoft.com/office/drawing/2014/chart" uri="{C3380CC4-5D6E-409C-BE32-E72D297353CC}">
              <c16:uniqueId val="{00000001-318E-BA44-B0D3-6A85855D7BBB}"/>
            </c:ext>
          </c:extLst>
        </c:ser>
        <c:dLbls>
          <c:showLegendKey val="0"/>
          <c:showVal val="0"/>
          <c:showCatName val="0"/>
          <c:showSerName val="0"/>
          <c:showPercent val="0"/>
          <c:showBubbleSize val="0"/>
        </c:dLbls>
        <c:axId val="919834127"/>
        <c:axId val="920369375"/>
      </c:scatterChart>
      <c:valAx>
        <c:axId val="9198341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20369375"/>
        <c:crosses val="autoZero"/>
        <c:crossBetween val="midCat"/>
      </c:valAx>
      <c:valAx>
        <c:axId val="920369375"/>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198341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rPr>
              <a:t>AOQ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2"/>
          <c:order val="0"/>
          <c:tx>
            <c:strRef>
              <c:f>'14MA'!$E$3</c:f>
              <c:strCache>
                <c:ptCount val="1"/>
                <c:pt idx="0">
                  <c:v>AOQ</c:v>
                </c:pt>
              </c:strCache>
            </c:strRef>
          </c:tx>
          <c:spPr>
            <a:ln w="19050" cap="rnd">
              <a:solidFill>
                <a:schemeClr val="accent3"/>
              </a:solidFill>
              <a:round/>
            </a:ln>
            <a:effectLst/>
          </c:spPr>
          <c:marker>
            <c:symbol val="none"/>
          </c:marker>
          <c:xVal>
            <c:numRef>
              <c:f>'14MA'!$B$4:$B$10</c:f>
              <c:numCache>
                <c:formatCode>General</c:formatCode>
                <c:ptCount val="7"/>
                <c:pt idx="0">
                  <c:v>5.0000000000000001E-3</c:v>
                </c:pt>
                <c:pt idx="1">
                  <c:v>0.01</c:v>
                </c:pt>
                <c:pt idx="2">
                  <c:v>0.02</c:v>
                </c:pt>
                <c:pt idx="3">
                  <c:v>0.03</c:v>
                </c:pt>
                <c:pt idx="4">
                  <c:v>0.04</c:v>
                </c:pt>
                <c:pt idx="5">
                  <c:v>0.05</c:v>
                </c:pt>
                <c:pt idx="6">
                  <c:v>0.06</c:v>
                </c:pt>
              </c:numCache>
            </c:numRef>
          </c:xVal>
          <c:yVal>
            <c:numRef>
              <c:f>'14MA'!$E$4:$E$10</c:f>
              <c:numCache>
                <c:formatCode>0.0000</c:formatCode>
                <c:ptCount val="7"/>
                <c:pt idx="0">
                  <c:v>4.9050592156192306E-3</c:v>
                </c:pt>
                <c:pt idx="1">
                  <c:v>8.5712346049854702E-3</c:v>
                </c:pt>
                <c:pt idx="2">
                  <c:v>8.6694024073341799E-3</c:v>
                </c:pt>
                <c:pt idx="3">
                  <c:v>4.5361164832994358E-3</c:v>
                </c:pt>
                <c:pt idx="4">
                  <c:v>1.6952044796673599E-3</c:v>
                </c:pt>
                <c:pt idx="5">
                  <c:v>5.1680253379628594E-4</c:v>
                </c:pt>
                <c:pt idx="6">
                  <c:v>1.3750747246748531E-4</c:v>
                </c:pt>
              </c:numCache>
            </c:numRef>
          </c:yVal>
          <c:smooth val="1"/>
          <c:extLst>
            <c:ext xmlns:c16="http://schemas.microsoft.com/office/drawing/2014/chart" uri="{C3380CC4-5D6E-409C-BE32-E72D297353CC}">
              <c16:uniqueId val="{00000002-438E-594D-81CE-C637AA93226E}"/>
            </c:ext>
          </c:extLst>
        </c:ser>
        <c:dLbls>
          <c:showLegendKey val="0"/>
          <c:showVal val="0"/>
          <c:showCatName val="0"/>
          <c:showSerName val="0"/>
          <c:showPercent val="0"/>
          <c:showBubbleSize val="0"/>
        </c:dLbls>
        <c:axId val="856237887"/>
        <c:axId val="855893295"/>
      </c:scatterChart>
      <c:valAx>
        <c:axId val="8562378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55893295"/>
        <c:crosses val="autoZero"/>
        <c:crossBetween val="midCat"/>
      </c:valAx>
      <c:valAx>
        <c:axId val="855893295"/>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5623788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OC</a:t>
            </a:r>
          </a:p>
        </c:rich>
      </c:tx>
      <c:overlay val="0"/>
    </c:title>
    <c:autoTitleDeleted val="0"/>
    <c:plotArea>
      <c:layout/>
      <c:scatterChart>
        <c:scatterStyle val="smoothMarker"/>
        <c:varyColors val="0"/>
        <c:ser>
          <c:idx val="0"/>
          <c:order val="0"/>
          <c:tx>
            <c:strRef>
              <c:f>'15MA'!$E$33</c:f>
              <c:strCache>
                <c:ptCount val="1"/>
                <c:pt idx="0">
                  <c:v>p</c:v>
                </c:pt>
              </c:strCache>
            </c:strRef>
          </c:tx>
          <c:xVal>
            <c:numRef>
              <c:f>'15MA'!$E$34:$E$44</c:f>
              <c:numCache>
                <c:formatCode>General</c:formatCode>
                <c:ptCount val="11"/>
                <c:pt idx="0">
                  <c:v>5.0000000000000001E-3</c:v>
                </c:pt>
                <c:pt idx="1">
                  <c:v>0.01</c:v>
                </c:pt>
                <c:pt idx="2">
                  <c:v>1.4999999999999999E-2</c:v>
                </c:pt>
                <c:pt idx="3">
                  <c:v>0.02</c:v>
                </c:pt>
                <c:pt idx="4">
                  <c:v>2.5000000000000001E-2</c:v>
                </c:pt>
                <c:pt idx="5">
                  <c:v>0.03</c:v>
                </c:pt>
                <c:pt idx="6">
                  <c:v>3.5000000000000003E-2</c:v>
                </c:pt>
                <c:pt idx="7">
                  <c:v>0.04</c:v>
                </c:pt>
                <c:pt idx="8">
                  <c:v>4.4999999999999998E-2</c:v>
                </c:pt>
                <c:pt idx="9">
                  <c:v>0.05</c:v>
                </c:pt>
                <c:pt idx="10">
                  <c:v>5.5E-2</c:v>
                </c:pt>
              </c:numCache>
            </c:numRef>
          </c:xVal>
          <c:yVal>
            <c:numRef>
              <c:f>'15MA'!$D$34:$D$44</c:f>
              <c:numCache>
                <c:formatCode>0.00%</c:formatCode>
                <c:ptCount val="11"/>
                <c:pt idx="0">
                  <c:v>0.99999999905172021</c:v>
                </c:pt>
                <c:pt idx="1">
                  <c:v>0.99997276845186089</c:v>
                </c:pt>
                <c:pt idx="2">
                  <c:v>0.99656495544744761</c:v>
                </c:pt>
                <c:pt idx="3">
                  <c:v>0.95130875403246273</c:v>
                </c:pt>
                <c:pt idx="4">
                  <c:v>0.78246398817613283</c:v>
                </c:pt>
                <c:pt idx="5">
                  <c:v>0.50627019176714116</c:v>
                </c:pt>
                <c:pt idx="6">
                  <c:v>0.25206683246928901</c:v>
                </c:pt>
                <c:pt idx="7">
                  <c:v>9.8532869307845466E-2</c:v>
                </c:pt>
                <c:pt idx="8">
                  <c:v>3.1227492437460112E-2</c:v>
                </c:pt>
                <c:pt idx="9">
                  <c:v>8.2794440562776565E-3</c:v>
                </c:pt>
                <c:pt idx="10">
                  <c:v>0</c:v>
                </c:pt>
              </c:numCache>
            </c:numRef>
          </c:yVal>
          <c:smooth val="1"/>
          <c:extLst>
            <c:ext xmlns:c16="http://schemas.microsoft.com/office/drawing/2014/chart" uri="{C3380CC4-5D6E-409C-BE32-E72D297353CC}">
              <c16:uniqueId val="{00000000-A748-A943-988B-311C731902EA}"/>
            </c:ext>
          </c:extLst>
        </c:ser>
        <c:dLbls>
          <c:showLegendKey val="0"/>
          <c:showVal val="0"/>
          <c:showCatName val="0"/>
          <c:showSerName val="0"/>
          <c:showPercent val="0"/>
          <c:showBubbleSize val="0"/>
        </c:dLbls>
        <c:axId val="2027709576"/>
        <c:axId val="2027712712"/>
      </c:scatterChart>
      <c:valAx>
        <c:axId val="2027709576"/>
        <c:scaling>
          <c:orientation val="minMax"/>
        </c:scaling>
        <c:delete val="0"/>
        <c:axPos val="b"/>
        <c:numFmt formatCode="General" sourceLinked="1"/>
        <c:majorTickMark val="out"/>
        <c:minorTickMark val="none"/>
        <c:tickLblPos val="nextTo"/>
        <c:crossAx val="2027712712"/>
        <c:crosses val="autoZero"/>
        <c:crossBetween val="midCat"/>
      </c:valAx>
      <c:valAx>
        <c:axId val="2027712712"/>
        <c:scaling>
          <c:orientation val="minMax"/>
        </c:scaling>
        <c:delete val="0"/>
        <c:axPos val="l"/>
        <c:majorGridlines/>
        <c:numFmt formatCode="0.00%" sourceLinked="1"/>
        <c:majorTickMark val="out"/>
        <c:minorTickMark val="none"/>
        <c:tickLblPos val="nextTo"/>
        <c:crossAx val="2027709576"/>
        <c:crosses val="autoZero"/>
        <c:crossBetween val="midCat"/>
      </c:valAx>
    </c:plotArea>
    <c:plotVisOnly val="1"/>
    <c:dispBlanksAs val="gap"/>
    <c:showDLblsOverMax val="0"/>
  </c:chart>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chemeClr val="tx1"/>
                </a:solidFill>
              </a:rPr>
              <a:t>AOQ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0"/>
          <c:order val="0"/>
          <c:tx>
            <c:strRef>
              <c:f>'15MA'!$F$33</c:f>
              <c:strCache>
                <c:ptCount val="1"/>
                <c:pt idx="0">
                  <c:v>AOQ</c:v>
                </c:pt>
              </c:strCache>
            </c:strRef>
          </c:tx>
          <c:spPr>
            <a:ln w="19050" cap="rnd">
              <a:solidFill>
                <a:schemeClr val="accent1"/>
              </a:solidFill>
              <a:round/>
            </a:ln>
            <a:effectLst/>
          </c:spPr>
          <c:marker>
            <c:symbol val="none"/>
          </c:marker>
          <c:xVal>
            <c:numRef>
              <c:f>'15MA'!$E$34:$E$44</c:f>
              <c:numCache>
                <c:formatCode>General</c:formatCode>
                <c:ptCount val="11"/>
                <c:pt idx="0">
                  <c:v>5.0000000000000001E-3</c:v>
                </c:pt>
                <c:pt idx="1">
                  <c:v>0.01</c:v>
                </c:pt>
                <c:pt idx="2">
                  <c:v>1.4999999999999999E-2</c:v>
                </c:pt>
                <c:pt idx="3">
                  <c:v>0.02</c:v>
                </c:pt>
                <c:pt idx="4">
                  <c:v>2.5000000000000001E-2</c:v>
                </c:pt>
                <c:pt idx="5">
                  <c:v>0.03</c:v>
                </c:pt>
                <c:pt idx="6">
                  <c:v>3.5000000000000003E-2</c:v>
                </c:pt>
                <c:pt idx="7">
                  <c:v>0.04</c:v>
                </c:pt>
                <c:pt idx="8">
                  <c:v>4.4999999999999998E-2</c:v>
                </c:pt>
                <c:pt idx="9">
                  <c:v>0.05</c:v>
                </c:pt>
                <c:pt idx="10">
                  <c:v>5.5E-2</c:v>
                </c:pt>
              </c:numCache>
            </c:numRef>
          </c:xVal>
          <c:yVal>
            <c:numRef>
              <c:f>'15MA'!$F$34:$F$44</c:f>
              <c:numCache>
                <c:formatCode>General</c:formatCode>
                <c:ptCount val="11"/>
                <c:pt idx="1">
                  <c:v>9.9997276845186084E-3</c:v>
                </c:pt>
                <c:pt idx="2">
                  <c:v>1.4948474331711713E-2</c:v>
                </c:pt>
                <c:pt idx="3">
                  <c:v>1.9026175080649254E-2</c:v>
                </c:pt>
                <c:pt idx="4">
                  <c:v>1.9561599704403323E-2</c:v>
                </c:pt>
                <c:pt idx="5">
                  <c:v>1.5188105753014235E-2</c:v>
                </c:pt>
                <c:pt idx="6">
                  <c:v>8.8223391364251162E-3</c:v>
                </c:pt>
                <c:pt idx="7">
                  <c:v>3.9413147723138184E-3</c:v>
                </c:pt>
                <c:pt idx="8">
                  <c:v>1.4052371596857049E-3</c:v>
                </c:pt>
                <c:pt idx="9">
                  <c:v>4.1397220281388285E-4</c:v>
                </c:pt>
                <c:pt idx="10">
                  <c:v>0</c:v>
                </c:pt>
              </c:numCache>
            </c:numRef>
          </c:yVal>
          <c:smooth val="1"/>
          <c:extLst>
            <c:ext xmlns:c16="http://schemas.microsoft.com/office/drawing/2014/chart" uri="{C3380CC4-5D6E-409C-BE32-E72D297353CC}">
              <c16:uniqueId val="{00000000-3B9F-6642-AA4D-BCFBE087D060}"/>
            </c:ext>
          </c:extLst>
        </c:ser>
        <c:dLbls>
          <c:showLegendKey val="0"/>
          <c:showVal val="0"/>
          <c:showCatName val="0"/>
          <c:showSerName val="0"/>
          <c:showPercent val="0"/>
          <c:showBubbleSize val="0"/>
        </c:dLbls>
        <c:axId val="921229343"/>
        <c:axId val="918037711"/>
      </c:scatterChart>
      <c:valAx>
        <c:axId val="9212293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18037711"/>
        <c:crosses val="autoZero"/>
        <c:crossBetween val="midCat"/>
      </c:valAx>
      <c:valAx>
        <c:axId val="918037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2122934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Curvas OC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0"/>
          <c:order val="0"/>
          <c:tx>
            <c:strRef>
              <c:f>'16MA'!$M$19</c:f>
              <c:strCache>
                <c:ptCount val="1"/>
                <c:pt idx="0">
                  <c:v>PA-Plan propuesto</c:v>
                </c:pt>
              </c:strCache>
            </c:strRef>
          </c:tx>
          <c:spPr>
            <a:ln w="19050" cap="rnd">
              <a:solidFill>
                <a:schemeClr val="accent1"/>
              </a:solidFill>
              <a:round/>
            </a:ln>
            <a:effectLst/>
          </c:spPr>
          <c:marker>
            <c:symbol val="none"/>
          </c:marker>
          <c:xVal>
            <c:numRef>
              <c:f>'16MA'!$L$20:$L$29</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'16MA'!$M$20:$M$29</c:f>
              <c:numCache>
                <c:formatCode>0.000</c:formatCode>
                <c:ptCount val="10"/>
                <c:pt idx="0">
                  <c:v>0.95949456025518609</c:v>
                </c:pt>
                <c:pt idx="1">
                  <c:v>0.80884683053805806</c:v>
                </c:pt>
                <c:pt idx="2">
                  <c:v>0.60933926699827801</c:v>
                </c:pt>
                <c:pt idx="3">
                  <c:v>0.42319008112684342</c:v>
                </c:pt>
                <c:pt idx="4">
                  <c:v>0.27706844336610731</c:v>
                </c:pt>
                <c:pt idx="5">
                  <c:v>0.17357807091003602</c:v>
                </c:pt>
                <c:pt idx="6">
                  <c:v>0.10511435293360204</c:v>
                </c:pt>
                <c:pt idx="7">
                  <c:v>6.196880441665896E-2</c:v>
                </c:pt>
                <c:pt idx="8">
                  <c:v>3.5748418422280541E-2</c:v>
                </c:pt>
                <c:pt idx="9">
                  <c:v>2.0256715056664407E-2</c:v>
                </c:pt>
              </c:numCache>
            </c:numRef>
          </c:yVal>
          <c:smooth val="1"/>
          <c:extLst>
            <c:ext xmlns:c16="http://schemas.microsoft.com/office/drawing/2014/chart" uri="{C3380CC4-5D6E-409C-BE32-E72D297353CC}">
              <c16:uniqueId val="{00000000-76C8-A444-BB90-63A9157083F6}"/>
            </c:ext>
          </c:extLst>
        </c:ser>
        <c:ser>
          <c:idx val="1"/>
          <c:order val="1"/>
          <c:tx>
            <c:strRef>
              <c:f>'16MA'!$N$19</c:f>
              <c:strCache>
                <c:ptCount val="1"/>
                <c:pt idx="0">
                  <c:v>PA- Tabla militar</c:v>
                </c:pt>
              </c:strCache>
            </c:strRef>
          </c:tx>
          <c:spPr>
            <a:ln w="19050" cap="rnd">
              <a:solidFill>
                <a:schemeClr val="accent2"/>
              </a:solidFill>
              <a:round/>
            </a:ln>
            <a:effectLst/>
          </c:spPr>
          <c:marker>
            <c:symbol val="none"/>
          </c:marker>
          <c:xVal>
            <c:numRef>
              <c:f>'16MA'!$L$20:$L$29</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'16MA'!$N$20:$N$29</c:f>
              <c:numCache>
                <c:formatCode>0.000</c:formatCode>
                <c:ptCount val="10"/>
                <c:pt idx="0">
                  <c:v>0.99981565747879597</c:v>
                </c:pt>
                <c:pt idx="1">
                  <c:v>0.99395970888841867</c:v>
                </c:pt>
                <c:pt idx="2">
                  <c:v>0.964327489004697</c:v>
                </c:pt>
                <c:pt idx="3">
                  <c:v>0.89459189453082255</c:v>
                </c:pt>
                <c:pt idx="4">
                  <c:v>0.78513038703040516</c:v>
                </c:pt>
                <c:pt idx="5">
                  <c:v>0.65100643726949159</c:v>
                </c:pt>
                <c:pt idx="6">
                  <c:v>0.51186093837550306</c:v>
                </c:pt>
                <c:pt idx="7">
                  <c:v>0.38374366179580321</c:v>
                </c:pt>
                <c:pt idx="8">
                  <c:v>0.2758974527265533</c:v>
                </c:pt>
                <c:pt idx="9">
                  <c:v>0.19123606207962526</c:v>
                </c:pt>
              </c:numCache>
            </c:numRef>
          </c:yVal>
          <c:smooth val="1"/>
          <c:extLst>
            <c:ext xmlns:c16="http://schemas.microsoft.com/office/drawing/2014/chart" uri="{C3380CC4-5D6E-409C-BE32-E72D297353CC}">
              <c16:uniqueId val="{00000001-76C8-A444-BB90-63A9157083F6}"/>
            </c:ext>
          </c:extLst>
        </c:ser>
        <c:dLbls>
          <c:showLegendKey val="0"/>
          <c:showVal val="0"/>
          <c:showCatName val="0"/>
          <c:showSerName val="0"/>
          <c:showPercent val="0"/>
          <c:showBubbleSize val="0"/>
        </c:dLbls>
        <c:axId val="856352255"/>
        <c:axId val="920906463"/>
      </c:scatterChart>
      <c:valAx>
        <c:axId val="8563522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20906463"/>
        <c:crosses val="autoZero"/>
        <c:crossBetween val="midCat"/>
      </c:valAx>
      <c:valAx>
        <c:axId val="92090646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5635225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Curvas AOQ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2"/>
          <c:order val="0"/>
          <c:tx>
            <c:strRef>
              <c:f>'16MA'!$O$19</c:f>
              <c:strCache>
                <c:ptCount val="1"/>
                <c:pt idx="0">
                  <c:v>AOQ-Plan propuesto</c:v>
                </c:pt>
              </c:strCache>
            </c:strRef>
          </c:tx>
          <c:spPr>
            <a:ln w="19050" cap="rnd">
              <a:solidFill>
                <a:schemeClr val="accent3"/>
              </a:solidFill>
              <a:round/>
            </a:ln>
            <a:effectLst/>
          </c:spPr>
          <c:marker>
            <c:symbol val="none"/>
          </c:marker>
          <c:xVal>
            <c:numRef>
              <c:f>'16MA'!$L$20:$L$29</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'16MA'!$O$20:$O$29</c:f>
              <c:numCache>
                <c:formatCode>0.0000</c:formatCode>
                <c:ptCount val="10"/>
                <c:pt idx="0">
                  <c:v>9.5949456025518614E-3</c:v>
                </c:pt>
                <c:pt idx="1">
                  <c:v>1.617693661076116E-2</c:v>
                </c:pt>
                <c:pt idx="2">
                  <c:v>1.8280178009948338E-2</c:v>
                </c:pt>
                <c:pt idx="3">
                  <c:v>1.6927603245073738E-2</c:v>
                </c:pt>
                <c:pt idx="4">
                  <c:v>1.3853422168305367E-2</c:v>
                </c:pt>
                <c:pt idx="5">
                  <c:v>1.0414684254602161E-2</c:v>
                </c:pt>
                <c:pt idx="6">
                  <c:v>7.3580047053521435E-3</c:v>
                </c:pt>
                <c:pt idx="7">
                  <c:v>4.957504353332717E-3</c:v>
                </c:pt>
                <c:pt idx="8">
                  <c:v>3.2173576580052485E-3</c:v>
                </c:pt>
                <c:pt idx="9">
                  <c:v>2.0256715056664407E-3</c:v>
                </c:pt>
              </c:numCache>
            </c:numRef>
          </c:yVal>
          <c:smooth val="1"/>
          <c:extLst>
            <c:ext xmlns:c16="http://schemas.microsoft.com/office/drawing/2014/chart" uri="{C3380CC4-5D6E-409C-BE32-E72D297353CC}">
              <c16:uniqueId val="{00000002-48DA-984C-BC17-DE47FCAAF1ED}"/>
            </c:ext>
          </c:extLst>
        </c:ser>
        <c:ser>
          <c:idx val="3"/>
          <c:order val="1"/>
          <c:tx>
            <c:strRef>
              <c:f>'16MA'!$P$19</c:f>
              <c:strCache>
                <c:ptCount val="1"/>
                <c:pt idx="0">
                  <c:v>AOQ- Tabla militar</c:v>
                </c:pt>
              </c:strCache>
            </c:strRef>
          </c:tx>
          <c:spPr>
            <a:ln w="19050" cap="rnd">
              <a:solidFill>
                <a:schemeClr val="accent4"/>
              </a:solidFill>
              <a:round/>
            </a:ln>
            <a:effectLst/>
          </c:spPr>
          <c:marker>
            <c:symbol val="none"/>
          </c:marker>
          <c:xVal>
            <c:numRef>
              <c:f>'16MA'!$L$20:$L$29</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'16MA'!$P$20:$P$29</c:f>
              <c:numCache>
                <c:formatCode>0.0000</c:formatCode>
                <c:ptCount val="10"/>
                <c:pt idx="0">
                  <c:v>9.9981565747879596E-3</c:v>
                </c:pt>
                <c:pt idx="1">
                  <c:v>1.9879194177768372E-2</c:v>
                </c:pt>
                <c:pt idx="2">
                  <c:v>2.8929824670140908E-2</c:v>
                </c:pt>
                <c:pt idx="3">
                  <c:v>3.5783675781232906E-2</c:v>
                </c:pt>
                <c:pt idx="4">
                  <c:v>3.9256519351520261E-2</c:v>
                </c:pt>
                <c:pt idx="5">
                  <c:v>3.9060386236169496E-2</c:v>
                </c:pt>
                <c:pt idx="6">
                  <c:v>3.5830265686285216E-2</c:v>
                </c:pt>
                <c:pt idx="7">
                  <c:v>3.0699492943664256E-2</c:v>
                </c:pt>
                <c:pt idx="8">
                  <c:v>2.4830770745389797E-2</c:v>
                </c:pt>
                <c:pt idx="9">
                  <c:v>1.9123606207962527E-2</c:v>
                </c:pt>
              </c:numCache>
            </c:numRef>
          </c:yVal>
          <c:smooth val="1"/>
          <c:extLst>
            <c:ext xmlns:c16="http://schemas.microsoft.com/office/drawing/2014/chart" uri="{C3380CC4-5D6E-409C-BE32-E72D297353CC}">
              <c16:uniqueId val="{00000003-48DA-984C-BC17-DE47FCAAF1ED}"/>
            </c:ext>
          </c:extLst>
        </c:ser>
        <c:dLbls>
          <c:showLegendKey val="0"/>
          <c:showVal val="0"/>
          <c:showCatName val="0"/>
          <c:showSerName val="0"/>
          <c:showPercent val="0"/>
          <c:showBubbleSize val="0"/>
        </c:dLbls>
        <c:axId val="896448703"/>
        <c:axId val="512154751"/>
      </c:scatterChart>
      <c:valAx>
        <c:axId val="8964487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512154751"/>
        <c:crosses val="autoZero"/>
        <c:crossBetween val="midCat"/>
      </c:valAx>
      <c:valAx>
        <c:axId val="512154751"/>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9644870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AOQ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2"/>
          <c:order val="0"/>
          <c:tx>
            <c:strRef>
              <c:f>'18MA'!$E$13</c:f>
              <c:strCache>
                <c:ptCount val="1"/>
                <c:pt idx="0">
                  <c:v>AOQ</c:v>
                </c:pt>
              </c:strCache>
            </c:strRef>
          </c:tx>
          <c:spPr>
            <a:ln w="19050" cap="rnd">
              <a:solidFill>
                <a:schemeClr val="accent1">
                  <a:lumMod val="75000"/>
                </a:schemeClr>
              </a:solidFill>
              <a:round/>
            </a:ln>
            <a:effectLst/>
          </c:spPr>
          <c:marker>
            <c:symbol val="circle"/>
            <c:size val="5"/>
            <c:spPr>
              <a:solidFill>
                <a:schemeClr val="accent3"/>
              </a:solidFill>
              <a:ln w="9525">
                <a:solidFill>
                  <a:schemeClr val="accent3"/>
                </a:solidFill>
              </a:ln>
              <a:effectLst/>
            </c:spPr>
          </c:marker>
          <c:xVal>
            <c:numRef>
              <c:f>'18MA'!$B$14:$B$23</c:f>
              <c:numCache>
                <c:formatCode>General</c:formatCode>
                <c:ptCount val="10"/>
                <c:pt idx="0">
                  <c:v>5.0000000000000001E-3</c:v>
                </c:pt>
                <c:pt idx="1">
                  <c:v>0.01</c:v>
                </c:pt>
                <c:pt idx="2">
                  <c:v>1.4999999999999999E-2</c:v>
                </c:pt>
                <c:pt idx="3">
                  <c:v>0.02</c:v>
                </c:pt>
                <c:pt idx="4">
                  <c:v>2.5000000000000001E-2</c:v>
                </c:pt>
                <c:pt idx="5">
                  <c:v>0.03</c:v>
                </c:pt>
                <c:pt idx="6">
                  <c:v>3.5000000000000003E-2</c:v>
                </c:pt>
                <c:pt idx="7">
                  <c:v>0.04</c:v>
                </c:pt>
                <c:pt idx="8">
                  <c:v>4.4999999999999998E-2</c:v>
                </c:pt>
                <c:pt idx="9">
                  <c:v>0.05</c:v>
                </c:pt>
              </c:numCache>
            </c:numRef>
          </c:xVal>
          <c:yVal>
            <c:numRef>
              <c:f>'18MA'!$E$14:$E$23</c:f>
              <c:numCache>
                <c:formatCode>0.0000</c:formatCode>
                <c:ptCount val="10"/>
                <c:pt idx="0">
                  <c:v>4.9945164051607071E-3</c:v>
                </c:pt>
                <c:pt idx="1">
                  <c:v>9.4886638420715267E-3</c:v>
                </c:pt>
                <c:pt idx="2">
                  <c:v>1.1159696406805754E-2</c:v>
                </c:pt>
                <c:pt idx="3">
                  <c:v>9.0592161897398854E-3</c:v>
                </c:pt>
                <c:pt idx="4">
                  <c:v>5.5055161650424747E-3</c:v>
                </c:pt>
                <c:pt idx="5">
                  <c:v>2.6851349052052758E-3</c:v>
                </c:pt>
                <c:pt idx="6">
                  <c:v>1.1066879473084509E-3</c:v>
                </c:pt>
                <c:pt idx="7">
                  <c:v>3.9999123812419174E-4</c:v>
                </c:pt>
                <c:pt idx="8">
                  <c:v>1.3020592909255012E-4</c:v>
                </c:pt>
                <c:pt idx="9">
                  <c:v>3.8929504125368152E-5</c:v>
                </c:pt>
              </c:numCache>
            </c:numRef>
          </c:yVal>
          <c:smooth val="1"/>
          <c:extLst>
            <c:ext xmlns:c16="http://schemas.microsoft.com/office/drawing/2014/chart" uri="{C3380CC4-5D6E-409C-BE32-E72D297353CC}">
              <c16:uniqueId val="{00000002-B59E-4D40-9964-607E22413670}"/>
            </c:ext>
          </c:extLst>
        </c:ser>
        <c:dLbls>
          <c:showLegendKey val="0"/>
          <c:showVal val="0"/>
          <c:showCatName val="0"/>
          <c:showSerName val="0"/>
          <c:showPercent val="0"/>
          <c:showBubbleSize val="0"/>
        </c:dLbls>
        <c:axId val="453851151"/>
        <c:axId val="895376159"/>
      </c:scatterChart>
      <c:valAx>
        <c:axId val="4538511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95376159"/>
        <c:crosses val="autoZero"/>
        <c:crossBetween val="midCat"/>
      </c:valAx>
      <c:valAx>
        <c:axId val="895376159"/>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45385115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OC</a:t>
            </a:r>
          </a:p>
        </c:rich>
      </c:tx>
      <c:layout>
        <c:manualLayout>
          <c:xMode val="edge"/>
          <c:yMode val="edge"/>
          <c:x val="0.46655926432095624"/>
          <c:y val="1.9638795641836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1"/>
          <c:order val="0"/>
          <c:tx>
            <c:strRef>
              <c:f>'18MA'!$D$13</c:f>
              <c:strCache>
                <c:ptCount val="1"/>
                <c:pt idx="0">
                  <c:v>PA</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'18MA'!$B$14:$B$23</c:f>
              <c:numCache>
                <c:formatCode>General</c:formatCode>
                <c:ptCount val="10"/>
                <c:pt idx="0">
                  <c:v>5.0000000000000001E-3</c:v>
                </c:pt>
                <c:pt idx="1">
                  <c:v>0.01</c:v>
                </c:pt>
                <c:pt idx="2">
                  <c:v>1.4999999999999999E-2</c:v>
                </c:pt>
                <c:pt idx="3">
                  <c:v>0.02</c:v>
                </c:pt>
                <c:pt idx="4">
                  <c:v>2.5000000000000001E-2</c:v>
                </c:pt>
                <c:pt idx="5">
                  <c:v>0.03</c:v>
                </c:pt>
                <c:pt idx="6">
                  <c:v>3.5000000000000003E-2</c:v>
                </c:pt>
                <c:pt idx="7">
                  <c:v>0.04</c:v>
                </c:pt>
                <c:pt idx="8">
                  <c:v>4.4999999999999998E-2</c:v>
                </c:pt>
                <c:pt idx="9">
                  <c:v>0.05</c:v>
                </c:pt>
              </c:numCache>
            </c:numRef>
          </c:xVal>
          <c:yVal>
            <c:numRef>
              <c:f>'18MA'!$D$14:$D$23</c:f>
              <c:numCache>
                <c:formatCode>0.0000</c:formatCode>
                <c:ptCount val="10"/>
                <c:pt idx="0">
                  <c:v>0.99890328103214132</c:v>
                </c:pt>
                <c:pt idx="1">
                  <c:v>0.94886638420715264</c:v>
                </c:pt>
                <c:pt idx="2">
                  <c:v>0.74397976045371694</c:v>
                </c:pt>
                <c:pt idx="3">
                  <c:v>0.45296080948699424</c:v>
                </c:pt>
                <c:pt idx="4">
                  <c:v>0.22022064660169899</c:v>
                </c:pt>
                <c:pt idx="5">
                  <c:v>8.9504496840175862E-2</c:v>
                </c:pt>
                <c:pt idx="6">
                  <c:v>3.1619655637384309E-2</c:v>
                </c:pt>
                <c:pt idx="7">
                  <c:v>9.9997809531047928E-3</c:v>
                </c:pt>
                <c:pt idx="8">
                  <c:v>2.8934650909455584E-3</c:v>
                </c:pt>
                <c:pt idx="9">
                  <c:v>7.7859008250736304E-4</c:v>
                </c:pt>
              </c:numCache>
            </c:numRef>
          </c:yVal>
          <c:smooth val="1"/>
          <c:extLst>
            <c:ext xmlns:c16="http://schemas.microsoft.com/office/drawing/2014/chart" uri="{C3380CC4-5D6E-409C-BE32-E72D297353CC}">
              <c16:uniqueId val="{00000001-58D0-3348-BDEC-158CBC1B1B43}"/>
            </c:ext>
          </c:extLst>
        </c:ser>
        <c:dLbls>
          <c:showLegendKey val="0"/>
          <c:showVal val="0"/>
          <c:showCatName val="0"/>
          <c:showSerName val="0"/>
          <c:showPercent val="0"/>
          <c:showBubbleSize val="0"/>
        </c:dLbls>
        <c:axId val="508797983"/>
        <c:axId val="920885343"/>
      </c:scatterChart>
      <c:valAx>
        <c:axId val="5087979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20885343"/>
        <c:crosses val="autoZero"/>
        <c:crossBetween val="midCat"/>
      </c:valAx>
      <c:valAx>
        <c:axId val="920885343"/>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50879798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Curvas OC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1"/>
          <c:order val="0"/>
          <c:tx>
            <c:strRef>
              <c:f>'19MA'!$D$13</c:f>
              <c:strCache>
                <c:ptCount val="1"/>
                <c:pt idx="0">
                  <c:v>PA-Plan ingeniero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'19MA'!$B$14:$B$23</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'19MA'!$D$14:$D$23</c:f>
              <c:numCache>
                <c:formatCode>0.000</c:formatCode>
                <c:ptCount val="10"/>
                <c:pt idx="0">
                  <c:v>0.99893532222721415</c:v>
                </c:pt>
                <c:pt idx="1">
                  <c:v>0.98142406377785929</c:v>
                </c:pt>
                <c:pt idx="2">
                  <c:v>0.9219858925907225</c:v>
                </c:pt>
                <c:pt idx="3">
                  <c:v>0.81526324452377208</c:v>
                </c:pt>
                <c:pt idx="4">
                  <c:v>0.6775476361045436</c:v>
                </c:pt>
                <c:pt idx="5">
                  <c:v>0.53210357637471528</c:v>
                </c:pt>
                <c:pt idx="6">
                  <c:v>0.39777368107622818</c:v>
                </c:pt>
                <c:pt idx="7">
                  <c:v>0.28505650031663121</c:v>
                </c:pt>
                <c:pt idx="8">
                  <c:v>0.19704337509047803</c:v>
                </c:pt>
                <c:pt idx="9">
                  <c:v>0.13206185628772063</c:v>
                </c:pt>
              </c:numCache>
            </c:numRef>
          </c:yVal>
          <c:smooth val="1"/>
          <c:extLst>
            <c:ext xmlns:c16="http://schemas.microsoft.com/office/drawing/2014/chart" uri="{C3380CC4-5D6E-409C-BE32-E72D297353CC}">
              <c16:uniqueId val="{00000001-5AAC-B445-A0D8-07A3ED65DE2A}"/>
            </c:ext>
          </c:extLst>
        </c:ser>
        <c:ser>
          <c:idx val="6"/>
          <c:order val="1"/>
          <c:tx>
            <c:strRef>
              <c:f>'19MA'!$I$13</c:f>
              <c:strCache>
                <c:ptCount val="1"/>
                <c:pt idx="0">
                  <c:v>PA-Tabla militar</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'19MA'!$B$14:$B$23</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'19MA'!$I$14:$I$23</c:f>
              <c:numCache>
                <c:formatCode>0.000</c:formatCode>
                <c:ptCount val="10"/>
                <c:pt idx="0">
                  <c:v>0.99981565747879597</c:v>
                </c:pt>
                <c:pt idx="1">
                  <c:v>0.99395970888841867</c:v>
                </c:pt>
                <c:pt idx="2">
                  <c:v>0.964327489004697</c:v>
                </c:pt>
                <c:pt idx="3">
                  <c:v>0.89459189453082255</c:v>
                </c:pt>
                <c:pt idx="4">
                  <c:v>0.78513038703040516</c:v>
                </c:pt>
                <c:pt idx="5">
                  <c:v>0.65100643726949159</c:v>
                </c:pt>
                <c:pt idx="6">
                  <c:v>0.51186093837550306</c:v>
                </c:pt>
                <c:pt idx="7">
                  <c:v>0.38374366179580321</c:v>
                </c:pt>
                <c:pt idx="8">
                  <c:v>0.2758974527265533</c:v>
                </c:pt>
                <c:pt idx="9">
                  <c:v>0.19123606207962526</c:v>
                </c:pt>
              </c:numCache>
            </c:numRef>
          </c:yVal>
          <c:smooth val="1"/>
          <c:extLst>
            <c:ext xmlns:c16="http://schemas.microsoft.com/office/drawing/2014/chart" uri="{C3380CC4-5D6E-409C-BE32-E72D297353CC}">
              <c16:uniqueId val="{00000006-5AAC-B445-A0D8-07A3ED65DE2A}"/>
            </c:ext>
          </c:extLst>
        </c:ser>
        <c:dLbls>
          <c:showLegendKey val="0"/>
          <c:showVal val="0"/>
          <c:showCatName val="0"/>
          <c:showSerName val="0"/>
          <c:showPercent val="0"/>
          <c:showBubbleSize val="0"/>
        </c:dLbls>
        <c:axId val="896438015"/>
        <c:axId val="511728895"/>
      </c:scatterChart>
      <c:valAx>
        <c:axId val="8964380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511728895"/>
        <c:crosses val="autoZero"/>
        <c:crossBetween val="midCat"/>
      </c:valAx>
      <c:valAx>
        <c:axId val="511728895"/>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964380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Curvas AOQ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3"/>
          <c:order val="0"/>
          <c:tx>
            <c:strRef>
              <c:f>'19MA'!$F$13</c:f>
              <c:strCache>
                <c:ptCount val="1"/>
                <c:pt idx="0">
                  <c:v>AOQ-Plan  ingeniero</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'19MA'!$B$14:$B$23</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'19MA'!$F$14:$F$23</c:f>
              <c:numCache>
                <c:formatCode>0.0000</c:formatCode>
                <c:ptCount val="10"/>
                <c:pt idx="0">
                  <c:v>9.9893532222721411E-3</c:v>
                </c:pt>
                <c:pt idx="1">
                  <c:v>1.9628481275557188E-2</c:v>
                </c:pt>
                <c:pt idx="2">
                  <c:v>2.7659576777721673E-2</c:v>
                </c:pt>
                <c:pt idx="3">
                  <c:v>3.2610529780950887E-2</c:v>
                </c:pt>
                <c:pt idx="4">
                  <c:v>3.3877381805227182E-2</c:v>
                </c:pt>
                <c:pt idx="5">
                  <c:v>3.1926214582482917E-2</c:v>
                </c:pt>
                <c:pt idx="6">
                  <c:v>2.7844157675335976E-2</c:v>
                </c:pt>
                <c:pt idx="7">
                  <c:v>2.2804520025330496E-2</c:v>
                </c:pt>
                <c:pt idx="8">
                  <c:v>1.7733903758143023E-2</c:v>
                </c:pt>
                <c:pt idx="9">
                  <c:v>1.3206185628772064E-2</c:v>
                </c:pt>
              </c:numCache>
            </c:numRef>
          </c:yVal>
          <c:smooth val="1"/>
          <c:extLst>
            <c:ext xmlns:c16="http://schemas.microsoft.com/office/drawing/2014/chart" uri="{C3380CC4-5D6E-409C-BE32-E72D297353CC}">
              <c16:uniqueId val="{00000003-8FAA-C142-A955-EFB221C9D341}"/>
            </c:ext>
          </c:extLst>
        </c:ser>
        <c:ser>
          <c:idx val="7"/>
          <c:order val="1"/>
          <c:tx>
            <c:strRef>
              <c:f>'19MA'!$J$13</c:f>
              <c:strCache>
                <c:ptCount val="1"/>
                <c:pt idx="0">
                  <c:v>AOQ-Tabla militar</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'19MA'!$B$14:$B$23</c:f>
              <c:numCache>
                <c:formatCode>General</c:formatCode>
                <c:ptCount val="10"/>
                <c:pt idx="0">
                  <c:v>0.01</c:v>
                </c:pt>
                <c:pt idx="1">
                  <c:v>0.02</c:v>
                </c:pt>
                <c:pt idx="2">
                  <c:v>0.03</c:v>
                </c:pt>
                <c:pt idx="3">
                  <c:v>0.04</c:v>
                </c:pt>
                <c:pt idx="4">
                  <c:v>0.05</c:v>
                </c:pt>
                <c:pt idx="5">
                  <c:v>0.06</c:v>
                </c:pt>
                <c:pt idx="6">
                  <c:v>7.0000000000000007E-2</c:v>
                </c:pt>
                <c:pt idx="7">
                  <c:v>0.08</c:v>
                </c:pt>
                <c:pt idx="8">
                  <c:v>0.09</c:v>
                </c:pt>
                <c:pt idx="9">
                  <c:v>0.1</c:v>
                </c:pt>
              </c:numCache>
            </c:numRef>
          </c:xVal>
          <c:yVal>
            <c:numRef>
              <c:f>'19MA'!$J$14:$J$23</c:f>
              <c:numCache>
                <c:formatCode>0.0000</c:formatCode>
                <c:ptCount val="10"/>
                <c:pt idx="0">
                  <c:v>9.9981565747879596E-3</c:v>
                </c:pt>
                <c:pt idx="1">
                  <c:v>1.9879194177768372E-2</c:v>
                </c:pt>
                <c:pt idx="2">
                  <c:v>2.8929824670140908E-2</c:v>
                </c:pt>
                <c:pt idx="3">
                  <c:v>3.5783675781232906E-2</c:v>
                </c:pt>
                <c:pt idx="4">
                  <c:v>3.9256519351520261E-2</c:v>
                </c:pt>
                <c:pt idx="5">
                  <c:v>3.9060386236169496E-2</c:v>
                </c:pt>
                <c:pt idx="6">
                  <c:v>3.5830265686285216E-2</c:v>
                </c:pt>
                <c:pt idx="7">
                  <c:v>3.0699492943664256E-2</c:v>
                </c:pt>
                <c:pt idx="8">
                  <c:v>2.4830770745389797E-2</c:v>
                </c:pt>
                <c:pt idx="9">
                  <c:v>1.9123606207962527E-2</c:v>
                </c:pt>
              </c:numCache>
            </c:numRef>
          </c:yVal>
          <c:smooth val="1"/>
          <c:extLst>
            <c:ext xmlns:c16="http://schemas.microsoft.com/office/drawing/2014/chart" uri="{C3380CC4-5D6E-409C-BE32-E72D297353CC}">
              <c16:uniqueId val="{00000007-8FAA-C142-A955-EFB221C9D341}"/>
            </c:ext>
          </c:extLst>
        </c:ser>
        <c:dLbls>
          <c:showLegendKey val="0"/>
          <c:showVal val="0"/>
          <c:showCatName val="0"/>
          <c:showSerName val="0"/>
          <c:showPercent val="0"/>
          <c:showBubbleSize val="0"/>
        </c:dLbls>
        <c:axId val="931390703"/>
        <c:axId val="917428575"/>
      </c:scatterChart>
      <c:valAx>
        <c:axId val="9313907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17428575"/>
        <c:crosses val="autoZero"/>
        <c:crossBetween val="midCat"/>
      </c:valAx>
      <c:valAx>
        <c:axId val="917428575"/>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3139070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Verdana"/>
                <a:ea typeface="Verdana"/>
                <a:cs typeface="Verdana"/>
              </a:defRPr>
            </a:pPr>
            <a:r>
              <a:rPr lang="en-US" sz="800" b="0" i="0" u="none" strike="noStrike" baseline="0">
                <a:solidFill>
                  <a:srgbClr val="000000"/>
                </a:solidFill>
                <a:latin typeface="Verdana" pitchFamily="2" charset="0"/>
                <a:ea typeface="Verdana" pitchFamily="2" charset="0"/>
                <a:cs typeface="Verdana" pitchFamily="2" charset="0"/>
              </a:rPr>
              <a:t>Curvas OC</a:t>
            </a:r>
          </a:p>
          <a:p>
            <a:pPr>
              <a:defRPr sz="800" b="0" i="0" u="none" strike="noStrike" baseline="0">
                <a:solidFill>
                  <a:srgbClr val="000000"/>
                </a:solidFill>
                <a:latin typeface="Verdana"/>
                <a:ea typeface="Verdana"/>
                <a:cs typeface="Verdana"/>
              </a:defRPr>
            </a:pPr>
            <a:r>
              <a:rPr lang="en-US" sz="800" b="0" i="0" u="none" strike="noStrike" baseline="0">
                <a:solidFill>
                  <a:srgbClr val="000000"/>
                </a:solidFill>
                <a:latin typeface="Verdana" pitchFamily="2" charset="0"/>
                <a:ea typeface="Verdana" pitchFamily="2" charset="0"/>
                <a:cs typeface="Verdana" pitchFamily="2" charset="0"/>
              </a:rPr>
              <a:t>Planes obtenidos con la</a:t>
            </a:r>
          </a:p>
          <a:p>
            <a:pPr>
              <a:defRPr sz="800" b="0" i="0" u="none" strike="noStrike" baseline="0">
                <a:solidFill>
                  <a:srgbClr val="000000"/>
                </a:solidFill>
                <a:latin typeface="Verdana"/>
                <a:ea typeface="Verdana"/>
                <a:cs typeface="Verdana"/>
              </a:defRPr>
            </a:pPr>
            <a:r>
              <a:rPr lang="en-US" sz="800" b="0" i="0" u="none" strike="noStrike" baseline="0">
                <a:solidFill>
                  <a:srgbClr val="000000"/>
                </a:solidFill>
                <a:latin typeface="Verdana" pitchFamily="2" charset="0"/>
                <a:ea typeface="Verdana" pitchFamily="2" charset="0"/>
                <a:cs typeface="Verdana" pitchFamily="2" charset="0"/>
              </a:rPr>
              <a:t>MIL STD 105D</a:t>
            </a:r>
          </a:p>
        </c:rich>
      </c:tx>
      <c:layout>
        <c:manualLayout>
          <c:xMode val="edge"/>
          <c:yMode val="edge"/>
          <c:x val="0.35503005171690816"/>
          <c:y val="3.0581039755351681E-2"/>
        </c:manualLayout>
      </c:layout>
      <c:overlay val="0"/>
      <c:spPr>
        <a:noFill/>
        <a:ln w="25400">
          <a:noFill/>
        </a:ln>
      </c:spPr>
    </c:title>
    <c:autoTitleDeleted val="0"/>
    <c:plotArea>
      <c:layout>
        <c:manualLayout>
          <c:layoutTarget val="inner"/>
          <c:xMode val="edge"/>
          <c:yMode val="edge"/>
          <c:x val="0.10059182496398381"/>
          <c:y val="0.21406719837538288"/>
          <c:w val="0.86390626145539029"/>
          <c:h val="0.64525969796008265"/>
        </c:manualLayout>
      </c:layout>
      <c:lineChart>
        <c:grouping val="standard"/>
        <c:varyColors val="0"/>
        <c:ser>
          <c:idx val="0"/>
          <c:order val="0"/>
          <c:tx>
            <c:strRef>
              <c:f>'2MA'!$M$13</c:f>
              <c:strCache>
                <c:ptCount val="1"/>
                <c:pt idx="0">
                  <c:v>n=315 c=10</c:v>
                </c:pt>
              </c:strCache>
            </c:strRef>
          </c:tx>
          <c:spPr>
            <a:ln w="25400">
              <a:solidFill>
                <a:srgbClr val="63AAFE"/>
              </a:solidFill>
              <a:prstDash val="solid"/>
            </a:ln>
          </c:spPr>
          <c:marker>
            <c:symbol val="none"/>
          </c:marker>
          <c:val>
            <c:numRef>
              <c:f>'2MA'!$M$14:$M$21</c:f>
              <c:numCache>
                <c:formatCode>General</c:formatCode>
                <c:ptCount val="8"/>
                <c:pt idx="0">
                  <c:v>0.999</c:v>
                </c:pt>
                <c:pt idx="1">
                  <c:v>0.94399999999999995</c:v>
                </c:pt>
                <c:pt idx="2">
                  <c:v>0.65100000000000002</c:v>
                </c:pt>
                <c:pt idx="3">
                  <c:v>0.28799999999999998</c:v>
                </c:pt>
                <c:pt idx="4">
                  <c:v>9.1999999999999998E-2</c:v>
                </c:pt>
              </c:numCache>
            </c:numRef>
          </c:val>
          <c:smooth val="1"/>
          <c:extLst>
            <c:ext xmlns:c16="http://schemas.microsoft.com/office/drawing/2014/chart" uri="{C3380CC4-5D6E-409C-BE32-E72D297353CC}">
              <c16:uniqueId val="{00000000-6610-6846-AE71-614D72730EB9}"/>
            </c:ext>
          </c:extLst>
        </c:ser>
        <c:ser>
          <c:idx val="1"/>
          <c:order val="1"/>
          <c:tx>
            <c:strRef>
              <c:f>'2MA'!$N$13</c:f>
              <c:strCache>
                <c:ptCount val="1"/>
                <c:pt idx="0">
                  <c:v>n=125 c=5</c:v>
                </c:pt>
              </c:strCache>
            </c:strRef>
          </c:tx>
          <c:spPr>
            <a:ln w="25400">
              <a:solidFill>
                <a:srgbClr val="DD2D32"/>
              </a:solidFill>
              <a:prstDash val="solid"/>
            </a:ln>
          </c:spPr>
          <c:marker>
            <c:symbol val="none"/>
          </c:marker>
          <c:val>
            <c:numRef>
              <c:f>'2MA'!$N$14:$N$21</c:f>
              <c:numCache>
                <c:formatCode>General</c:formatCode>
                <c:ptCount val="8"/>
                <c:pt idx="0">
                  <c:v>0.998</c:v>
                </c:pt>
                <c:pt idx="1">
                  <c:v>0.95799999999999996</c:v>
                </c:pt>
                <c:pt idx="2">
                  <c:v>0.82299999999999995</c:v>
                </c:pt>
                <c:pt idx="3">
                  <c:v>0.61599999999999999</c:v>
                </c:pt>
                <c:pt idx="4">
                  <c:v>0.40600000000000003</c:v>
                </c:pt>
                <c:pt idx="5">
                  <c:v>0.24099999999999999</c:v>
                </c:pt>
                <c:pt idx="6">
                  <c:v>0.128</c:v>
                </c:pt>
                <c:pt idx="7">
                  <c:v>7.0000000000000007E-2</c:v>
                </c:pt>
              </c:numCache>
            </c:numRef>
          </c:val>
          <c:smooth val="1"/>
          <c:extLst>
            <c:ext xmlns:c16="http://schemas.microsoft.com/office/drawing/2014/chart" uri="{C3380CC4-5D6E-409C-BE32-E72D297353CC}">
              <c16:uniqueId val="{00000001-6610-6846-AE71-614D72730EB9}"/>
            </c:ext>
          </c:extLst>
        </c:ser>
        <c:ser>
          <c:idx val="2"/>
          <c:order val="2"/>
          <c:tx>
            <c:strRef>
              <c:f>'2MA'!$O$13</c:f>
              <c:strCache>
                <c:ptCount val="1"/>
                <c:pt idx="0">
                  <c:v>n=315 c=8</c:v>
                </c:pt>
              </c:strCache>
            </c:strRef>
          </c:tx>
          <c:spPr>
            <a:ln w="25400">
              <a:solidFill>
                <a:srgbClr val="FFF58C"/>
              </a:solidFill>
              <a:prstDash val="solid"/>
            </a:ln>
          </c:spPr>
          <c:marker>
            <c:symbol val="none"/>
          </c:marker>
          <c:val>
            <c:numRef>
              <c:f>'2MA'!$O$14:$O$21</c:f>
              <c:numCache>
                <c:formatCode>General</c:formatCode>
                <c:ptCount val="8"/>
                <c:pt idx="0">
                  <c:v>0.995</c:v>
                </c:pt>
                <c:pt idx="1">
                  <c:v>0.81499999999999995</c:v>
                </c:pt>
                <c:pt idx="2">
                  <c:v>0.40400000000000003</c:v>
                </c:pt>
                <c:pt idx="3">
                  <c:v>0.12</c:v>
                </c:pt>
                <c:pt idx="4">
                  <c:v>2.5000000000000001E-2</c:v>
                </c:pt>
              </c:numCache>
            </c:numRef>
          </c:val>
          <c:smooth val="1"/>
          <c:extLst>
            <c:ext xmlns:c16="http://schemas.microsoft.com/office/drawing/2014/chart" uri="{C3380CC4-5D6E-409C-BE32-E72D297353CC}">
              <c16:uniqueId val="{00000002-6610-6846-AE71-614D72730EB9}"/>
            </c:ext>
          </c:extLst>
        </c:ser>
        <c:dLbls>
          <c:showLegendKey val="0"/>
          <c:showVal val="0"/>
          <c:showCatName val="0"/>
          <c:showSerName val="0"/>
          <c:showPercent val="0"/>
          <c:showBubbleSize val="0"/>
        </c:dLbls>
        <c:smooth val="0"/>
        <c:axId val="682375295"/>
        <c:axId val="1"/>
      </c:lineChart>
      <c:catAx>
        <c:axId val="682375295"/>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Verdana"/>
                <a:ea typeface="Verdana"/>
                <a:cs typeface="Verdana"/>
              </a:defRPr>
            </a:pPr>
            <a:endParaRPr lang="en-CR"/>
          </a:p>
        </c:txPr>
        <c:crossAx val="1"/>
        <c:crosses val="autoZero"/>
        <c:auto val="1"/>
        <c:lblAlgn val="ctr"/>
        <c:lblOffset val="100"/>
        <c:tickLblSkip val="1"/>
        <c:tickMarkSkip val="1"/>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Verdana"/>
                <a:ea typeface="Verdana"/>
                <a:cs typeface="Verdana"/>
              </a:defRPr>
            </a:pPr>
            <a:endParaRPr lang="en-CR"/>
          </a:p>
        </c:txPr>
        <c:crossAx val="682375295"/>
        <c:crosses val="autoZero"/>
        <c:crossBetween val="between"/>
      </c:valAx>
      <c:spPr>
        <a:solidFill>
          <a:srgbClr val="CDCDCD"/>
        </a:solidFill>
        <a:ln w="12700">
          <a:solidFill>
            <a:srgbClr val="808080"/>
          </a:solidFill>
          <a:prstDash val="solid"/>
        </a:ln>
      </c:spPr>
    </c:plotArea>
    <c:legend>
      <c:legendPos val="r"/>
      <c:layout>
        <c:manualLayout>
          <c:xMode val="edge"/>
          <c:yMode val="edge"/>
          <c:x val="0.19526650514839491"/>
          <c:y val="0.94495388764477828"/>
          <c:w val="0.66863975213157523"/>
          <c:h val="3.9755351681957207E-2"/>
        </c:manualLayout>
      </c:layout>
      <c:overlay val="0"/>
      <c:spPr>
        <a:solidFill>
          <a:srgbClr val="FFFFFF"/>
        </a:solidFill>
        <a:ln w="25400">
          <a:noFill/>
        </a:ln>
      </c:spPr>
      <c:txPr>
        <a:bodyPr/>
        <a:lstStyle/>
        <a:p>
          <a:pPr>
            <a:defRPr sz="675" b="0" i="0" u="none" strike="noStrike" baseline="0">
              <a:solidFill>
                <a:srgbClr val="000000"/>
              </a:solidFill>
              <a:latin typeface="Verdana"/>
              <a:ea typeface="Verdana"/>
              <a:cs typeface="Verdana"/>
            </a:defRPr>
          </a:pPr>
          <a:endParaRPr lang="en-CR"/>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CR"/>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OC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1"/>
          <c:order val="0"/>
          <c:tx>
            <c:strRef>
              <c:f>'20MA'!$E$15</c:f>
              <c:strCache>
                <c:ptCount val="1"/>
                <c:pt idx="0">
                  <c:v>PA</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'20MA'!$C$16:$C$26</c:f>
              <c:numCache>
                <c:formatCode>General</c:formatCode>
                <c:ptCount val="11"/>
                <c:pt idx="0">
                  <c:v>0.01</c:v>
                </c:pt>
                <c:pt idx="1">
                  <c:v>0.02</c:v>
                </c:pt>
                <c:pt idx="2">
                  <c:v>0.03</c:v>
                </c:pt>
                <c:pt idx="3">
                  <c:v>3.5000000000000003E-2</c:v>
                </c:pt>
                <c:pt idx="4">
                  <c:v>0.04</c:v>
                </c:pt>
                <c:pt idx="5">
                  <c:v>0.05</c:v>
                </c:pt>
                <c:pt idx="6">
                  <c:v>0.06</c:v>
                </c:pt>
                <c:pt idx="7">
                  <c:v>7.0000000000000007E-2</c:v>
                </c:pt>
                <c:pt idx="8">
                  <c:v>0.08</c:v>
                </c:pt>
                <c:pt idx="9">
                  <c:v>0.09</c:v>
                </c:pt>
                <c:pt idx="10">
                  <c:v>0.1</c:v>
                </c:pt>
              </c:numCache>
            </c:numRef>
          </c:xVal>
          <c:yVal>
            <c:numRef>
              <c:f>'20MA'!$E$16:$E$26</c:f>
              <c:numCache>
                <c:formatCode>0.00</c:formatCode>
                <c:ptCount val="11"/>
                <c:pt idx="0">
                  <c:v>0.99999958186035709</c:v>
                </c:pt>
                <c:pt idx="1">
                  <c:v>0.99693402655377028</c:v>
                </c:pt>
                <c:pt idx="2">
                  <c:v>0.89341391247082691</c:v>
                </c:pt>
                <c:pt idx="3">
                  <c:v>0.73399747766741963</c:v>
                </c:pt>
                <c:pt idx="4">
                  <c:v>0.52486084425444046</c:v>
                </c:pt>
                <c:pt idx="5">
                  <c:v>0.17476871956919537</c:v>
                </c:pt>
                <c:pt idx="6">
                  <c:v>3.5190319126632091E-2</c:v>
                </c:pt>
                <c:pt idx="7">
                  <c:v>4.7488860596386091E-3</c:v>
                </c:pt>
                <c:pt idx="8">
                  <c:v>4.6797341199123448E-4</c:v>
                </c:pt>
                <c:pt idx="9">
                  <c:v>3.591414822197216E-5</c:v>
                </c:pt>
                <c:pt idx="10">
                  <c:v>2.2513610123216842E-6</c:v>
                </c:pt>
              </c:numCache>
            </c:numRef>
          </c:yVal>
          <c:smooth val="1"/>
          <c:extLst>
            <c:ext xmlns:c16="http://schemas.microsoft.com/office/drawing/2014/chart" uri="{C3380CC4-5D6E-409C-BE32-E72D297353CC}">
              <c16:uniqueId val="{00000001-5BE2-9342-A1FD-43F0725F0315}"/>
            </c:ext>
          </c:extLst>
        </c:ser>
        <c:dLbls>
          <c:showLegendKey val="0"/>
          <c:showVal val="0"/>
          <c:showCatName val="0"/>
          <c:showSerName val="0"/>
          <c:showPercent val="0"/>
          <c:showBubbleSize val="0"/>
        </c:dLbls>
        <c:axId val="504437455"/>
        <c:axId val="504481263"/>
      </c:scatterChart>
      <c:valAx>
        <c:axId val="5044374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504481263"/>
        <c:crosses val="autoZero"/>
        <c:crossBetween val="midCat"/>
      </c:valAx>
      <c:valAx>
        <c:axId val="50448126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50443745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AOQ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2"/>
          <c:order val="0"/>
          <c:tx>
            <c:strRef>
              <c:f>'20MA'!$F$15</c:f>
              <c:strCache>
                <c:ptCount val="1"/>
                <c:pt idx="0">
                  <c:v>AOQ</c:v>
                </c:pt>
              </c:strCache>
            </c:strRef>
          </c:tx>
          <c:spPr>
            <a:ln w="19050" cap="rnd">
              <a:solidFill>
                <a:schemeClr val="accent1">
                  <a:lumMod val="50000"/>
                </a:schemeClr>
              </a:solidFill>
              <a:round/>
            </a:ln>
            <a:effectLst/>
          </c:spPr>
          <c:marker>
            <c:symbol val="circle"/>
            <c:size val="5"/>
            <c:spPr>
              <a:solidFill>
                <a:schemeClr val="accent3"/>
              </a:solidFill>
              <a:ln w="9525">
                <a:solidFill>
                  <a:schemeClr val="accent3"/>
                </a:solidFill>
              </a:ln>
              <a:effectLst/>
            </c:spPr>
          </c:marker>
          <c:xVal>
            <c:numRef>
              <c:f>'20MA'!$C$16:$C$26</c:f>
              <c:numCache>
                <c:formatCode>General</c:formatCode>
                <c:ptCount val="11"/>
                <c:pt idx="0">
                  <c:v>0.01</c:v>
                </c:pt>
                <c:pt idx="1">
                  <c:v>0.02</c:v>
                </c:pt>
                <c:pt idx="2">
                  <c:v>0.03</c:v>
                </c:pt>
                <c:pt idx="3">
                  <c:v>3.5000000000000003E-2</c:v>
                </c:pt>
                <c:pt idx="4">
                  <c:v>0.04</c:v>
                </c:pt>
                <c:pt idx="5">
                  <c:v>0.05</c:v>
                </c:pt>
                <c:pt idx="6">
                  <c:v>0.06</c:v>
                </c:pt>
                <c:pt idx="7">
                  <c:v>7.0000000000000007E-2</c:v>
                </c:pt>
                <c:pt idx="8">
                  <c:v>0.08</c:v>
                </c:pt>
                <c:pt idx="9">
                  <c:v>0.09</c:v>
                </c:pt>
                <c:pt idx="10">
                  <c:v>0.1</c:v>
                </c:pt>
              </c:numCache>
            </c:numRef>
          </c:xVal>
          <c:yVal>
            <c:numRef>
              <c:f>'20MA'!$F$16:$F$26</c:f>
              <c:numCache>
                <c:formatCode>0.0000</c:formatCode>
                <c:ptCount val="11"/>
                <c:pt idx="0">
                  <c:v>9.9999958186035715E-3</c:v>
                </c:pt>
                <c:pt idx="1">
                  <c:v>1.9938680531075406E-2</c:v>
                </c:pt>
                <c:pt idx="2">
                  <c:v>2.6802417374124806E-2</c:v>
                </c:pt>
                <c:pt idx="3">
                  <c:v>2.568991171835969E-2</c:v>
                </c:pt>
                <c:pt idx="4">
                  <c:v>2.0994433770177619E-2</c:v>
                </c:pt>
                <c:pt idx="5">
                  <c:v>8.7384359784597691E-3</c:v>
                </c:pt>
                <c:pt idx="6">
                  <c:v>2.1114191475979254E-3</c:v>
                </c:pt>
                <c:pt idx="7">
                  <c:v>3.3242202417470268E-4</c:v>
                </c:pt>
                <c:pt idx="8">
                  <c:v>3.7437872959298761E-5</c:v>
                </c:pt>
                <c:pt idx="9">
                  <c:v>3.2322733399774941E-6</c:v>
                </c:pt>
                <c:pt idx="10">
                  <c:v>2.2513610123216843E-7</c:v>
                </c:pt>
              </c:numCache>
            </c:numRef>
          </c:yVal>
          <c:smooth val="1"/>
          <c:extLst>
            <c:ext xmlns:c16="http://schemas.microsoft.com/office/drawing/2014/chart" uri="{C3380CC4-5D6E-409C-BE32-E72D297353CC}">
              <c16:uniqueId val="{00000002-8A51-FD47-A0FB-AC176CC90B6A}"/>
            </c:ext>
          </c:extLst>
        </c:ser>
        <c:dLbls>
          <c:showLegendKey val="0"/>
          <c:showVal val="0"/>
          <c:showCatName val="0"/>
          <c:showSerName val="0"/>
          <c:showPercent val="0"/>
          <c:showBubbleSize val="0"/>
        </c:dLbls>
        <c:axId val="917389839"/>
        <c:axId val="916548479"/>
      </c:scatterChart>
      <c:valAx>
        <c:axId val="9173898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16548479"/>
        <c:crosses val="autoZero"/>
        <c:crossBetween val="midCat"/>
      </c:valAx>
      <c:valAx>
        <c:axId val="916548479"/>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9173898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US"/>
              <a:t>Gráfica P</a:t>
            </a:r>
          </a:p>
        </c:rich>
      </c:tx>
      <c:layout>
        <c:manualLayout>
          <c:xMode val="edge"/>
          <c:yMode val="edge"/>
          <c:x val="0.432048496423037"/>
          <c:y val="3.2573533147066298E-2"/>
        </c:manualLayout>
      </c:layout>
      <c:overlay val="0"/>
      <c:spPr>
        <a:noFill/>
        <a:ln w="25400">
          <a:noFill/>
        </a:ln>
      </c:spPr>
    </c:title>
    <c:autoTitleDeleted val="0"/>
    <c:plotArea>
      <c:layout>
        <c:manualLayout>
          <c:layoutTarget val="inner"/>
          <c:xMode val="edge"/>
          <c:yMode val="edge"/>
          <c:x val="0.15010134554597099"/>
          <c:y val="0.18892538191766001"/>
          <c:w val="0.82758579706427204"/>
          <c:h val="0.53746013821403305"/>
        </c:manualLayout>
      </c:layout>
      <c:lineChart>
        <c:grouping val="standard"/>
        <c:varyColors val="0"/>
        <c:ser>
          <c:idx val="0"/>
          <c:order val="0"/>
          <c:tx>
            <c:strRef>
              <c:f>'2CC'!$D$1</c:f>
              <c:strCache>
                <c:ptCount val="1"/>
                <c:pt idx="0">
                  <c:v>P</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'2CC'!$D$2:$D$21</c:f>
              <c:numCache>
                <c:formatCode>0.000</c:formatCode>
                <c:ptCount val="20"/>
                <c:pt idx="0">
                  <c:v>9.166666666666666E-2</c:v>
                </c:pt>
                <c:pt idx="1">
                  <c:v>8.3333333333333329E-2</c:v>
                </c:pt>
                <c:pt idx="2">
                  <c:v>5.8333333333333334E-2</c:v>
                </c:pt>
                <c:pt idx="3">
                  <c:v>8.3333333333333329E-2</c:v>
                </c:pt>
                <c:pt idx="4">
                  <c:v>3.3333333333333333E-2</c:v>
                </c:pt>
                <c:pt idx="5">
                  <c:v>0.1</c:v>
                </c:pt>
                <c:pt idx="6">
                  <c:v>6.6666666666666666E-2</c:v>
                </c:pt>
                <c:pt idx="7">
                  <c:v>4.1666666666666664E-2</c:v>
                </c:pt>
                <c:pt idx="8">
                  <c:v>0.11666666666666667</c:v>
                </c:pt>
                <c:pt idx="9">
                  <c:v>0.1</c:v>
                </c:pt>
                <c:pt idx="10">
                  <c:v>6.6666666666666666E-2</c:v>
                </c:pt>
                <c:pt idx="11">
                  <c:v>5.8333333333333334E-2</c:v>
                </c:pt>
                <c:pt idx="12">
                  <c:v>7.4999999999999997E-2</c:v>
                </c:pt>
                <c:pt idx="13">
                  <c:v>0.05</c:v>
                </c:pt>
                <c:pt idx="14">
                  <c:v>0.05</c:v>
                </c:pt>
                <c:pt idx="15">
                  <c:v>9.166666666666666E-2</c:v>
                </c:pt>
                <c:pt idx="16">
                  <c:v>7.4999999999999997E-2</c:v>
                </c:pt>
                <c:pt idx="17">
                  <c:v>5.8333333333333334E-2</c:v>
                </c:pt>
                <c:pt idx="18">
                  <c:v>0.05</c:v>
                </c:pt>
                <c:pt idx="19">
                  <c:v>8.3333333333333329E-2</c:v>
                </c:pt>
              </c:numCache>
            </c:numRef>
          </c:val>
          <c:smooth val="0"/>
          <c:extLst>
            <c:ext xmlns:c16="http://schemas.microsoft.com/office/drawing/2014/chart" uri="{C3380CC4-5D6E-409C-BE32-E72D297353CC}">
              <c16:uniqueId val="{00000000-660B-1643-906C-2D62E40CB51F}"/>
            </c:ext>
          </c:extLst>
        </c:ser>
        <c:ser>
          <c:idx val="1"/>
          <c:order val="1"/>
          <c:tx>
            <c:strRef>
              <c:f>'2CC'!$E$1</c:f>
              <c:strCache>
                <c:ptCount val="1"/>
                <c:pt idx="0">
                  <c:v>Límite Superior</c:v>
                </c:pt>
              </c:strCache>
            </c:strRef>
          </c:tx>
          <c:spPr>
            <a:ln w="12700">
              <a:solidFill>
                <a:srgbClr val="FF00FF"/>
              </a:solidFill>
              <a:prstDash val="solid"/>
            </a:ln>
          </c:spPr>
          <c:marker>
            <c:symbol val="dot"/>
            <c:size val="5"/>
            <c:spPr>
              <a:solidFill>
                <a:srgbClr val="FF00FF"/>
              </a:solidFill>
              <a:ln>
                <a:solidFill>
                  <a:srgbClr val="FF00FF"/>
                </a:solidFill>
                <a:prstDash val="solid"/>
              </a:ln>
            </c:spPr>
          </c:marker>
          <c:val>
            <c:numRef>
              <c:f>'2CC'!$E$2:$E$21</c:f>
              <c:numCache>
                <c:formatCode>0.000</c:formatCode>
                <c:ptCount val="20"/>
                <c:pt idx="0">
                  <c:v>0.14230512408659246</c:v>
                </c:pt>
                <c:pt idx="1">
                  <c:v>0.14230512408659246</c:v>
                </c:pt>
                <c:pt idx="2">
                  <c:v>0.14230512408659246</c:v>
                </c:pt>
                <c:pt idx="3">
                  <c:v>0.14230512408659246</c:v>
                </c:pt>
                <c:pt idx="4">
                  <c:v>0.14230512408659246</c:v>
                </c:pt>
                <c:pt idx="5">
                  <c:v>0.14230512408659246</c:v>
                </c:pt>
                <c:pt idx="6">
                  <c:v>0.14230512408659246</c:v>
                </c:pt>
                <c:pt idx="7">
                  <c:v>0.14230512408659246</c:v>
                </c:pt>
                <c:pt idx="8">
                  <c:v>0.14230512408659246</c:v>
                </c:pt>
                <c:pt idx="9">
                  <c:v>0.14230512408659246</c:v>
                </c:pt>
                <c:pt idx="10">
                  <c:v>0.14230512408659246</c:v>
                </c:pt>
                <c:pt idx="11">
                  <c:v>0.14230512408659246</c:v>
                </c:pt>
                <c:pt idx="12">
                  <c:v>0.14230512408659246</c:v>
                </c:pt>
                <c:pt idx="13">
                  <c:v>0.14230512408659246</c:v>
                </c:pt>
                <c:pt idx="14">
                  <c:v>0.14230512408659246</c:v>
                </c:pt>
                <c:pt idx="15">
                  <c:v>0.14230512408659246</c:v>
                </c:pt>
                <c:pt idx="16">
                  <c:v>0.14230512408659246</c:v>
                </c:pt>
                <c:pt idx="17">
                  <c:v>0.14230512408659246</c:v>
                </c:pt>
                <c:pt idx="18">
                  <c:v>0.14230512408659246</c:v>
                </c:pt>
                <c:pt idx="19">
                  <c:v>0.14230512408659246</c:v>
                </c:pt>
              </c:numCache>
            </c:numRef>
          </c:val>
          <c:smooth val="0"/>
          <c:extLst>
            <c:ext xmlns:c16="http://schemas.microsoft.com/office/drawing/2014/chart" uri="{C3380CC4-5D6E-409C-BE32-E72D297353CC}">
              <c16:uniqueId val="{00000001-660B-1643-906C-2D62E40CB51F}"/>
            </c:ext>
          </c:extLst>
        </c:ser>
        <c:ser>
          <c:idx val="2"/>
          <c:order val="2"/>
          <c:tx>
            <c:strRef>
              <c:f>'2CC'!$F$1</c:f>
              <c:strCache>
                <c:ptCount val="1"/>
                <c:pt idx="0">
                  <c:v>Límite Central</c:v>
                </c:pt>
              </c:strCache>
            </c:strRef>
          </c:tx>
          <c:spPr>
            <a:ln w="12700">
              <a:solidFill>
                <a:srgbClr val="FFFF00"/>
              </a:solidFill>
              <a:prstDash val="solid"/>
            </a:ln>
          </c:spPr>
          <c:marker>
            <c:symbol val="dot"/>
            <c:size val="5"/>
            <c:spPr>
              <a:solidFill>
                <a:srgbClr val="FFFF00"/>
              </a:solidFill>
              <a:ln>
                <a:solidFill>
                  <a:srgbClr val="FFFF00"/>
                </a:solidFill>
                <a:prstDash val="solid"/>
              </a:ln>
            </c:spPr>
          </c:marker>
          <c:val>
            <c:numRef>
              <c:f>'2CC'!$F$2:$F$21</c:f>
              <c:numCache>
                <c:formatCode>0.000</c:formatCode>
                <c:ptCount val="20"/>
                <c:pt idx="0">
                  <c:v>7.166666666666667E-2</c:v>
                </c:pt>
                <c:pt idx="1">
                  <c:v>7.166666666666667E-2</c:v>
                </c:pt>
                <c:pt idx="2">
                  <c:v>7.166666666666667E-2</c:v>
                </c:pt>
                <c:pt idx="3">
                  <c:v>7.166666666666667E-2</c:v>
                </c:pt>
                <c:pt idx="4">
                  <c:v>7.166666666666667E-2</c:v>
                </c:pt>
                <c:pt idx="5">
                  <c:v>7.166666666666667E-2</c:v>
                </c:pt>
                <c:pt idx="6">
                  <c:v>7.166666666666667E-2</c:v>
                </c:pt>
                <c:pt idx="7">
                  <c:v>7.166666666666667E-2</c:v>
                </c:pt>
                <c:pt idx="8">
                  <c:v>7.166666666666667E-2</c:v>
                </c:pt>
                <c:pt idx="9">
                  <c:v>7.166666666666667E-2</c:v>
                </c:pt>
                <c:pt idx="10">
                  <c:v>7.166666666666667E-2</c:v>
                </c:pt>
                <c:pt idx="11">
                  <c:v>7.166666666666667E-2</c:v>
                </c:pt>
                <c:pt idx="12">
                  <c:v>7.166666666666667E-2</c:v>
                </c:pt>
                <c:pt idx="13">
                  <c:v>7.166666666666667E-2</c:v>
                </c:pt>
                <c:pt idx="14">
                  <c:v>7.166666666666667E-2</c:v>
                </c:pt>
                <c:pt idx="15">
                  <c:v>7.166666666666667E-2</c:v>
                </c:pt>
                <c:pt idx="16">
                  <c:v>7.166666666666667E-2</c:v>
                </c:pt>
                <c:pt idx="17">
                  <c:v>7.166666666666667E-2</c:v>
                </c:pt>
                <c:pt idx="18">
                  <c:v>7.166666666666667E-2</c:v>
                </c:pt>
                <c:pt idx="19">
                  <c:v>7.166666666666667E-2</c:v>
                </c:pt>
              </c:numCache>
            </c:numRef>
          </c:val>
          <c:smooth val="0"/>
          <c:extLst>
            <c:ext xmlns:c16="http://schemas.microsoft.com/office/drawing/2014/chart" uri="{C3380CC4-5D6E-409C-BE32-E72D297353CC}">
              <c16:uniqueId val="{00000002-660B-1643-906C-2D62E40CB51F}"/>
            </c:ext>
          </c:extLst>
        </c:ser>
        <c:ser>
          <c:idx val="3"/>
          <c:order val="3"/>
          <c:tx>
            <c:strRef>
              <c:f>'2CC'!$G$1</c:f>
              <c:strCache>
                <c:ptCount val="1"/>
                <c:pt idx="0">
                  <c:v>Límite Inferior</c:v>
                </c:pt>
              </c:strCache>
            </c:strRef>
          </c:tx>
          <c:spPr>
            <a:ln w="12700">
              <a:solidFill>
                <a:srgbClr val="00FFFF"/>
              </a:solidFill>
              <a:prstDash val="solid"/>
            </a:ln>
          </c:spPr>
          <c:marker>
            <c:symbol val="dot"/>
            <c:size val="5"/>
            <c:spPr>
              <a:noFill/>
              <a:ln>
                <a:solidFill>
                  <a:srgbClr val="00FFFF"/>
                </a:solidFill>
                <a:prstDash val="solid"/>
              </a:ln>
            </c:spPr>
          </c:marker>
          <c:val>
            <c:numRef>
              <c:f>'2CC'!$G$2:$G$21</c:f>
              <c:numCache>
                <c:formatCode>0.000</c:formatCode>
                <c:ptCount val="20"/>
                <c:pt idx="0">
                  <c:v>1.0282092467408938E-3</c:v>
                </c:pt>
                <c:pt idx="1">
                  <c:v>1.0282092467408938E-3</c:v>
                </c:pt>
                <c:pt idx="2">
                  <c:v>1.0282092467408938E-3</c:v>
                </c:pt>
                <c:pt idx="3">
                  <c:v>1.0282092467408938E-3</c:v>
                </c:pt>
                <c:pt idx="4">
                  <c:v>1.0282092467408938E-3</c:v>
                </c:pt>
                <c:pt idx="5">
                  <c:v>1.0282092467408938E-3</c:v>
                </c:pt>
                <c:pt idx="6">
                  <c:v>1.0282092467408938E-3</c:v>
                </c:pt>
                <c:pt idx="7">
                  <c:v>1.0282092467408938E-3</c:v>
                </c:pt>
                <c:pt idx="8">
                  <c:v>1.0282092467408938E-3</c:v>
                </c:pt>
                <c:pt idx="9">
                  <c:v>1.0282092467408938E-3</c:v>
                </c:pt>
                <c:pt idx="10">
                  <c:v>1.0282092467408938E-3</c:v>
                </c:pt>
                <c:pt idx="11">
                  <c:v>1.0282092467408938E-3</c:v>
                </c:pt>
                <c:pt idx="12">
                  <c:v>1.0282092467408938E-3</c:v>
                </c:pt>
                <c:pt idx="13">
                  <c:v>1.0282092467408938E-3</c:v>
                </c:pt>
                <c:pt idx="14">
                  <c:v>1.0282092467408938E-3</c:v>
                </c:pt>
                <c:pt idx="15">
                  <c:v>1.0282092467408938E-3</c:v>
                </c:pt>
                <c:pt idx="16">
                  <c:v>1.0282092467408938E-3</c:v>
                </c:pt>
                <c:pt idx="17">
                  <c:v>1.0282092467408938E-3</c:v>
                </c:pt>
                <c:pt idx="18">
                  <c:v>1.0282092467408938E-3</c:v>
                </c:pt>
                <c:pt idx="19">
                  <c:v>1.0282092467408938E-3</c:v>
                </c:pt>
              </c:numCache>
            </c:numRef>
          </c:val>
          <c:smooth val="0"/>
          <c:extLst>
            <c:ext xmlns:c16="http://schemas.microsoft.com/office/drawing/2014/chart" uri="{C3380CC4-5D6E-409C-BE32-E72D297353CC}">
              <c16:uniqueId val="{00000003-660B-1643-906C-2D62E40CB51F}"/>
            </c:ext>
          </c:extLst>
        </c:ser>
        <c:dLbls>
          <c:showLegendKey val="0"/>
          <c:showVal val="0"/>
          <c:showCatName val="0"/>
          <c:showSerName val="0"/>
          <c:showPercent val="0"/>
          <c:showBubbleSize val="0"/>
        </c:dLbls>
        <c:marker val="1"/>
        <c:smooth val="0"/>
        <c:axId val="2101735464"/>
        <c:axId val="2046911192"/>
      </c:lineChart>
      <c:catAx>
        <c:axId val="210173546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Lote</a:t>
                </a:r>
              </a:p>
            </c:rich>
          </c:tx>
          <c:layout>
            <c:manualLayout>
              <c:xMode val="edge"/>
              <c:yMode val="edge"/>
              <c:x val="0.53346832391477905"/>
              <c:y val="0.814333502667004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CR"/>
          </a:p>
        </c:txPr>
        <c:crossAx val="2046911192"/>
        <c:crosses val="autoZero"/>
        <c:auto val="1"/>
        <c:lblAlgn val="ctr"/>
        <c:lblOffset val="100"/>
        <c:tickLblSkip val="2"/>
        <c:tickMarkSkip val="1"/>
        <c:noMultiLvlLbl val="0"/>
      </c:catAx>
      <c:valAx>
        <c:axId val="204691119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Proporción defectuosos</a:t>
                </a:r>
              </a:p>
            </c:rich>
          </c:tx>
          <c:layout>
            <c:manualLayout>
              <c:xMode val="edge"/>
              <c:yMode val="edge"/>
              <c:x val="2.6369186456066701E-2"/>
              <c:y val="0.224756159512319"/>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CR"/>
          </a:p>
        </c:txPr>
        <c:crossAx val="2101735464"/>
        <c:crosses val="autoZero"/>
        <c:crossBetween val="between"/>
      </c:valAx>
      <c:spPr>
        <a:solidFill>
          <a:srgbClr val="C0C0C0"/>
        </a:solidFill>
        <a:ln w="12700">
          <a:solidFill>
            <a:srgbClr val="808080"/>
          </a:solidFill>
          <a:prstDash val="solid"/>
        </a:ln>
      </c:spPr>
    </c:plotArea>
    <c:legend>
      <c:legendPos val="r"/>
      <c:layout>
        <c:manualLayout>
          <c:xMode val="edge"/>
          <c:yMode val="edge"/>
          <c:x val="0.19681908548707699"/>
          <c:y val="0.90967767335534699"/>
          <c:w val="0.73558648111332003"/>
          <c:h val="6.774193548387100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CR"/>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CR"/>
    </a:p>
  </c:txPr>
  <c:printSettings>
    <c:headerFooter/>
    <c:pageMargins b="1" l="0.75" r="0.75" t="1" header="0.5" footer="0.5"/>
    <c:pageSetup orientation="landscape" horizontalDpi="-3"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Gráfica X</a:t>
            </a:r>
          </a:p>
        </c:rich>
      </c:tx>
      <c:overlay val="0"/>
    </c:title>
    <c:autoTitleDeleted val="0"/>
    <c:plotArea>
      <c:layout/>
      <c:lineChart>
        <c:grouping val="standard"/>
        <c:varyColors val="0"/>
        <c:ser>
          <c:idx val="0"/>
          <c:order val="0"/>
          <c:tx>
            <c:strRef>
              <c:f>'3CC'!$J$2</c:f>
              <c:strCache>
                <c:ptCount val="1"/>
                <c:pt idx="0">
                  <c:v>X</c:v>
                </c:pt>
              </c:strCache>
            </c:strRef>
          </c:tx>
          <c:val>
            <c:numRef>
              <c:f>'3CC'!$J$3:$J$7</c:f>
              <c:numCache>
                <c:formatCode>General</c:formatCode>
                <c:ptCount val="5"/>
                <c:pt idx="0">
                  <c:v>28.8</c:v>
                </c:pt>
                <c:pt idx="1">
                  <c:v>27.6</c:v>
                </c:pt>
                <c:pt idx="2">
                  <c:v>30.4</c:v>
                </c:pt>
                <c:pt idx="3">
                  <c:v>24.8</c:v>
                </c:pt>
                <c:pt idx="4">
                  <c:v>28.2</c:v>
                </c:pt>
              </c:numCache>
            </c:numRef>
          </c:val>
          <c:smooth val="0"/>
          <c:extLst>
            <c:ext xmlns:c16="http://schemas.microsoft.com/office/drawing/2014/chart" uri="{C3380CC4-5D6E-409C-BE32-E72D297353CC}">
              <c16:uniqueId val="{00000000-3D56-8741-A377-3034D4CA233C}"/>
            </c:ext>
          </c:extLst>
        </c:ser>
        <c:ser>
          <c:idx val="1"/>
          <c:order val="1"/>
          <c:tx>
            <c:strRef>
              <c:f>'3CC'!$K$2</c:f>
              <c:strCache>
                <c:ptCount val="1"/>
                <c:pt idx="0">
                  <c:v>USL</c:v>
                </c:pt>
              </c:strCache>
            </c:strRef>
          </c:tx>
          <c:val>
            <c:numRef>
              <c:f>'3CC'!$K$3:$K$7</c:f>
              <c:numCache>
                <c:formatCode>0.000</c:formatCode>
                <c:ptCount val="5"/>
                <c:pt idx="0">
                  <c:v>33.152999999999999</c:v>
                </c:pt>
                <c:pt idx="1">
                  <c:v>33.152999999999999</c:v>
                </c:pt>
                <c:pt idx="2">
                  <c:v>33.152999999999999</c:v>
                </c:pt>
                <c:pt idx="3">
                  <c:v>33.152999999999999</c:v>
                </c:pt>
                <c:pt idx="4">
                  <c:v>33.152999999999999</c:v>
                </c:pt>
              </c:numCache>
            </c:numRef>
          </c:val>
          <c:smooth val="0"/>
          <c:extLst>
            <c:ext xmlns:c16="http://schemas.microsoft.com/office/drawing/2014/chart" uri="{C3380CC4-5D6E-409C-BE32-E72D297353CC}">
              <c16:uniqueId val="{00000001-3D56-8741-A377-3034D4CA233C}"/>
            </c:ext>
          </c:extLst>
        </c:ser>
        <c:ser>
          <c:idx val="2"/>
          <c:order val="2"/>
          <c:tx>
            <c:strRef>
              <c:f>'3CC'!$L$2</c:f>
              <c:strCache>
                <c:ptCount val="1"/>
                <c:pt idx="0">
                  <c:v>CSL</c:v>
                </c:pt>
              </c:strCache>
            </c:strRef>
          </c:tx>
          <c:val>
            <c:numRef>
              <c:f>'3CC'!$L$3:$L$7</c:f>
              <c:numCache>
                <c:formatCode>General</c:formatCode>
                <c:ptCount val="5"/>
                <c:pt idx="0">
                  <c:v>27.96</c:v>
                </c:pt>
                <c:pt idx="1">
                  <c:v>27.96</c:v>
                </c:pt>
                <c:pt idx="2">
                  <c:v>27.96</c:v>
                </c:pt>
                <c:pt idx="3">
                  <c:v>27.96</c:v>
                </c:pt>
                <c:pt idx="4">
                  <c:v>27.96</c:v>
                </c:pt>
              </c:numCache>
            </c:numRef>
          </c:val>
          <c:smooth val="0"/>
          <c:extLst>
            <c:ext xmlns:c16="http://schemas.microsoft.com/office/drawing/2014/chart" uri="{C3380CC4-5D6E-409C-BE32-E72D297353CC}">
              <c16:uniqueId val="{00000002-3D56-8741-A377-3034D4CA233C}"/>
            </c:ext>
          </c:extLst>
        </c:ser>
        <c:ser>
          <c:idx val="3"/>
          <c:order val="3"/>
          <c:tx>
            <c:strRef>
              <c:f>'3CC'!$M$2</c:f>
              <c:strCache>
                <c:ptCount val="1"/>
                <c:pt idx="0">
                  <c:v>ISL</c:v>
                </c:pt>
              </c:strCache>
            </c:strRef>
          </c:tx>
          <c:val>
            <c:numRef>
              <c:f>'3CC'!$M$3:$M$7</c:f>
              <c:numCache>
                <c:formatCode>0.000</c:formatCode>
                <c:ptCount val="5"/>
                <c:pt idx="0">
                  <c:v>22.767000000000003</c:v>
                </c:pt>
                <c:pt idx="1">
                  <c:v>22.767000000000003</c:v>
                </c:pt>
                <c:pt idx="2">
                  <c:v>22.767000000000003</c:v>
                </c:pt>
                <c:pt idx="3">
                  <c:v>22.767000000000003</c:v>
                </c:pt>
                <c:pt idx="4">
                  <c:v>22.767000000000003</c:v>
                </c:pt>
              </c:numCache>
            </c:numRef>
          </c:val>
          <c:smooth val="0"/>
          <c:extLst>
            <c:ext xmlns:c16="http://schemas.microsoft.com/office/drawing/2014/chart" uri="{C3380CC4-5D6E-409C-BE32-E72D297353CC}">
              <c16:uniqueId val="{00000003-3D56-8741-A377-3034D4CA233C}"/>
            </c:ext>
          </c:extLst>
        </c:ser>
        <c:dLbls>
          <c:showLegendKey val="0"/>
          <c:showVal val="0"/>
          <c:showCatName val="0"/>
          <c:showSerName val="0"/>
          <c:showPercent val="0"/>
          <c:showBubbleSize val="0"/>
        </c:dLbls>
        <c:marker val="1"/>
        <c:smooth val="0"/>
        <c:axId val="522699608"/>
        <c:axId val="522702728"/>
      </c:lineChart>
      <c:catAx>
        <c:axId val="522699608"/>
        <c:scaling>
          <c:orientation val="minMax"/>
        </c:scaling>
        <c:delete val="0"/>
        <c:axPos val="b"/>
        <c:majorTickMark val="none"/>
        <c:minorTickMark val="none"/>
        <c:tickLblPos val="nextTo"/>
        <c:crossAx val="522702728"/>
        <c:crosses val="autoZero"/>
        <c:auto val="1"/>
        <c:lblAlgn val="ctr"/>
        <c:lblOffset val="100"/>
        <c:noMultiLvlLbl val="0"/>
      </c:catAx>
      <c:valAx>
        <c:axId val="522702728"/>
        <c:scaling>
          <c:orientation val="minMax"/>
          <c:min val="20"/>
        </c:scaling>
        <c:delete val="0"/>
        <c:axPos val="l"/>
        <c:majorGridlines/>
        <c:title>
          <c:overlay val="0"/>
        </c:title>
        <c:numFmt formatCode="General" sourceLinked="1"/>
        <c:majorTickMark val="none"/>
        <c:minorTickMark val="none"/>
        <c:tickLblPos val="nextTo"/>
        <c:crossAx val="522699608"/>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Gráfica R</a:t>
            </a:r>
          </a:p>
        </c:rich>
      </c:tx>
      <c:overlay val="0"/>
    </c:title>
    <c:autoTitleDeleted val="0"/>
    <c:plotArea>
      <c:layout/>
      <c:lineChart>
        <c:grouping val="standard"/>
        <c:varyColors val="0"/>
        <c:ser>
          <c:idx val="0"/>
          <c:order val="0"/>
          <c:tx>
            <c:strRef>
              <c:f>'3CC'!$J$9</c:f>
              <c:strCache>
                <c:ptCount val="1"/>
                <c:pt idx="0">
                  <c:v>R</c:v>
                </c:pt>
              </c:strCache>
            </c:strRef>
          </c:tx>
          <c:val>
            <c:numRef>
              <c:f>'3CC'!$J$10:$J$14</c:f>
              <c:numCache>
                <c:formatCode>General</c:formatCode>
                <c:ptCount val="5"/>
                <c:pt idx="0">
                  <c:v>9</c:v>
                </c:pt>
                <c:pt idx="1">
                  <c:v>5</c:v>
                </c:pt>
                <c:pt idx="2">
                  <c:v>3</c:v>
                </c:pt>
                <c:pt idx="3">
                  <c:v>20</c:v>
                </c:pt>
                <c:pt idx="4">
                  <c:v>8</c:v>
                </c:pt>
              </c:numCache>
            </c:numRef>
          </c:val>
          <c:smooth val="0"/>
          <c:extLst>
            <c:ext xmlns:c16="http://schemas.microsoft.com/office/drawing/2014/chart" uri="{C3380CC4-5D6E-409C-BE32-E72D297353CC}">
              <c16:uniqueId val="{00000000-4FD5-6D4D-B70F-8C849502D239}"/>
            </c:ext>
          </c:extLst>
        </c:ser>
        <c:ser>
          <c:idx val="1"/>
          <c:order val="1"/>
          <c:tx>
            <c:strRef>
              <c:f>'3CC'!$K$9</c:f>
              <c:strCache>
                <c:ptCount val="1"/>
                <c:pt idx="0">
                  <c:v>USL</c:v>
                </c:pt>
              </c:strCache>
            </c:strRef>
          </c:tx>
          <c:val>
            <c:numRef>
              <c:f>'3CC'!$K$10:$K$14</c:f>
              <c:numCache>
                <c:formatCode>0.000</c:formatCode>
                <c:ptCount val="5"/>
                <c:pt idx="0">
                  <c:v>19.035000000000004</c:v>
                </c:pt>
                <c:pt idx="1">
                  <c:v>19.035000000000004</c:v>
                </c:pt>
                <c:pt idx="2">
                  <c:v>19.035000000000004</c:v>
                </c:pt>
                <c:pt idx="3">
                  <c:v>19.035000000000004</c:v>
                </c:pt>
                <c:pt idx="4">
                  <c:v>19.035000000000004</c:v>
                </c:pt>
              </c:numCache>
            </c:numRef>
          </c:val>
          <c:smooth val="0"/>
          <c:extLst>
            <c:ext xmlns:c16="http://schemas.microsoft.com/office/drawing/2014/chart" uri="{C3380CC4-5D6E-409C-BE32-E72D297353CC}">
              <c16:uniqueId val="{00000001-4FD5-6D4D-B70F-8C849502D239}"/>
            </c:ext>
          </c:extLst>
        </c:ser>
        <c:ser>
          <c:idx val="2"/>
          <c:order val="2"/>
          <c:tx>
            <c:strRef>
              <c:f>'3CC'!$L$9</c:f>
              <c:strCache>
                <c:ptCount val="1"/>
                <c:pt idx="0">
                  <c:v>CSL</c:v>
                </c:pt>
              </c:strCache>
            </c:strRef>
          </c:tx>
          <c:val>
            <c:numRef>
              <c:f>'3CC'!$L$10:$L$14</c:f>
              <c:numCache>
                <c:formatCode>General</c:formatCode>
                <c:ptCount val="5"/>
                <c:pt idx="0">
                  <c:v>9</c:v>
                </c:pt>
                <c:pt idx="1">
                  <c:v>9</c:v>
                </c:pt>
                <c:pt idx="2">
                  <c:v>9</c:v>
                </c:pt>
                <c:pt idx="3">
                  <c:v>9</c:v>
                </c:pt>
                <c:pt idx="4">
                  <c:v>9</c:v>
                </c:pt>
              </c:numCache>
            </c:numRef>
          </c:val>
          <c:smooth val="0"/>
          <c:extLst>
            <c:ext xmlns:c16="http://schemas.microsoft.com/office/drawing/2014/chart" uri="{C3380CC4-5D6E-409C-BE32-E72D297353CC}">
              <c16:uniqueId val="{00000002-4FD5-6D4D-B70F-8C849502D239}"/>
            </c:ext>
          </c:extLst>
        </c:ser>
        <c:ser>
          <c:idx val="3"/>
          <c:order val="3"/>
          <c:tx>
            <c:strRef>
              <c:f>'3CC'!$M$9</c:f>
              <c:strCache>
                <c:ptCount val="1"/>
                <c:pt idx="0">
                  <c:v>ISL</c:v>
                </c:pt>
              </c:strCache>
            </c:strRef>
          </c:tx>
          <c:val>
            <c:numRef>
              <c:f>'3CC'!$M$10:$M$14</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4FD5-6D4D-B70F-8C849502D239}"/>
            </c:ext>
          </c:extLst>
        </c:ser>
        <c:dLbls>
          <c:showLegendKey val="0"/>
          <c:showVal val="0"/>
          <c:showCatName val="0"/>
          <c:showSerName val="0"/>
          <c:showPercent val="0"/>
          <c:showBubbleSize val="0"/>
        </c:dLbls>
        <c:marker val="1"/>
        <c:smooth val="0"/>
        <c:axId val="522791544"/>
        <c:axId val="522794664"/>
      </c:lineChart>
      <c:catAx>
        <c:axId val="522791544"/>
        <c:scaling>
          <c:orientation val="minMax"/>
        </c:scaling>
        <c:delete val="0"/>
        <c:axPos val="b"/>
        <c:majorTickMark val="none"/>
        <c:minorTickMark val="none"/>
        <c:tickLblPos val="nextTo"/>
        <c:crossAx val="522794664"/>
        <c:crosses val="autoZero"/>
        <c:auto val="1"/>
        <c:lblAlgn val="ctr"/>
        <c:lblOffset val="100"/>
        <c:noMultiLvlLbl val="0"/>
      </c:catAx>
      <c:valAx>
        <c:axId val="522794664"/>
        <c:scaling>
          <c:orientation val="minMax"/>
          <c:max val="20"/>
        </c:scaling>
        <c:delete val="0"/>
        <c:axPos val="l"/>
        <c:majorGridlines/>
        <c:title>
          <c:overlay val="0"/>
        </c:title>
        <c:numFmt formatCode="General" sourceLinked="1"/>
        <c:majorTickMark val="none"/>
        <c:minorTickMark val="none"/>
        <c:tickLblPos val="nextTo"/>
        <c:crossAx val="52279154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Gráfica R</a:t>
            </a:r>
          </a:p>
        </c:rich>
      </c:tx>
      <c:overlay val="0"/>
    </c:title>
    <c:autoTitleDeleted val="0"/>
    <c:plotArea>
      <c:layout/>
      <c:lineChart>
        <c:grouping val="standard"/>
        <c:varyColors val="0"/>
        <c:ser>
          <c:idx val="0"/>
          <c:order val="0"/>
          <c:tx>
            <c:strRef>
              <c:f>'3CC'!$J$30</c:f>
              <c:strCache>
                <c:ptCount val="1"/>
                <c:pt idx="0">
                  <c:v>R</c:v>
                </c:pt>
              </c:strCache>
            </c:strRef>
          </c:tx>
          <c:val>
            <c:numRef>
              <c:f>'3CC'!$J$31:$J$34</c:f>
              <c:numCache>
                <c:formatCode>General</c:formatCode>
                <c:ptCount val="4"/>
                <c:pt idx="0">
                  <c:v>9</c:v>
                </c:pt>
                <c:pt idx="1">
                  <c:v>5</c:v>
                </c:pt>
                <c:pt idx="2">
                  <c:v>3</c:v>
                </c:pt>
                <c:pt idx="3">
                  <c:v>8</c:v>
                </c:pt>
              </c:numCache>
            </c:numRef>
          </c:val>
          <c:smooth val="0"/>
          <c:extLst>
            <c:ext xmlns:c16="http://schemas.microsoft.com/office/drawing/2014/chart" uri="{C3380CC4-5D6E-409C-BE32-E72D297353CC}">
              <c16:uniqueId val="{00000000-472F-6E49-829D-74BA67F56C36}"/>
            </c:ext>
          </c:extLst>
        </c:ser>
        <c:ser>
          <c:idx val="1"/>
          <c:order val="1"/>
          <c:tx>
            <c:strRef>
              <c:f>'3CC'!$K$30</c:f>
              <c:strCache>
                <c:ptCount val="1"/>
                <c:pt idx="0">
                  <c:v>USL</c:v>
                </c:pt>
              </c:strCache>
            </c:strRef>
          </c:tx>
          <c:val>
            <c:numRef>
              <c:f>'3CC'!$K$31:$K$34</c:f>
              <c:numCache>
                <c:formatCode>0.000</c:formatCode>
                <c:ptCount val="4"/>
                <c:pt idx="0">
                  <c:v>13.218750000000002</c:v>
                </c:pt>
                <c:pt idx="1">
                  <c:v>13.218750000000002</c:v>
                </c:pt>
                <c:pt idx="2">
                  <c:v>13.218750000000002</c:v>
                </c:pt>
                <c:pt idx="3">
                  <c:v>13.218750000000002</c:v>
                </c:pt>
              </c:numCache>
            </c:numRef>
          </c:val>
          <c:smooth val="0"/>
          <c:extLst>
            <c:ext xmlns:c16="http://schemas.microsoft.com/office/drawing/2014/chart" uri="{C3380CC4-5D6E-409C-BE32-E72D297353CC}">
              <c16:uniqueId val="{00000001-472F-6E49-829D-74BA67F56C36}"/>
            </c:ext>
          </c:extLst>
        </c:ser>
        <c:ser>
          <c:idx val="2"/>
          <c:order val="2"/>
          <c:tx>
            <c:strRef>
              <c:f>'3CC'!$L$30</c:f>
              <c:strCache>
                <c:ptCount val="1"/>
                <c:pt idx="0">
                  <c:v>CSL</c:v>
                </c:pt>
              </c:strCache>
            </c:strRef>
          </c:tx>
          <c:val>
            <c:numRef>
              <c:f>'3CC'!$L$31:$L$34</c:f>
              <c:numCache>
                <c:formatCode>General</c:formatCode>
                <c:ptCount val="4"/>
                <c:pt idx="0">
                  <c:v>6.25</c:v>
                </c:pt>
                <c:pt idx="1">
                  <c:v>6.25</c:v>
                </c:pt>
                <c:pt idx="2">
                  <c:v>6.25</c:v>
                </c:pt>
                <c:pt idx="3" formatCode="0.000">
                  <c:v>6.25</c:v>
                </c:pt>
              </c:numCache>
            </c:numRef>
          </c:val>
          <c:smooth val="0"/>
          <c:extLst>
            <c:ext xmlns:c16="http://schemas.microsoft.com/office/drawing/2014/chart" uri="{C3380CC4-5D6E-409C-BE32-E72D297353CC}">
              <c16:uniqueId val="{00000002-472F-6E49-829D-74BA67F56C36}"/>
            </c:ext>
          </c:extLst>
        </c:ser>
        <c:ser>
          <c:idx val="3"/>
          <c:order val="3"/>
          <c:tx>
            <c:strRef>
              <c:f>'3CC'!$M$30</c:f>
              <c:strCache>
                <c:ptCount val="1"/>
                <c:pt idx="0">
                  <c:v>ISL</c:v>
                </c:pt>
              </c:strCache>
            </c:strRef>
          </c:tx>
          <c:val>
            <c:numRef>
              <c:f>'3CC'!$M$31:$M$34</c:f>
              <c:numCache>
                <c:formatCode>0.00</c:formatCode>
                <c:ptCount val="4"/>
                <c:pt idx="0">
                  <c:v>0</c:v>
                </c:pt>
                <c:pt idx="1">
                  <c:v>0</c:v>
                </c:pt>
                <c:pt idx="2">
                  <c:v>0</c:v>
                </c:pt>
                <c:pt idx="3" formatCode="0.000">
                  <c:v>0</c:v>
                </c:pt>
              </c:numCache>
            </c:numRef>
          </c:val>
          <c:smooth val="0"/>
          <c:extLst>
            <c:ext xmlns:c16="http://schemas.microsoft.com/office/drawing/2014/chart" uri="{C3380CC4-5D6E-409C-BE32-E72D297353CC}">
              <c16:uniqueId val="{00000003-472F-6E49-829D-74BA67F56C36}"/>
            </c:ext>
          </c:extLst>
        </c:ser>
        <c:dLbls>
          <c:showLegendKey val="0"/>
          <c:showVal val="0"/>
          <c:showCatName val="0"/>
          <c:showSerName val="0"/>
          <c:showPercent val="0"/>
          <c:showBubbleSize val="0"/>
        </c:dLbls>
        <c:marker val="1"/>
        <c:smooth val="0"/>
        <c:axId val="522831928"/>
        <c:axId val="522835048"/>
      </c:lineChart>
      <c:catAx>
        <c:axId val="522831928"/>
        <c:scaling>
          <c:orientation val="minMax"/>
        </c:scaling>
        <c:delete val="0"/>
        <c:axPos val="b"/>
        <c:majorTickMark val="none"/>
        <c:minorTickMark val="none"/>
        <c:tickLblPos val="nextTo"/>
        <c:crossAx val="522835048"/>
        <c:crosses val="autoZero"/>
        <c:auto val="1"/>
        <c:lblAlgn val="ctr"/>
        <c:lblOffset val="100"/>
        <c:noMultiLvlLbl val="0"/>
      </c:catAx>
      <c:valAx>
        <c:axId val="522835048"/>
        <c:scaling>
          <c:orientation val="minMax"/>
        </c:scaling>
        <c:delete val="0"/>
        <c:axPos val="l"/>
        <c:majorGridlines/>
        <c:title>
          <c:overlay val="0"/>
        </c:title>
        <c:numFmt formatCode="General" sourceLinked="1"/>
        <c:majorTickMark val="none"/>
        <c:minorTickMark val="none"/>
        <c:tickLblPos val="nextTo"/>
        <c:crossAx val="522831928"/>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Gráfica X</a:t>
            </a:r>
          </a:p>
        </c:rich>
      </c:tx>
      <c:overlay val="0"/>
    </c:title>
    <c:autoTitleDeleted val="0"/>
    <c:plotArea>
      <c:layout/>
      <c:lineChart>
        <c:grouping val="standard"/>
        <c:varyColors val="0"/>
        <c:ser>
          <c:idx val="0"/>
          <c:order val="0"/>
          <c:tx>
            <c:strRef>
              <c:f>'3CC'!$J$23</c:f>
              <c:strCache>
                <c:ptCount val="1"/>
                <c:pt idx="0">
                  <c:v>X</c:v>
                </c:pt>
              </c:strCache>
            </c:strRef>
          </c:tx>
          <c:val>
            <c:numRef>
              <c:f>'3CC'!$J$24:$J$28</c:f>
              <c:numCache>
                <c:formatCode>General</c:formatCode>
                <c:ptCount val="5"/>
                <c:pt idx="0">
                  <c:v>28.8</c:v>
                </c:pt>
                <c:pt idx="1">
                  <c:v>27.6</c:v>
                </c:pt>
                <c:pt idx="2">
                  <c:v>30.4</c:v>
                </c:pt>
                <c:pt idx="3">
                  <c:v>24.8</c:v>
                </c:pt>
                <c:pt idx="4">
                  <c:v>28.2</c:v>
                </c:pt>
              </c:numCache>
            </c:numRef>
          </c:val>
          <c:smooth val="0"/>
          <c:extLst>
            <c:ext xmlns:c16="http://schemas.microsoft.com/office/drawing/2014/chart" uri="{C3380CC4-5D6E-409C-BE32-E72D297353CC}">
              <c16:uniqueId val="{00000000-F5B4-1E48-9133-5195CFDDE2D5}"/>
            </c:ext>
          </c:extLst>
        </c:ser>
        <c:ser>
          <c:idx val="1"/>
          <c:order val="1"/>
          <c:tx>
            <c:strRef>
              <c:f>'3CC'!$K$23</c:f>
              <c:strCache>
                <c:ptCount val="1"/>
                <c:pt idx="0">
                  <c:v>USL</c:v>
                </c:pt>
              </c:strCache>
            </c:strRef>
          </c:tx>
          <c:val>
            <c:numRef>
              <c:f>'3CC'!$K$24:$K$28</c:f>
              <c:numCache>
                <c:formatCode>0.000</c:formatCode>
                <c:ptCount val="5"/>
                <c:pt idx="0">
                  <c:v>31.56625</c:v>
                </c:pt>
                <c:pt idx="1">
                  <c:v>31.56625</c:v>
                </c:pt>
                <c:pt idx="2">
                  <c:v>31.56625</c:v>
                </c:pt>
                <c:pt idx="3">
                  <c:v>31.56625</c:v>
                </c:pt>
                <c:pt idx="4">
                  <c:v>31.56625</c:v>
                </c:pt>
              </c:numCache>
            </c:numRef>
          </c:val>
          <c:smooth val="0"/>
          <c:extLst>
            <c:ext xmlns:c16="http://schemas.microsoft.com/office/drawing/2014/chart" uri="{C3380CC4-5D6E-409C-BE32-E72D297353CC}">
              <c16:uniqueId val="{00000001-F5B4-1E48-9133-5195CFDDE2D5}"/>
            </c:ext>
          </c:extLst>
        </c:ser>
        <c:ser>
          <c:idx val="2"/>
          <c:order val="2"/>
          <c:tx>
            <c:strRef>
              <c:f>'3CC'!$L$23</c:f>
              <c:strCache>
                <c:ptCount val="1"/>
                <c:pt idx="0">
                  <c:v>CSL</c:v>
                </c:pt>
              </c:strCache>
            </c:strRef>
          </c:tx>
          <c:val>
            <c:numRef>
              <c:f>'3CC'!$L$24:$L$28</c:f>
              <c:numCache>
                <c:formatCode>General</c:formatCode>
                <c:ptCount val="5"/>
                <c:pt idx="0">
                  <c:v>27.96</c:v>
                </c:pt>
                <c:pt idx="1">
                  <c:v>27.96</c:v>
                </c:pt>
                <c:pt idx="2">
                  <c:v>27.96</c:v>
                </c:pt>
                <c:pt idx="3">
                  <c:v>27.96</c:v>
                </c:pt>
                <c:pt idx="4">
                  <c:v>27.96</c:v>
                </c:pt>
              </c:numCache>
            </c:numRef>
          </c:val>
          <c:smooth val="0"/>
          <c:extLst>
            <c:ext xmlns:c16="http://schemas.microsoft.com/office/drawing/2014/chart" uri="{C3380CC4-5D6E-409C-BE32-E72D297353CC}">
              <c16:uniqueId val="{00000002-F5B4-1E48-9133-5195CFDDE2D5}"/>
            </c:ext>
          </c:extLst>
        </c:ser>
        <c:ser>
          <c:idx val="3"/>
          <c:order val="3"/>
          <c:tx>
            <c:strRef>
              <c:f>'3CC'!$M$23</c:f>
              <c:strCache>
                <c:ptCount val="1"/>
                <c:pt idx="0">
                  <c:v>ISL</c:v>
                </c:pt>
              </c:strCache>
            </c:strRef>
          </c:tx>
          <c:val>
            <c:numRef>
              <c:f>'3CC'!$M$24:$M$28</c:f>
              <c:numCache>
                <c:formatCode>0.000</c:formatCode>
                <c:ptCount val="5"/>
                <c:pt idx="0">
                  <c:v>24.353750000000002</c:v>
                </c:pt>
                <c:pt idx="1">
                  <c:v>24.353750000000002</c:v>
                </c:pt>
                <c:pt idx="2">
                  <c:v>24.353750000000002</c:v>
                </c:pt>
                <c:pt idx="3">
                  <c:v>24.353750000000002</c:v>
                </c:pt>
                <c:pt idx="4">
                  <c:v>24.353750000000002</c:v>
                </c:pt>
              </c:numCache>
            </c:numRef>
          </c:val>
          <c:smooth val="0"/>
          <c:extLst>
            <c:ext xmlns:c16="http://schemas.microsoft.com/office/drawing/2014/chart" uri="{C3380CC4-5D6E-409C-BE32-E72D297353CC}">
              <c16:uniqueId val="{00000003-F5B4-1E48-9133-5195CFDDE2D5}"/>
            </c:ext>
          </c:extLst>
        </c:ser>
        <c:dLbls>
          <c:showLegendKey val="0"/>
          <c:showVal val="0"/>
          <c:showCatName val="0"/>
          <c:showSerName val="0"/>
          <c:showPercent val="0"/>
          <c:showBubbleSize val="0"/>
        </c:dLbls>
        <c:marker val="1"/>
        <c:smooth val="0"/>
        <c:axId val="522872632"/>
        <c:axId val="522875752"/>
      </c:lineChart>
      <c:catAx>
        <c:axId val="522872632"/>
        <c:scaling>
          <c:orientation val="minMax"/>
        </c:scaling>
        <c:delete val="0"/>
        <c:axPos val="b"/>
        <c:majorTickMark val="none"/>
        <c:minorTickMark val="none"/>
        <c:tickLblPos val="nextTo"/>
        <c:crossAx val="522875752"/>
        <c:crosses val="autoZero"/>
        <c:auto val="1"/>
        <c:lblAlgn val="ctr"/>
        <c:lblOffset val="100"/>
        <c:noMultiLvlLbl val="0"/>
      </c:catAx>
      <c:valAx>
        <c:axId val="522875752"/>
        <c:scaling>
          <c:orientation val="minMax"/>
          <c:max val="33"/>
          <c:min val="22"/>
        </c:scaling>
        <c:delete val="0"/>
        <c:axPos val="l"/>
        <c:majorGridlines/>
        <c:title>
          <c:overlay val="0"/>
        </c:title>
        <c:numFmt formatCode="General" sourceLinked="1"/>
        <c:majorTickMark val="none"/>
        <c:minorTickMark val="none"/>
        <c:tickLblPos val="nextTo"/>
        <c:crossAx val="522872632"/>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Verdana"/>
                <a:ea typeface="Verdana"/>
                <a:cs typeface="Verdana"/>
              </a:defRPr>
            </a:pPr>
            <a:r>
              <a:rPr lang="en-US"/>
              <a:t>Gráfica de Promedios</a:t>
            </a:r>
          </a:p>
        </c:rich>
      </c:tx>
      <c:layout>
        <c:manualLayout>
          <c:xMode val="edge"/>
          <c:yMode val="edge"/>
          <c:x val="0.37942665106050932"/>
          <c:y val="3.2338351842827462E-2"/>
        </c:manualLayout>
      </c:layout>
      <c:overlay val="0"/>
      <c:spPr>
        <a:noFill/>
        <a:ln w="25400">
          <a:noFill/>
        </a:ln>
      </c:spPr>
    </c:title>
    <c:autoTitleDeleted val="0"/>
    <c:plotArea>
      <c:layout>
        <c:manualLayout>
          <c:layoutTarget val="inner"/>
          <c:xMode val="edge"/>
          <c:yMode val="edge"/>
          <c:x val="8.1083703247783634E-2"/>
          <c:y val="0.13681208796255703"/>
          <c:w val="0.88966841063540369"/>
          <c:h val="0.73617933046518791"/>
        </c:manualLayout>
      </c:layout>
      <c:lineChart>
        <c:grouping val="standard"/>
        <c:varyColors val="0"/>
        <c:ser>
          <c:idx val="0"/>
          <c:order val="0"/>
          <c:tx>
            <c:strRef>
              <c:f>'4CC'!$A$1</c:f>
              <c:strCache>
                <c:ptCount val="1"/>
                <c:pt idx="0">
                  <c:v>Promedio</c:v>
                </c:pt>
              </c:strCache>
            </c:strRef>
          </c:tx>
          <c:spPr>
            <a:ln w="25400">
              <a:solidFill>
                <a:srgbClr val="63AAFE"/>
              </a:solidFill>
              <a:prstDash val="solid"/>
            </a:ln>
          </c:spPr>
          <c:marker>
            <c:symbol val="diamond"/>
            <c:size val="7"/>
            <c:spPr>
              <a:solidFill>
                <a:srgbClr val="63AAFE"/>
              </a:solidFill>
              <a:ln>
                <a:solidFill>
                  <a:srgbClr val="63AAFE"/>
                </a:solidFill>
                <a:prstDash val="solid"/>
              </a:ln>
              <a:effectLst>
                <a:outerShdw dist="35921" dir="2700000" algn="br">
                  <a:srgbClr val="000000"/>
                </a:outerShdw>
              </a:effectLst>
            </c:spPr>
          </c:marker>
          <c:val>
            <c:numRef>
              <c:f>'4CC'!$A$2:$A$31</c:f>
              <c:numCache>
                <c:formatCode>0.00</c:formatCode>
                <c:ptCount val="30"/>
                <c:pt idx="0">
                  <c:v>100</c:v>
                </c:pt>
                <c:pt idx="1">
                  <c:v>101</c:v>
                </c:pt>
                <c:pt idx="2">
                  <c:v>102</c:v>
                </c:pt>
                <c:pt idx="3">
                  <c:v>103</c:v>
                </c:pt>
                <c:pt idx="4">
                  <c:v>102</c:v>
                </c:pt>
                <c:pt idx="5">
                  <c:v>101</c:v>
                </c:pt>
                <c:pt idx="6">
                  <c:v>100</c:v>
                </c:pt>
                <c:pt idx="7">
                  <c:v>99</c:v>
                </c:pt>
                <c:pt idx="8">
                  <c:v>98</c:v>
                </c:pt>
                <c:pt idx="9">
                  <c:v>97</c:v>
                </c:pt>
                <c:pt idx="10">
                  <c:v>98</c:v>
                </c:pt>
                <c:pt idx="11">
                  <c:v>99</c:v>
                </c:pt>
                <c:pt idx="12">
                  <c:v>100</c:v>
                </c:pt>
                <c:pt idx="13">
                  <c:v>101</c:v>
                </c:pt>
                <c:pt idx="14">
                  <c:v>102</c:v>
                </c:pt>
                <c:pt idx="15">
                  <c:v>103</c:v>
                </c:pt>
                <c:pt idx="16">
                  <c:v>102</c:v>
                </c:pt>
                <c:pt idx="17">
                  <c:v>101</c:v>
                </c:pt>
                <c:pt idx="18">
                  <c:v>100</c:v>
                </c:pt>
                <c:pt idx="19">
                  <c:v>99</c:v>
                </c:pt>
                <c:pt idx="20">
                  <c:v>98</c:v>
                </c:pt>
                <c:pt idx="21">
                  <c:v>97</c:v>
                </c:pt>
                <c:pt idx="22">
                  <c:v>98</c:v>
                </c:pt>
                <c:pt idx="23">
                  <c:v>99</c:v>
                </c:pt>
                <c:pt idx="24">
                  <c:v>100</c:v>
                </c:pt>
                <c:pt idx="25">
                  <c:v>101</c:v>
                </c:pt>
                <c:pt idx="26">
                  <c:v>102</c:v>
                </c:pt>
                <c:pt idx="27">
                  <c:v>103</c:v>
                </c:pt>
                <c:pt idx="28">
                  <c:v>102</c:v>
                </c:pt>
                <c:pt idx="29">
                  <c:v>101</c:v>
                </c:pt>
              </c:numCache>
            </c:numRef>
          </c:val>
          <c:smooth val="0"/>
          <c:extLst>
            <c:ext xmlns:c16="http://schemas.microsoft.com/office/drawing/2014/chart" uri="{C3380CC4-5D6E-409C-BE32-E72D297353CC}">
              <c16:uniqueId val="{00000000-B3D6-8942-BC1E-38D8A26C81A4}"/>
            </c:ext>
          </c:extLst>
        </c:ser>
        <c:ser>
          <c:idx val="1"/>
          <c:order val="1"/>
          <c:tx>
            <c:strRef>
              <c:f>'4CC'!$B$1</c:f>
              <c:strCache>
                <c:ptCount val="1"/>
                <c:pt idx="0">
                  <c:v>USL</c:v>
                </c:pt>
              </c:strCache>
            </c:strRef>
          </c:tx>
          <c:spPr>
            <a:ln w="25400">
              <a:solidFill>
                <a:srgbClr val="DD2D32"/>
              </a:solidFill>
              <a:prstDash val="solid"/>
            </a:ln>
          </c:spPr>
          <c:marker>
            <c:symbol val="square"/>
            <c:size val="7"/>
            <c:spPr>
              <a:solidFill>
                <a:srgbClr val="DD2D32"/>
              </a:solidFill>
              <a:ln>
                <a:solidFill>
                  <a:srgbClr val="DD2D32"/>
                </a:solidFill>
                <a:prstDash val="solid"/>
              </a:ln>
              <a:effectLst>
                <a:outerShdw dist="35921" dir="2700000" algn="br">
                  <a:srgbClr val="000000"/>
                </a:outerShdw>
              </a:effectLst>
            </c:spPr>
          </c:marker>
          <c:val>
            <c:numRef>
              <c:f>'4CC'!$B$2:$B$31</c:f>
              <c:numCache>
                <c:formatCode>0.00</c:formatCode>
                <c:ptCount val="30"/>
                <c:pt idx="0">
                  <c:v>103.58446882534257</c:v>
                </c:pt>
                <c:pt idx="1">
                  <c:v>103.58446882534257</c:v>
                </c:pt>
                <c:pt idx="2">
                  <c:v>103.58446882534257</c:v>
                </c:pt>
                <c:pt idx="3">
                  <c:v>103.58446882534257</c:v>
                </c:pt>
                <c:pt idx="4">
                  <c:v>103.58446882534257</c:v>
                </c:pt>
                <c:pt idx="5">
                  <c:v>103.58446882534257</c:v>
                </c:pt>
                <c:pt idx="6">
                  <c:v>103.58446882534257</c:v>
                </c:pt>
                <c:pt idx="7">
                  <c:v>103.58446882534257</c:v>
                </c:pt>
                <c:pt idx="8">
                  <c:v>103.58446882534257</c:v>
                </c:pt>
                <c:pt idx="9">
                  <c:v>103.58446882534257</c:v>
                </c:pt>
                <c:pt idx="10">
                  <c:v>103.58446882534257</c:v>
                </c:pt>
                <c:pt idx="11">
                  <c:v>103.58446882534257</c:v>
                </c:pt>
                <c:pt idx="12">
                  <c:v>103.58446882534257</c:v>
                </c:pt>
                <c:pt idx="13">
                  <c:v>103.58446882534257</c:v>
                </c:pt>
                <c:pt idx="14">
                  <c:v>103.58446882534257</c:v>
                </c:pt>
                <c:pt idx="15">
                  <c:v>103.58446882534257</c:v>
                </c:pt>
                <c:pt idx="16">
                  <c:v>103.58446882534257</c:v>
                </c:pt>
                <c:pt idx="17">
                  <c:v>103.58446882534257</c:v>
                </c:pt>
                <c:pt idx="18">
                  <c:v>103.58446882534257</c:v>
                </c:pt>
                <c:pt idx="19">
                  <c:v>103.58446882534257</c:v>
                </c:pt>
                <c:pt idx="20">
                  <c:v>103.58446882534257</c:v>
                </c:pt>
                <c:pt idx="21">
                  <c:v>103.58446882534257</c:v>
                </c:pt>
                <c:pt idx="22">
                  <c:v>103.58446882534257</c:v>
                </c:pt>
                <c:pt idx="23">
                  <c:v>103.58446882534257</c:v>
                </c:pt>
                <c:pt idx="24">
                  <c:v>103.58446882534257</c:v>
                </c:pt>
                <c:pt idx="25">
                  <c:v>103.58446882534257</c:v>
                </c:pt>
                <c:pt idx="26">
                  <c:v>103.58446882534257</c:v>
                </c:pt>
                <c:pt idx="27">
                  <c:v>103.58446882534257</c:v>
                </c:pt>
                <c:pt idx="28">
                  <c:v>103.58446882534257</c:v>
                </c:pt>
                <c:pt idx="29">
                  <c:v>103.58446882534257</c:v>
                </c:pt>
              </c:numCache>
            </c:numRef>
          </c:val>
          <c:smooth val="0"/>
          <c:extLst>
            <c:ext xmlns:c16="http://schemas.microsoft.com/office/drawing/2014/chart" uri="{C3380CC4-5D6E-409C-BE32-E72D297353CC}">
              <c16:uniqueId val="{00000001-B3D6-8942-BC1E-38D8A26C81A4}"/>
            </c:ext>
          </c:extLst>
        </c:ser>
        <c:ser>
          <c:idx val="2"/>
          <c:order val="2"/>
          <c:tx>
            <c:strRef>
              <c:f>'4CC'!$C$1</c:f>
              <c:strCache>
                <c:ptCount val="1"/>
                <c:pt idx="0">
                  <c:v>CSL</c:v>
                </c:pt>
              </c:strCache>
            </c:strRef>
          </c:tx>
          <c:spPr>
            <a:ln w="25400">
              <a:solidFill>
                <a:srgbClr val="FFF58C"/>
              </a:solidFill>
              <a:prstDash val="solid"/>
            </a:ln>
          </c:spPr>
          <c:marker>
            <c:symbol val="triangle"/>
            <c:size val="7"/>
            <c:spPr>
              <a:solidFill>
                <a:srgbClr val="FFF58C"/>
              </a:solidFill>
              <a:ln>
                <a:solidFill>
                  <a:srgbClr val="FFF58C"/>
                </a:solidFill>
                <a:prstDash val="solid"/>
              </a:ln>
              <a:effectLst>
                <a:outerShdw dist="35921" dir="2700000" algn="br">
                  <a:srgbClr val="000000"/>
                </a:outerShdw>
              </a:effectLst>
            </c:spPr>
          </c:marker>
          <c:val>
            <c:numRef>
              <c:f>'4CC'!$C$2:$C$31</c:f>
              <c:numCache>
                <c:formatCode>0.00</c:formatCode>
                <c:ptCount val="30"/>
                <c:pt idx="0">
                  <c:v>100.3</c:v>
                </c:pt>
                <c:pt idx="1">
                  <c:v>100.3</c:v>
                </c:pt>
                <c:pt idx="2">
                  <c:v>100.3</c:v>
                </c:pt>
                <c:pt idx="3">
                  <c:v>100.3</c:v>
                </c:pt>
                <c:pt idx="4">
                  <c:v>100.3</c:v>
                </c:pt>
                <c:pt idx="5">
                  <c:v>100.3</c:v>
                </c:pt>
                <c:pt idx="6">
                  <c:v>100.3</c:v>
                </c:pt>
                <c:pt idx="7">
                  <c:v>100.3</c:v>
                </c:pt>
                <c:pt idx="8">
                  <c:v>100.3</c:v>
                </c:pt>
                <c:pt idx="9">
                  <c:v>100.3</c:v>
                </c:pt>
                <c:pt idx="10">
                  <c:v>100.3</c:v>
                </c:pt>
                <c:pt idx="11">
                  <c:v>100.3</c:v>
                </c:pt>
                <c:pt idx="12">
                  <c:v>100.3</c:v>
                </c:pt>
                <c:pt idx="13">
                  <c:v>100.3</c:v>
                </c:pt>
                <c:pt idx="14">
                  <c:v>100.3</c:v>
                </c:pt>
                <c:pt idx="15">
                  <c:v>100.3</c:v>
                </c:pt>
                <c:pt idx="16">
                  <c:v>100.3</c:v>
                </c:pt>
                <c:pt idx="17">
                  <c:v>100.3</c:v>
                </c:pt>
                <c:pt idx="18">
                  <c:v>100.3</c:v>
                </c:pt>
                <c:pt idx="19">
                  <c:v>100.3</c:v>
                </c:pt>
                <c:pt idx="20">
                  <c:v>100.3</c:v>
                </c:pt>
                <c:pt idx="21">
                  <c:v>100.3</c:v>
                </c:pt>
                <c:pt idx="22">
                  <c:v>100.3</c:v>
                </c:pt>
                <c:pt idx="23">
                  <c:v>100.3</c:v>
                </c:pt>
                <c:pt idx="24">
                  <c:v>100.3</c:v>
                </c:pt>
                <c:pt idx="25">
                  <c:v>100.3</c:v>
                </c:pt>
                <c:pt idx="26">
                  <c:v>100.3</c:v>
                </c:pt>
                <c:pt idx="27">
                  <c:v>100.3</c:v>
                </c:pt>
                <c:pt idx="28">
                  <c:v>100.3</c:v>
                </c:pt>
                <c:pt idx="29">
                  <c:v>100.3</c:v>
                </c:pt>
              </c:numCache>
            </c:numRef>
          </c:val>
          <c:smooth val="0"/>
          <c:extLst>
            <c:ext xmlns:c16="http://schemas.microsoft.com/office/drawing/2014/chart" uri="{C3380CC4-5D6E-409C-BE32-E72D297353CC}">
              <c16:uniqueId val="{00000002-B3D6-8942-BC1E-38D8A26C81A4}"/>
            </c:ext>
          </c:extLst>
        </c:ser>
        <c:ser>
          <c:idx val="3"/>
          <c:order val="3"/>
          <c:tx>
            <c:strRef>
              <c:f>'4CC'!$D$1</c:f>
              <c:strCache>
                <c:ptCount val="1"/>
                <c:pt idx="0">
                  <c:v>LSL</c:v>
                </c:pt>
              </c:strCache>
            </c:strRef>
          </c:tx>
          <c:spPr>
            <a:ln w="25400">
              <a:solidFill>
                <a:srgbClr val="4EE257"/>
              </a:solidFill>
              <a:prstDash val="solid"/>
            </a:ln>
          </c:spPr>
          <c:marker>
            <c:symbol val="x"/>
            <c:size val="7"/>
            <c:spPr>
              <a:noFill/>
              <a:ln>
                <a:solidFill>
                  <a:srgbClr val="4EE257"/>
                </a:solidFill>
                <a:prstDash val="solid"/>
              </a:ln>
              <a:effectLst>
                <a:outerShdw dist="35921" dir="2700000" algn="br">
                  <a:srgbClr val="000000"/>
                </a:outerShdw>
              </a:effectLst>
            </c:spPr>
          </c:marker>
          <c:val>
            <c:numRef>
              <c:f>'4CC'!$D$2:$D$31</c:f>
              <c:numCache>
                <c:formatCode>0.00</c:formatCode>
                <c:ptCount val="30"/>
                <c:pt idx="0">
                  <c:v>97.015531174657426</c:v>
                </c:pt>
                <c:pt idx="1">
                  <c:v>97.015531174657426</c:v>
                </c:pt>
                <c:pt idx="2">
                  <c:v>97.015531174657426</c:v>
                </c:pt>
                <c:pt idx="3">
                  <c:v>97.015531174657426</c:v>
                </c:pt>
                <c:pt idx="4">
                  <c:v>97.015531174657426</c:v>
                </c:pt>
                <c:pt idx="5">
                  <c:v>97.015531174657426</c:v>
                </c:pt>
                <c:pt idx="6">
                  <c:v>97.015531174657426</c:v>
                </c:pt>
                <c:pt idx="7">
                  <c:v>97.015531174657426</c:v>
                </c:pt>
                <c:pt idx="8">
                  <c:v>97.015531174657426</c:v>
                </c:pt>
                <c:pt idx="9">
                  <c:v>97.015531174657426</c:v>
                </c:pt>
                <c:pt idx="10">
                  <c:v>97.015531174657426</c:v>
                </c:pt>
                <c:pt idx="11">
                  <c:v>97.015531174657426</c:v>
                </c:pt>
                <c:pt idx="12">
                  <c:v>97.015531174657426</c:v>
                </c:pt>
                <c:pt idx="13">
                  <c:v>97.015531174657426</c:v>
                </c:pt>
                <c:pt idx="14">
                  <c:v>97.015531174657426</c:v>
                </c:pt>
                <c:pt idx="15">
                  <c:v>97.015531174657426</c:v>
                </c:pt>
                <c:pt idx="16">
                  <c:v>97.015531174657426</c:v>
                </c:pt>
                <c:pt idx="17">
                  <c:v>97.015531174657426</c:v>
                </c:pt>
                <c:pt idx="18">
                  <c:v>97.015531174657426</c:v>
                </c:pt>
                <c:pt idx="19">
                  <c:v>97.015531174657426</c:v>
                </c:pt>
                <c:pt idx="20">
                  <c:v>97.015531174657426</c:v>
                </c:pt>
                <c:pt idx="21">
                  <c:v>97.015531174657426</c:v>
                </c:pt>
                <c:pt idx="22">
                  <c:v>97.015531174657426</c:v>
                </c:pt>
                <c:pt idx="23">
                  <c:v>97.015531174657426</c:v>
                </c:pt>
                <c:pt idx="24">
                  <c:v>97.015531174657426</c:v>
                </c:pt>
                <c:pt idx="25">
                  <c:v>97.015531174657426</c:v>
                </c:pt>
                <c:pt idx="26">
                  <c:v>97.015531174657426</c:v>
                </c:pt>
                <c:pt idx="27">
                  <c:v>97.015531174657426</c:v>
                </c:pt>
                <c:pt idx="28">
                  <c:v>97.015531174657426</c:v>
                </c:pt>
                <c:pt idx="29">
                  <c:v>97.015531174657426</c:v>
                </c:pt>
              </c:numCache>
            </c:numRef>
          </c:val>
          <c:smooth val="0"/>
          <c:extLst>
            <c:ext xmlns:c16="http://schemas.microsoft.com/office/drawing/2014/chart" uri="{C3380CC4-5D6E-409C-BE32-E72D297353CC}">
              <c16:uniqueId val="{00000003-B3D6-8942-BC1E-38D8A26C81A4}"/>
            </c:ext>
          </c:extLst>
        </c:ser>
        <c:dLbls>
          <c:showLegendKey val="0"/>
          <c:showVal val="0"/>
          <c:showCatName val="0"/>
          <c:showSerName val="0"/>
          <c:showPercent val="0"/>
          <c:showBubbleSize val="0"/>
        </c:dLbls>
        <c:marker val="1"/>
        <c:smooth val="0"/>
        <c:axId val="1479476799"/>
        <c:axId val="1"/>
      </c:lineChart>
      <c:catAx>
        <c:axId val="1479476799"/>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Verdana"/>
                <a:ea typeface="Verdana"/>
                <a:cs typeface="Verdana"/>
              </a:defRPr>
            </a:pPr>
            <a:endParaRPr lang="en-CR"/>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Verdana"/>
                <a:ea typeface="Verdana"/>
                <a:cs typeface="Verdana"/>
              </a:defRPr>
            </a:pPr>
            <a:endParaRPr lang="en-CR"/>
          </a:p>
        </c:txPr>
        <c:crossAx val="1479476799"/>
        <c:crosses val="autoZero"/>
        <c:crossBetween val="between"/>
      </c:valAx>
      <c:spPr>
        <a:solidFill>
          <a:srgbClr val="CDCDCD"/>
        </a:solidFill>
        <a:ln w="12700">
          <a:solidFill>
            <a:srgbClr val="808080"/>
          </a:solidFill>
          <a:prstDash val="solid"/>
        </a:ln>
      </c:spPr>
    </c:plotArea>
    <c:legend>
      <c:legendPos val="r"/>
      <c:layout>
        <c:manualLayout>
          <c:xMode val="edge"/>
          <c:yMode val="edge"/>
          <c:x val="0.35136270128396113"/>
          <c:y val="0.94791223165508209"/>
          <c:w val="0.35361495353621336"/>
          <c:h val="3.58316448228988E-2"/>
        </c:manualLayout>
      </c:layout>
      <c:overlay val="0"/>
      <c:spPr>
        <a:solidFill>
          <a:srgbClr val="FFFFFF"/>
        </a:solidFill>
        <a:ln w="25400">
          <a:noFill/>
        </a:ln>
      </c:spPr>
      <c:txPr>
        <a:bodyPr/>
        <a:lstStyle/>
        <a:p>
          <a:pPr>
            <a:defRPr sz="480" b="0" i="0" u="none" strike="noStrike" baseline="0">
              <a:solidFill>
                <a:srgbClr val="000000"/>
              </a:solidFill>
              <a:latin typeface="Verdana"/>
              <a:ea typeface="Verdana"/>
              <a:cs typeface="Verdana"/>
            </a:defRPr>
          </a:pPr>
          <a:endParaRPr lang="en-CR"/>
        </a:p>
      </c:txPr>
    </c:legend>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Verdana"/>
          <a:ea typeface="Verdana"/>
          <a:cs typeface="Verdana"/>
        </a:defRPr>
      </a:pPr>
      <a:endParaRPr lang="en-CR"/>
    </a:p>
  </c:txPr>
  <c:printSettings>
    <c:headerFooter alignWithMargins="0"/>
    <c:pageMargins b="1" l="0.75000000000000011" r="0.75000000000000011"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Verdana"/>
                <a:ea typeface="Verdana"/>
                <a:cs typeface="Verdana"/>
              </a:defRPr>
            </a:pPr>
            <a:r>
              <a:rPr lang="en-US"/>
              <a:t>Gráfico de Interválos</a:t>
            </a:r>
          </a:p>
        </c:rich>
      </c:tx>
      <c:layout>
        <c:manualLayout>
          <c:xMode val="edge"/>
          <c:yMode val="edge"/>
          <c:x val="0.38151297362997411"/>
          <c:y val="3.2000054871189884E-2"/>
        </c:manualLayout>
      </c:layout>
      <c:overlay val="0"/>
      <c:spPr>
        <a:noFill/>
        <a:ln w="25400">
          <a:noFill/>
        </a:ln>
      </c:spPr>
    </c:title>
    <c:autoTitleDeleted val="0"/>
    <c:plotArea>
      <c:layout>
        <c:manualLayout>
          <c:layoutTarget val="inner"/>
          <c:xMode val="edge"/>
          <c:yMode val="edge"/>
          <c:x val="7.6065028651921815E-2"/>
          <c:y val="0.14634594509985402"/>
          <c:w val="0.89488269002260967"/>
          <c:h val="0.71779201644214119"/>
        </c:manualLayout>
      </c:layout>
      <c:lineChart>
        <c:grouping val="standard"/>
        <c:varyColors val="0"/>
        <c:ser>
          <c:idx val="0"/>
          <c:order val="0"/>
          <c:tx>
            <c:strRef>
              <c:f>'4CC'!$F$1</c:f>
              <c:strCache>
                <c:ptCount val="1"/>
                <c:pt idx="0">
                  <c:v>USL</c:v>
                </c:pt>
              </c:strCache>
            </c:strRef>
          </c:tx>
          <c:spPr>
            <a:ln w="25400">
              <a:solidFill>
                <a:srgbClr val="63AAFE"/>
              </a:solidFill>
              <a:prstDash val="solid"/>
            </a:ln>
          </c:spPr>
          <c:marker>
            <c:symbol val="diamond"/>
            <c:size val="7"/>
            <c:spPr>
              <a:solidFill>
                <a:srgbClr val="63AAFE"/>
              </a:solidFill>
              <a:ln>
                <a:solidFill>
                  <a:srgbClr val="63AAFE"/>
                </a:solidFill>
                <a:prstDash val="solid"/>
              </a:ln>
              <a:effectLst>
                <a:outerShdw dist="35921" dir="2700000" algn="br">
                  <a:srgbClr val="000000"/>
                </a:outerShdw>
              </a:effectLst>
            </c:spPr>
          </c:marker>
          <c:val>
            <c:numRef>
              <c:f>'4CC'!$F$2:$F$31</c:f>
              <c:numCache>
                <c:formatCode>0.00</c:formatCode>
                <c:ptCount val="30"/>
                <c:pt idx="0">
                  <c:v>11.954333948789944</c:v>
                </c:pt>
                <c:pt idx="1">
                  <c:v>11.954333948789944</c:v>
                </c:pt>
                <c:pt idx="2">
                  <c:v>11.954333948789944</c:v>
                </c:pt>
                <c:pt idx="3">
                  <c:v>11.954333948789944</c:v>
                </c:pt>
                <c:pt idx="4">
                  <c:v>11.954333948789944</c:v>
                </c:pt>
                <c:pt idx="5">
                  <c:v>11.954333948789944</c:v>
                </c:pt>
                <c:pt idx="6">
                  <c:v>11.954333948789944</c:v>
                </c:pt>
                <c:pt idx="7">
                  <c:v>11.954333948789944</c:v>
                </c:pt>
                <c:pt idx="8">
                  <c:v>11.954333948789944</c:v>
                </c:pt>
                <c:pt idx="9">
                  <c:v>11.954333948789944</c:v>
                </c:pt>
                <c:pt idx="10">
                  <c:v>11.954333948789944</c:v>
                </c:pt>
                <c:pt idx="11">
                  <c:v>11.954333948789944</c:v>
                </c:pt>
                <c:pt idx="12">
                  <c:v>11.954333948789944</c:v>
                </c:pt>
                <c:pt idx="13">
                  <c:v>11.954333948789944</c:v>
                </c:pt>
                <c:pt idx="14">
                  <c:v>11.954333948789944</c:v>
                </c:pt>
                <c:pt idx="15">
                  <c:v>11.954333948789944</c:v>
                </c:pt>
                <c:pt idx="16">
                  <c:v>11.954333948789944</c:v>
                </c:pt>
                <c:pt idx="17">
                  <c:v>11.954333948789944</c:v>
                </c:pt>
                <c:pt idx="18">
                  <c:v>11.954333948789944</c:v>
                </c:pt>
                <c:pt idx="19">
                  <c:v>11.954333948789944</c:v>
                </c:pt>
                <c:pt idx="20">
                  <c:v>11.954333948789944</c:v>
                </c:pt>
                <c:pt idx="21">
                  <c:v>11.954333948789944</c:v>
                </c:pt>
                <c:pt idx="22">
                  <c:v>11.954333948789944</c:v>
                </c:pt>
                <c:pt idx="23">
                  <c:v>11.954333948789944</c:v>
                </c:pt>
                <c:pt idx="24">
                  <c:v>11.954333948789944</c:v>
                </c:pt>
                <c:pt idx="25">
                  <c:v>11.954333948789944</c:v>
                </c:pt>
                <c:pt idx="26">
                  <c:v>11.954333948789944</c:v>
                </c:pt>
                <c:pt idx="27">
                  <c:v>11.954333948789944</c:v>
                </c:pt>
                <c:pt idx="28">
                  <c:v>11.954333948789944</c:v>
                </c:pt>
                <c:pt idx="29">
                  <c:v>11.954333948789944</c:v>
                </c:pt>
              </c:numCache>
            </c:numRef>
          </c:val>
          <c:smooth val="0"/>
          <c:extLst>
            <c:ext xmlns:c16="http://schemas.microsoft.com/office/drawing/2014/chart" uri="{C3380CC4-5D6E-409C-BE32-E72D297353CC}">
              <c16:uniqueId val="{00000000-01E6-B145-BC70-EC1B3B65954A}"/>
            </c:ext>
          </c:extLst>
        </c:ser>
        <c:ser>
          <c:idx val="1"/>
          <c:order val="1"/>
          <c:tx>
            <c:strRef>
              <c:f>'4CC'!$G$1</c:f>
              <c:strCache>
                <c:ptCount val="1"/>
                <c:pt idx="0">
                  <c:v>CSL</c:v>
                </c:pt>
              </c:strCache>
            </c:strRef>
          </c:tx>
          <c:spPr>
            <a:ln w="25400">
              <a:solidFill>
                <a:srgbClr val="DD2D32"/>
              </a:solidFill>
              <a:prstDash val="solid"/>
            </a:ln>
          </c:spPr>
          <c:marker>
            <c:symbol val="square"/>
            <c:size val="7"/>
            <c:spPr>
              <a:solidFill>
                <a:srgbClr val="DD2D32"/>
              </a:solidFill>
              <a:ln>
                <a:solidFill>
                  <a:srgbClr val="DD2D32"/>
                </a:solidFill>
                <a:prstDash val="solid"/>
              </a:ln>
              <a:effectLst>
                <a:outerShdw dist="35921" dir="2700000" algn="br">
                  <a:srgbClr val="000000"/>
                </a:outerShdw>
              </a:effectLst>
            </c:spPr>
          </c:marker>
          <c:val>
            <c:numRef>
              <c:f>'4CC'!$G$2:$G$31</c:f>
              <c:numCache>
                <c:formatCode>0.00</c:formatCode>
                <c:ptCount val="30"/>
                <c:pt idx="0">
                  <c:v>5.6628772850733977</c:v>
                </c:pt>
                <c:pt idx="1">
                  <c:v>5.6628772850733977</c:v>
                </c:pt>
                <c:pt idx="2">
                  <c:v>5.6628772850733977</c:v>
                </c:pt>
                <c:pt idx="3">
                  <c:v>5.6628772850733977</c:v>
                </c:pt>
                <c:pt idx="4">
                  <c:v>5.6628772850733977</c:v>
                </c:pt>
                <c:pt idx="5">
                  <c:v>5.6628772850733977</c:v>
                </c:pt>
                <c:pt idx="6">
                  <c:v>5.6628772850733977</c:v>
                </c:pt>
                <c:pt idx="7">
                  <c:v>5.6628772850733977</c:v>
                </c:pt>
                <c:pt idx="8">
                  <c:v>5.6628772850733977</c:v>
                </c:pt>
                <c:pt idx="9">
                  <c:v>5.6628772850733977</c:v>
                </c:pt>
                <c:pt idx="10">
                  <c:v>5.6628772850733977</c:v>
                </c:pt>
                <c:pt idx="11">
                  <c:v>5.6628772850733977</c:v>
                </c:pt>
                <c:pt idx="12">
                  <c:v>5.6628772850733977</c:v>
                </c:pt>
                <c:pt idx="13">
                  <c:v>5.6628772850733977</c:v>
                </c:pt>
                <c:pt idx="14">
                  <c:v>5.6628772850733977</c:v>
                </c:pt>
                <c:pt idx="15">
                  <c:v>5.6628772850733977</c:v>
                </c:pt>
                <c:pt idx="16">
                  <c:v>5.6628772850733977</c:v>
                </c:pt>
                <c:pt idx="17">
                  <c:v>5.6628772850733977</c:v>
                </c:pt>
                <c:pt idx="18">
                  <c:v>5.6628772850733977</c:v>
                </c:pt>
                <c:pt idx="19">
                  <c:v>5.6628772850733977</c:v>
                </c:pt>
                <c:pt idx="20">
                  <c:v>5.6628772850733977</c:v>
                </c:pt>
                <c:pt idx="21">
                  <c:v>5.6628772850733977</c:v>
                </c:pt>
                <c:pt idx="22">
                  <c:v>5.6628772850733977</c:v>
                </c:pt>
                <c:pt idx="23">
                  <c:v>5.6628772850733977</c:v>
                </c:pt>
                <c:pt idx="24">
                  <c:v>5.6628772850733977</c:v>
                </c:pt>
                <c:pt idx="25">
                  <c:v>5.6628772850733977</c:v>
                </c:pt>
                <c:pt idx="26">
                  <c:v>5.6628772850733977</c:v>
                </c:pt>
                <c:pt idx="27">
                  <c:v>5.6628772850733977</c:v>
                </c:pt>
                <c:pt idx="28">
                  <c:v>5.6628772850733977</c:v>
                </c:pt>
                <c:pt idx="29">
                  <c:v>5.6628772850733977</c:v>
                </c:pt>
              </c:numCache>
            </c:numRef>
          </c:val>
          <c:smooth val="0"/>
          <c:extLst>
            <c:ext xmlns:c16="http://schemas.microsoft.com/office/drawing/2014/chart" uri="{C3380CC4-5D6E-409C-BE32-E72D297353CC}">
              <c16:uniqueId val="{00000001-01E6-B145-BC70-EC1B3B65954A}"/>
            </c:ext>
          </c:extLst>
        </c:ser>
        <c:ser>
          <c:idx val="2"/>
          <c:order val="2"/>
          <c:tx>
            <c:strRef>
              <c:f>'4CC'!$H$1</c:f>
              <c:strCache>
                <c:ptCount val="1"/>
                <c:pt idx="0">
                  <c:v>LSL</c:v>
                </c:pt>
              </c:strCache>
            </c:strRef>
          </c:tx>
          <c:spPr>
            <a:ln w="25400">
              <a:solidFill>
                <a:srgbClr val="FFF58C"/>
              </a:solidFill>
              <a:prstDash val="solid"/>
            </a:ln>
          </c:spPr>
          <c:marker>
            <c:symbol val="triangle"/>
            <c:size val="7"/>
            <c:spPr>
              <a:solidFill>
                <a:srgbClr val="FFF58C"/>
              </a:solidFill>
              <a:ln>
                <a:solidFill>
                  <a:srgbClr val="FFF58C"/>
                </a:solidFill>
                <a:prstDash val="solid"/>
              </a:ln>
              <a:effectLst>
                <a:outerShdw dist="35921" dir="2700000" algn="br">
                  <a:srgbClr val="000000"/>
                </a:outerShdw>
              </a:effectLst>
            </c:spPr>
          </c:marker>
          <c:val>
            <c:numRef>
              <c:f>'4CC'!$H$2:$H$31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2-01E6-B145-BC70-EC1B3B65954A}"/>
            </c:ext>
          </c:extLst>
        </c:ser>
        <c:ser>
          <c:idx val="3"/>
          <c:order val="3"/>
          <c:tx>
            <c:strRef>
              <c:f>'4CC'!$I$1</c:f>
              <c:strCache>
                <c:ptCount val="1"/>
                <c:pt idx="0">
                  <c:v>Rango</c:v>
                </c:pt>
              </c:strCache>
            </c:strRef>
          </c:tx>
          <c:spPr>
            <a:ln w="25400">
              <a:solidFill>
                <a:srgbClr val="4EE257"/>
              </a:solidFill>
              <a:prstDash val="solid"/>
            </a:ln>
          </c:spPr>
          <c:marker>
            <c:symbol val="x"/>
            <c:size val="7"/>
            <c:spPr>
              <a:noFill/>
              <a:ln>
                <a:solidFill>
                  <a:srgbClr val="4EE257"/>
                </a:solidFill>
                <a:prstDash val="solid"/>
              </a:ln>
              <a:effectLst>
                <a:outerShdw dist="35921" dir="2700000" algn="br">
                  <a:srgbClr val="000000"/>
                </a:outerShdw>
              </a:effectLst>
            </c:spPr>
          </c:marker>
          <c:val>
            <c:numRef>
              <c:f>'4CC'!$I$2:$I$31</c:f>
              <c:numCache>
                <c:formatCode>0.0</c:formatCode>
                <c:ptCount val="30"/>
                <c:pt idx="0">
                  <c:v>1</c:v>
                </c:pt>
                <c:pt idx="1">
                  <c:v>6.8965422528763698</c:v>
                </c:pt>
                <c:pt idx="2">
                  <c:v>3.7433698538163398</c:v>
                </c:pt>
                <c:pt idx="3">
                  <c:v>7.0748008667256697</c:v>
                </c:pt>
                <c:pt idx="4">
                  <c:v>1.9607837153233438</c:v>
                </c:pt>
                <c:pt idx="5">
                  <c:v>5.6492812891018396</c:v>
                </c:pt>
                <c:pt idx="6">
                  <c:v>5.4070253608813745</c:v>
                </c:pt>
                <c:pt idx="7">
                  <c:v>6.4221930600909447</c:v>
                </c:pt>
                <c:pt idx="8">
                  <c:v>4.3295083468123403</c:v>
                </c:pt>
                <c:pt idx="9">
                  <c:v>3.3099459822382262</c:v>
                </c:pt>
                <c:pt idx="10">
                  <c:v>4.3676870021668135</c:v>
                </c:pt>
                <c:pt idx="11">
                  <c:v>8.4302804651020828</c:v>
                </c:pt>
                <c:pt idx="12">
                  <c:v>2.5543382061220137</c:v>
                </c:pt>
                <c:pt idx="13">
                  <c:v>3.6801965392010252</c:v>
                </c:pt>
                <c:pt idx="14">
                  <c:v>6.7918942838831766</c:v>
                </c:pt>
                <c:pt idx="15">
                  <c:v>8.1069978942228467</c:v>
                </c:pt>
                <c:pt idx="16">
                  <c:v>9.8904080324716954</c:v>
                </c:pt>
                <c:pt idx="17">
                  <c:v>8.2053285317545104</c:v>
                </c:pt>
                <c:pt idx="18">
                  <c:v>5.1782280953398248</c:v>
                </c:pt>
                <c:pt idx="19">
                  <c:v>5.8508865627002757</c:v>
                </c:pt>
                <c:pt idx="20">
                  <c:v>6.629566331980346</c:v>
                </c:pt>
                <c:pt idx="21">
                  <c:v>3.2497940000610379</c:v>
                </c:pt>
                <c:pt idx="22">
                  <c:v>7.3351847895748765</c:v>
                </c:pt>
                <c:pt idx="23">
                  <c:v>7.4466994232001698</c:v>
                </c:pt>
                <c:pt idx="24">
                  <c:v>9.8156987212744529</c:v>
                </c:pt>
                <c:pt idx="25">
                  <c:v>3.9611804559465313</c:v>
                </c:pt>
                <c:pt idx="26">
                  <c:v>5.0090334788048949</c:v>
                </c:pt>
                <c:pt idx="27">
                  <c:v>7.3755607776116214</c:v>
                </c:pt>
                <c:pt idx="28">
                  <c:v>7.6590166936246833</c:v>
                </c:pt>
                <c:pt idx="29">
                  <c:v>2.5548875392925807</c:v>
                </c:pt>
              </c:numCache>
            </c:numRef>
          </c:val>
          <c:smooth val="0"/>
          <c:extLst>
            <c:ext xmlns:c16="http://schemas.microsoft.com/office/drawing/2014/chart" uri="{C3380CC4-5D6E-409C-BE32-E72D297353CC}">
              <c16:uniqueId val="{00000003-01E6-B145-BC70-EC1B3B65954A}"/>
            </c:ext>
          </c:extLst>
        </c:ser>
        <c:dLbls>
          <c:showLegendKey val="0"/>
          <c:showVal val="0"/>
          <c:showCatName val="0"/>
          <c:showSerName val="0"/>
          <c:showPercent val="0"/>
          <c:showBubbleSize val="0"/>
        </c:dLbls>
        <c:marker val="1"/>
        <c:smooth val="0"/>
        <c:axId val="1492490319"/>
        <c:axId val="1"/>
      </c:lineChart>
      <c:catAx>
        <c:axId val="1492490319"/>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Verdana"/>
                <a:ea typeface="Verdana"/>
                <a:cs typeface="Verdana"/>
              </a:defRPr>
            </a:pPr>
            <a:endParaRPr lang="en-CR"/>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Verdana"/>
                <a:ea typeface="Verdana"/>
                <a:cs typeface="Verdana"/>
              </a:defRPr>
            </a:pPr>
            <a:endParaRPr lang="en-CR"/>
          </a:p>
        </c:txPr>
        <c:crossAx val="1492490319"/>
        <c:crosses val="autoZero"/>
        <c:crossBetween val="between"/>
      </c:valAx>
      <c:spPr>
        <a:solidFill>
          <a:srgbClr val="CDCDCD"/>
        </a:solidFill>
        <a:ln w="12700">
          <a:solidFill>
            <a:srgbClr val="808080"/>
          </a:solidFill>
          <a:prstDash val="solid"/>
        </a:ln>
      </c:spPr>
    </c:plotArea>
    <c:legend>
      <c:legendPos val="r"/>
      <c:layout>
        <c:manualLayout>
          <c:xMode val="edge"/>
          <c:yMode val="edge"/>
          <c:x val="0.357953108210467"/>
          <c:y val="0.9442796784548273"/>
          <c:w val="0.33334372632951081"/>
          <c:h val="3.8328623556201813E-2"/>
        </c:manualLayout>
      </c:layout>
      <c:overlay val="0"/>
      <c:spPr>
        <a:solidFill>
          <a:srgbClr val="FFFFFF"/>
        </a:solidFill>
        <a:ln w="25400">
          <a:noFill/>
        </a:ln>
      </c:spPr>
      <c:txPr>
        <a:bodyPr/>
        <a:lstStyle/>
        <a:p>
          <a:pPr>
            <a:defRPr sz="480" b="0" i="0" u="none" strike="noStrike" baseline="0">
              <a:solidFill>
                <a:srgbClr val="000000"/>
              </a:solidFill>
              <a:latin typeface="Verdana"/>
              <a:ea typeface="Verdana"/>
              <a:cs typeface="Verdana"/>
            </a:defRPr>
          </a:pPr>
          <a:endParaRPr lang="en-CR"/>
        </a:p>
      </c:txPr>
    </c:legend>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Verdana"/>
          <a:ea typeface="Verdana"/>
          <a:cs typeface="Verdana"/>
        </a:defRPr>
      </a:pPr>
      <a:endParaRPr lang="en-CR"/>
    </a:p>
  </c:txPr>
  <c:printSettings>
    <c:headerFooter alignWithMargins="0"/>
    <c:pageMargins b="1" l="0.75000000000000011" r="0.75000000000000011"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Verdana"/>
                <a:ea typeface="Verdana"/>
                <a:cs typeface="Verdana"/>
              </a:defRPr>
            </a:pPr>
            <a:r>
              <a:rPr lang="en-US"/>
              <a:t>Gráfico de Promedios </a:t>
            </a:r>
          </a:p>
        </c:rich>
      </c:tx>
      <c:layout>
        <c:manualLayout>
          <c:xMode val="edge"/>
          <c:yMode val="edge"/>
          <c:x val="0.37796608663194758"/>
          <c:y val="3.0878857534112587E-2"/>
        </c:manualLayout>
      </c:layout>
      <c:overlay val="0"/>
      <c:spPr>
        <a:noFill/>
        <a:ln w="25400">
          <a:noFill/>
        </a:ln>
      </c:spPr>
    </c:title>
    <c:autoTitleDeleted val="0"/>
    <c:plotArea>
      <c:layout>
        <c:manualLayout>
          <c:layoutTarget val="inner"/>
          <c:xMode val="edge"/>
          <c:yMode val="edge"/>
          <c:x val="8.5781511160075513E-2"/>
          <c:y val="0.13043890545530798"/>
          <c:w val="0.8849040098618316"/>
          <c:h val="0.74536517403033131"/>
        </c:manualLayout>
      </c:layout>
      <c:lineChart>
        <c:grouping val="standard"/>
        <c:varyColors val="0"/>
        <c:ser>
          <c:idx val="0"/>
          <c:order val="0"/>
          <c:tx>
            <c:strRef>
              <c:f>'4CC'!$Q$3</c:f>
              <c:strCache>
                <c:ptCount val="1"/>
                <c:pt idx="0">
                  <c:v>Promedio</c:v>
                </c:pt>
              </c:strCache>
            </c:strRef>
          </c:tx>
          <c:spPr>
            <a:ln w="25400">
              <a:solidFill>
                <a:srgbClr val="63AAFE"/>
              </a:solidFill>
              <a:prstDash val="solid"/>
            </a:ln>
          </c:spPr>
          <c:marker>
            <c:symbol val="diamond"/>
            <c:size val="7"/>
            <c:spPr>
              <a:solidFill>
                <a:srgbClr val="63AAFE"/>
              </a:solidFill>
              <a:ln>
                <a:solidFill>
                  <a:srgbClr val="63AAFE"/>
                </a:solidFill>
                <a:prstDash val="solid"/>
              </a:ln>
              <a:effectLst>
                <a:outerShdw dist="35921" dir="2700000" algn="br">
                  <a:srgbClr val="000000"/>
                </a:outerShdw>
              </a:effectLst>
            </c:spPr>
          </c:marker>
          <c:val>
            <c:numRef>
              <c:f>'4CC'!$Q$4:$Q$31</c:f>
              <c:numCache>
                <c:formatCode>0.00</c:formatCode>
                <c:ptCount val="28"/>
                <c:pt idx="0">
                  <c:v>100</c:v>
                </c:pt>
                <c:pt idx="1">
                  <c:v>101</c:v>
                </c:pt>
                <c:pt idx="2">
                  <c:v>102</c:v>
                </c:pt>
                <c:pt idx="3">
                  <c:v>103</c:v>
                </c:pt>
                <c:pt idx="4">
                  <c:v>102</c:v>
                </c:pt>
                <c:pt idx="5">
                  <c:v>101</c:v>
                </c:pt>
                <c:pt idx="6">
                  <c:v>100</c:v>
                </c:pt>
                <c:pt idx="7">
                  <c:v>99</c:v>
                </c:pt>
                <c:pt idx="8">
                  <c:v>98</c:v>
                </c:pt>
                <c:pt idx="9">
                  <c:v>98</c:v>
                </c:pt>
                <c:pt idx="10">
                  <c:v>99</c:v>
                </c:pt>
                <c:pt idx="11">
                  <c:v>100</c:v>
                </c:pt>
                <c:pt idx="12">
                  <c:v>101</c:v>
                </c:pt>
                <c:pt idx="13">
                  <c:v>102</c:v>
                </c:pt>
                <c:pt idx="14">
                  <c:v>103</c:v>
                </c:pt>
                <c:pt idx="15">
                  <c:v>102</c:v>
                </c:pt>
                <c:pt idx="16">
                  <c:v>101</c:v>
                </c:pt>
                <c:pt idx="17">
                  <c:v>100</c:v>
                </c:pt>
                <c:pt idx="18">
                  <c:v>99</c:v>
                </c:pt>
                <c:pt idx="19">
                  <c:v>98</c:v>
                </c:pt>
                <c:pt idx="20">
                  <c:v>98</c:v>
                </c:pt>
                <c:pt idx="21">
                  <c:v>99</c:v>
                </c:pt>
                <c:pt idx="22">
                  <c:v>100</c:v>
                </c:pt>
                <c:pt idx="23">
                  <c:v>101</c:v>
                </c:pt>
                <c:pt idx="24">
                  <c:v>102</c:v>
                </c:pt>
                <c:pt idx="25">
                  <c:v>103</c:v>
                </c:pt>
                <c:pt idx="26">
                  <c:v>102</c:v>
                </c:pt>
                <c:pt idx="27">
                  <c:v>101</c:v>
                </c:pt>
              </c:numCache>
            </c:numRef>
          </c:val>
          <c:smooth val="0"/>
          <c:extLst>
            <c:ext xmlns:c16="http://schemas.microsoft.com/office/drawing/2014/chart" uri="{C3380CC4-5D6E-409C-BE32-E72D297353CC}">
              <c16:uniqueId val="{00000000-F8DB-C248-A631-4E3F45142199}"/>
            </c:ext>
          </c:extLst>
        </c:ser>
        <c:ser>
          <c:idx val="1"/>
          <c:order val="1"/>
          <c:tx>
            <c:strRef>
              <c:f>'4CC'!$R$3</c:f>
              <c:strCache>
                <c:ptCount val="1"/>
                <c:pt idx="0">
                  <c:v>USL</c:v>
                </c:pt>
              </c:strCache>
            </c:strRef>
          </c:tx>
          <c:spPr>
            <a:ln w="25400">
              <a:solidFill>
                <a:srgbClr val="DD2D32"/>
              </a:solidFill>
              <a:prstDash val="solid"/>
            </a:ln>
          </c:spPr>
          <c:marker>
            <c:symbol val="square"/>
            <c:size val="7"/>
            <c:spPr>
              <a:solidFill>
                <a:srgbClr val="DD2D32"/>
              </a:solidFill>
              <a:ln>
                <a:solidFill>
                  <a:srgbClr val="DD2D32"/>
                </a:solidFill>
                <a:prstDash val="solid"/>
              </a:ln>
              <a:effectLst>
                <a:outerShdw dist="35921" dir="2700000" algn="br">
                  <a:srgbClr val="000000"/>
                </a:outerShdw>
              </a:effectLst>
            </c:spPr>
          </c:marker>
          <c:val>
            <c:numRef>
              <c:f>'4CC'!$R$4:$R$31</c:f>
              <c:numCache>
                <c:formatCode>0.00</c:formatCode>
                <c:ptCount val="28"/>
                <c:pt idx="0">
                  <c:v>103.82018311105686</c:v>
                </c:pt>
                <c:pt idx="1">
                  <c:v>103.82018311105686</c:v>
                </c:pt>
                <c:pt idx="2">
                  <c:v>103.82018311105686</c:v>
                </c:pt>
                <c:pt idx="3">
                  <c:v>103.82018311105686</c:v>
                </c:pt>
                <c:pt idx="4">
                  <c:v>103.82018311105686</c:v>
                </c:pt>
                <c:pt idx="5">
                  <c:v>103.82018311105686</c:v>
                </c:pt>
                <c:pt idx="6">
                  <c:v>103.82018311105686</c:v>
                </c:pt>
                <c:pt idx="7">
                  <c:v>103.82018311105686</c:v>
                </c:pt>
                <c:pt idx="8">
                  <c:v>103.82018311105686</c:v>
                </c:pt>
                <c:pt idx="9">
                  <c:v>103.82018311105686</c:v>
                </c:pt>
                <c:pt idx="10">
                  <c:v>103.82018311105686</c:v>
                </c:pt>
                <c:pt idx="11">
                  <c:v>103.82018311105686</c:v>
                </c:pt>
                <c:pt idx="12">
                  <c:v>103.82018311105686</c:v>
                </c:pt>
                <c:pt idx="13">
                  <c:v>103.82018311105686</c:v>
                </c:pt>
                <c:pt idx="14">
                  <c:v>103.82018311105686</c:v>
                </c:pt>
                <c:pt idx="15">
                  <c:v>103.82018311105686</c:v>
                </c:pt>
                <c:pt idx="16">
                  <c:v>103.82018311105686</c:v>
                </c:pt>
                <c:pt idx="17">
                  <c:v>103.82018311105686</c:v>
                </c:pt>
                <c:pt idx="18">
                  <c:v>103.82018311105686</c:v>
                </c:pt>
                <c:pt idx="19">
                  <c:v>103.82018311105686</c:v>
                </c:pt>
                <c:pt idx="20">
                  <c:v>103.82018311105686</c:v>
                </c:pt>
                <c:pt idx="21">
                  <c:v>103.82018311105686</c:v>
                </c:pt>
                <c:pt idx="22">
                  <c:v>103.82018311105686</c:v>
                </c:pt>
                <c:pt idx="23">
                  <c:v>103.82018311105686</c:v>
                </c:pt>
                <c:pt idx="24">
                  <c:v>103.82018311105686</c:v>
                </c:pt>
                <c:pt idx="25">
                  <c:v>103.82018311105686</c:v>
                </c:pt>
                <c:pt idx="26">
                  <c:v>103.82018311105686</c:v>
                </c:pt>
                <c:pt idx="27">
                  <c:v>103.82018311105686</c:v>
                </c:pt>
              </c:numCache>
            </c:numRef>
          </c:val>
          <c:smooth val="0"/>
          <c:extLst>
            <c:ext xmlns:c16="http://schemas.microsoft.com/office/drawing/2014/chart" uri="{C3380CC4-5D6E-409C-BE32-E72D297353CC}">
              <c16:uniqueId val="{00000001-F8DB-C248-A631-4E3F45142199}"/>
            </c:ext>
          </c:extLst>
        </c:ser>
        <c:ser>
          <c:idx val="2"/>
          <c:order val="2"/>
          <c:tx>
            <c:strRef>
              <c:f>'4CC'!$S$3</c:f>
              <c:strCache>
                <c:ptCount val="1"/>
                <c:pt idx="0">
                  <c:v>CSL</c:v>
                </c:pt>
              </c:strCache>
            </c:strRef>
          </c:tx>
          <c:spPr>
            <a:ln w="25400">
              <a:solidFill>
                <a:srgbClr val="FFF58C"/>
              </a:solidFill>
              <a:prstDash val="solid"/>
            </a:ln>
          </c:spPr>
          <c:marker>
            <c:symbol val="triangle"/>
            <c:size val="7"/>
            <c:spPr>
              <a:solidFill>
                <a:srgbClr val="FFF58C"/>
              </a:solidFill>
              <a:ln>
                <a:solidFill>
                  <a:srgbClr val="FFF58C"/>
                </a:solidFill>
                <a:prstDash val="solid"/>
              </a:ln>
              <a:effectLst>
                <a:outerShdw dist="35921" dir="2700000" algn="br">
                  <a:srgbClr val="000000"/>
                </a:outerShdw>
              </a:effectLst>
            </c:spPr>
          </c:marker>
          <c:val>
            <c:numRef>
              <c:f>'4CC'!$S$4:$S$31</c:f>
              <c:numCache>
                <c:formatCode>0.00</c:formatCode>
                <c:ptCount val="28"/>
                <c:pt idx="0">
                  <c:v>100.53571428571429</c:v>
                </c:pt>
                <c:pt idx="1">
                  <c:v>100.53571428571429</c:v>
                </c:pt>
                <c:pt idx="2">
                  <c:v>100.53571428571429</c:v>
                </c:pt>
                <c:pt idx="3">
                  <c:v>100.53571428571429</c:v>
                </c:pt>
                <c:pt idx="4">
                  <c:v>100.53571428571429</c:v>
                </c:pt>
                <c:pt idx="5">
                  <c:v>100.53571428571429</c:v>
                </c:pt>
                <c:pt idx="6">
                  <c:v>100.53571428571429</c:v>
                </c:pt>
                <c:pt idx="7">
                  <c:v>100.53571428571429</c:v>
                </c:pt>
                <c:pt idx="8">
                  <c:v>100.53571428571429</c:v>
                </c:pt>
                <c:pt idx="9">
                  <c:v>100.53571428571429</c:v>
                </c:pt>
                <c:pt idx="10">
                  <c:v>100.53571428571429</c:v>
                </c:pt>
                <c:pt idx="11">
                  <c:v>100.53571428571429</c:v>
                </c:pt>
                <c:pt idx="12">
                  <c:v>100.53571428571429</c:v>
                </c:pt>
                <c:pt idx="13">
                  <c:v>100.53571428571429</c:v>
                </c:pt>
                <c:pt idx="14">
                  <c:v>100.53571428571429</c:v>
                </c:pt>
                <c:pt idx="15">
                  <c:v>100.53571428571429</c:v>
                </c:pt>
                <c:pt idx="16">
                  <c:v>100.53571428571429</c:v>
                </c:pt>
                <c:pt idx="17">
                  <c:v>100.53571428571429</c:v>
                </c:pt>
                <c:pt idx="18">
                  <c:v>100.53571428571429</c:v>
                </c:pt>
                <c:pt idx="19">
                  <c:v>100.53571428571429</c:v>
                </c:pt>
                <c:pt idx="20">
                  <c:v>100.53571428571429</c:v>
                </c:pt>
                <c:pt idx="21">
                  <c:v>100.53571428571429</c:v>
                </c:pt>
                <c:pt idx="22">
                  <c:v>100.53571428571429</c:v>
                </c:pt>
                <c:pt idx="23">
                  <c:v>100.53571428571429</c:v>
                </c:pt>
                <c:pt idx="24">
                  <c:v>100.53571428571429</c:v>
                </c:pt>
                <c:pt idx="25">
                  <c:v>100.53571428571429</c:v>
                </c:pt>
                <c:pt idx="26">
                  <c:v>100.53571428571429</c:v>
                </c:pt>
                <c:pt idx="27">
                  <c:v>100.53571428571429</c:v>
                </c:pt>
              </c:numCache>
            </c:numRef>
          </c:val>
          <c:smooth val="0"/>
          <c:extLst>
            <c:ext xmlns:c16="http://schemas.microsoft.com/office/drawing/2014/chart" uri="{C3380CC4-5D6E-409C-BE32-E72D297353CC}">
              <c16:uniqueId val="{00000002-F8DB-C248-A631-4E3F45142199}"/>
            </c:ext>
          </c:extLst>
        </c:ser>
        <c:ser>
          <c:idx val="3"/>
          <c:order val="3"/>
          <c:tx>
            <c:strRef>
              <c:f>'4CC'!$T$3</c:f>
              <c:strCache>
                <c:ptCount val="1"/>
                <c:pt idx="0">
                  <c:v>LSL</c:v>
                </c:pt>
              </c:strCache>
            </c:strRef>
          </c:tx>
          <c:spPr>
            <a:ln w="25400">
              <a:solidFill>
                <a:srgbClr val="4EE257"/>
              </a:solidFill>
              <a:prstDash val="solid"/>
            </a:ln>
          </c:spPr>
          <c:marker>
            <c:symbol val="x"/>
            <c:size val="7"/>
            <c:spPr>
              <a:noFill/>
              <a:ln>
                <a:solidFill>
                  <a:srgbClr val="4EE257"/>
                </a:solidFill>
                <a:prstDash val="solid"/>
              </a:ln>
              <a:effectLst>
                <a:outerShdw dist="35921" dir="2700000" algn="br">
                  <a:srgbClr val="000000"/>
                </a:outerShdw>
              </a:effectLst>
            </c:spPr>
          </c:marker>
          <c:val>
            <c:numRef>
              <c:f>'4CC'!$T$4:$T$31</c:f>
              <c:numCache>
                <c:formatCode>0.00</c:formatCode>
                <c:ptCount val="28"/>
                <c:pt idx="0">
                  <c:v>97.25124546037172</c:v>
                </c:pt>
                <c:pt idx="1">
                  <c:v>97.25124546037172</c:v>
                </c:pt>
                <c:pt idx="2">
                  <c:v>97.25124546037172</c:v>
                </c:pt>
                <c:pt idx="3">
                  <c:v>97.25124546037172</c:v>
                </c:pt>
                <c:pt idx="4">
                  <c:v>97.25124546037172</c:v>
                </c:pt>
                <c:pt idx="5">
                  <c:v>97.25124546037172</c:v>
                </c:pt>
                <c:pt idx="6">
                  <c:v>97.25124546037172</c:v>
                </c:pt>
                <c:pt idx="7">
                  <c:v>97.25124546037172</c:v>
                </c:pt>
                <c:pt idx="8">
                  <c:v>97.25124546037172</c:v>
                </c:pt>
                <c:pt idx="9">
                  <c:v>97.25124546037172</c:v>
                </c:pt>
                <c:pt idx="10">
                  <c:v>97.25124546037172</c:v>
                </c:pt>
                <c:pt idx="11">
                  <c:v>97.25124546037172</c:v>
                </c:pt>
                <c:pt idx="12">
                  <c:v>97.25124546037172</c:v>
                </c:pt>
                <c:pt idx="13">
                  <c:v>97.25124546037172</c:v>
                </c:pt>
                <c:pt idx="14">
                  <c:v>97.25124546037172</c:v>
                </c:pt>
                <c:pt idx="15">
                  <c:v>97.25124546037172</c:v>
                </c:pt>
                <c:pt idx="16">
                  <c:v>97.25124546037172</c:v>
                </c:pt>
                <c:pt idx="17">
                  <c:v>97.25124546037172</c:v>
                </c:pt>
                <c:pt idx="18">
                  <c:v>97.25124546037172</c:v>
                </c:pt>
                <c:pt idx="19">
                  <c:v>97.25124546037172</c:v>
                </c:pt>
                <c:pt idx="20">
                  <c:v>97.25124546037172</c:v>
                </c:pt>
                <c:pt idx="21">
                  <c:v>97.25124546037172</c:v>
                </c:pt>
                <c:pt idx="22">
                  <c:v>97.25124546037172</c:v>
                </c:pt>
                <c:pt idx="23">
                  <c:v>97.25124546037172</c:v>
                </c:pt>
                <c:pt idx="24">
                  <c:v>97.25124546037172</c:v>
                </c:pt>
                <c:pt idx="25">
                  <c:v>97.25124546037172</c:v>
                </c:pt>
                <c:pt idx="26">
                  <c:v>97.25124546037172</c:v>
                </c:pt>
                <c:pt idx="27">
                  <c:v>97.25124546037172</c:v>
                </c:pt>
              </c:numCache>
            </c:numRef>
          </c:val>
          <c:smooth val="0"/>
          <c:extLst>
            <c:ext xmlns:c16="http://schemas.microsoft.com/office/drawing/2014/chart" uri="{C3380CC4-5D6E-409C-BE32-E72D297353CC}">
              <c16:uniqueId val="{00000003-F8DB-C248-A631-4E3F45142199}"/>
            </c:ext>
          </c:extLst>
        </c:ser>
        <c:dLbls>
          <c:showLegendKey val="0"/>
          <c:showVal val="0"/>
          <c:showCatName val="0"/>
          <c:showSerName val="0"/>
          <c:showPercent val="0"/>
          <c:showBubbleSize val="0"/>
        </c:dLbls>
        <c:marker val="1"/>
        <c:smooth val="0"/>
        <c:axId val="1492681871"/>
        <c:axId val="1"/>
      </c:lineChart>
      <c:catAx>
        <c:axId val="1492681871"/>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Verdana"/>
                <a:ea typeface="Verdana"/>
                <a:cs typeface="Verdana"/>
              </a:defRPr>
            </a:pPr>
            <a:endParaRPr lang="en-CR"/>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Verdana"/>
                <a:ea typeface="Verdana"/>
                <a:cs typeface="Verdana"/>
              </a:defRPr>
            </a:pPr>
            <a:endParaRPr lang="en-CR"/>
          </a:p>
        </c:txPr>
        <c:crossAx val="1492681871"/>
        <c:crosses val="autoZero"/>
        <c:crossBetween val="between"/>
      </c:valAx>
      <c:spPr>
        <a:solidFill>
          <a:srgbClr val="CDCDCD"/>
        </a:solidFill>
        <a:ln w="12700">
          <a:solidFill>
            <a:srgbClr val="808080"/>
          </a:solidFill>
          <a:prstDash val="solid"/>
        </a:ln>
      </c:spPr>
    </c:plotArea>
    <c:legend>
      <c:legendPos val="r"/>
      <c:layout>
        <c:manualLayout>
          <c:xMode val="edge"/>
          <c:yMode val="edge"/>
          <c:x val="0.34989833099305029"/>
          <c:y val="0.9472348021714676"/>
          <c:w val="0.35441300367928058"/>
          <c:h val="3.4162468821832048E-2"/>
        </c:manualLayout>
      </c:layout>
      <c:overlay val="0"/>
      <c:spPr>
        <a:solidFill>
          <a:srgbClr val="FFFFFF"/>
        </a:solidFill>
        <a:ln w="25400">
          <a:noFill/>
        </a:ln>
      </c:spPr>
      <c:txPr>
        <a:bodyPr/>
        <a:lstStyle/>
        <a:p>
          <a:pPr>
            <a:defRPr sz="480" b="0" i="0" u="none" strike="noStrike" baseline="0">
              <a:solidFill>
                <a:srgbClr val="000000"/>
              </a:solidFill>
              <a:latin typeface="Verdana"/>
              <a:ea typeface="Verdana"/>
              <a:cs typeface="Verdana"/>
            </a:defRPr>
          </a:pPr>
          <a:endParaRPr lang="en-CR"/>
        </a:p>
      </c:txPr>
    </c:legend>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Verdana"/>
          <a:ea typeface="Verdana"/>
          <a:cs typeface="Verdana"/>
        </a:defRPr>
      </a:pPr>
      <a:endParaRPr lang="en-CR"/>
    </a:p>
  </c:txPr>
  <c:printSettings>
    <c:headerFooter alignWithMargins="0"/>
    <c:pageMargins b="1" l="0.75000000000000011" r="0.75000000000000011"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1" i="0" u="none" strike="noStrike" baseline="0">
                <a:solidFill>
                  <a:srgbClr val="000000"/>
                </a:solidFill>
                <a:latin typeface="Verdana"/>
                <a:ea typeface="Verdana"/>
                <a:cs typeface="Verdana"/>
              </a:defRPr>
            </a:pPr>
            <a:r>
              <a:rPr lang="en-US"/>
              <a:t>Gráfica OC Método de Cameron</a:t>
            </a:r>
          </a:p>
        </c:rich>
      </c:tx>
      <c:layout>
        <c:manualLayout>
          <c:xMode val="edge"/>
          <c:yMode val="edge"/>
          <c:x val="0.30270307729390966"/>
          <c:y val="3.2069970845481049E-2"/>
        </c:manualLayout>
      </c:layout>
      <c:overlay val="0"/>
      <c:spPr>
        <a:noFill/>
        <a:ln w="25400">
          <a:noFill/>
        </a:ln>
      </c:spPr>
    </c:title>
    <c:autoTitleDeleted val="0"/>
    <c:plotArea>
      <c:layout>
        <c:manualLayout>
          <c:layoutTarget val="inner"/>
          <c:xMode val="edge"/>
          <c:yMode val="edge"/>
          <c:x val="0.13513531347037777"/>
          <c:y val="0.13994189017784567"/>
          <c:w val="0.83243353097752715"/>
          <c:h val="0.7230330992522026"/>
        </c:manualLayout>
      </c:layout>
      <c:lineChart>
        <c:grouping val="standard"/>
        <c:varyColors val="0"/>
        <c:ser>
          <c:idx val="0"/>
          <c:order val="0"/>
          <c:spPr>
            <a:ln w="25400">
              <a:solidFill>
                <a:srgbClr val="63AAFE"/>
              </a:solidFill>
              <a:prstDash val="solid"/>
            </a:ln>
          </c:spPr>
          <c:marker>
            <c:symbol val="none"/>
          </c:marker>
          <c:val>
            <c:numRef>
              <c:f>'2MA'!$O$35:$O$43</c:f>
              <c:numCache>
                <c:formatCode>General</c:formatCode>
                <c:ptCount val="9"/>
                <c:pt idx="0">
                  <c:v>1</c:v>
                </c:pt>
                <c:pt idx="1">
                  <c:v>0.999</c:v>
                </c:pt>
                <c:pt idx="2">
                  <c:v>0.98299999999999998</c:v>
                </c:pt>
                <c:pt idx="3">
                  <c:v>0.83099999999999996</c:v>
                </c:pt>
                <c:pt idx="4">
                  <c:v>0.71</c:v>
                </c:pt>
                <c:pt idx="5">
                  <c:v>0.46300000000000002</c:v>
                </c:pt>
                <c:pt idx="6">
                  <c:v>0.251</c:v>
                </c:pt>
                <c:pt idx="7">
                  <c:v>0.11600000000000001</c:v>
                </c:pt>
                <c:pt idx="8">
                  <c:v>4.7E-2</c:v>
                </c:pt>
              </c:numCache>
            </c:numRef>
          </c:val>
          <c:smooth val="0"/>
          <c:extLst>
            <c:ext xmlns:c16="http://schemas.microsoft.com/office/drawing/2014/chart" uri="{C3380CC4-5D6E-409C-BE32-E72D297353CC}">
              <c16:uniqueId val="{00000000-DE40-6147-B792-E5A998878B73}"/>
            </c:ext>
          </c:extLst>
        </c:ser>
        <c:dLbls>
          <c:showLegendKey val="0"/>
          <c:showVal val="0"/>
          <c:showCatName val="0"/>
          <c:showSerName val="0"/>
          <c:showPercent val="0"/>
          <c:showBubbleSize val="0"/>
        </c:dLbls>
        <c:smooth val="0"/>
        <c:axId val="681846703"/>
        <c:axId val="1"/>
      </c:lineChart>
      <c:catAx>
        <c:axId val="681846703"/>
        <c:scaling>
          <c:orientation val="minMax"/>
        </c:scaling>
        <c:delete val="0"/>
        <c:axPos val="b"/>
        <c:title>
          <c:tx>
            <c:rich>
              <a:bodyPr/>
              <a:lstStyle/>
              <a:p>
                <a:pPr>
                  <a:defRPr sz="800" b="1" i="0" u="none" strike="noStrike" baseline="0">
                    <a:solidFill>
                      <a:srgbClr val="000000"/>
                    </a:solidFill>
                    <a:latin typeface="Verdana"/>
                    <a:ea typeface="Verdana"/>
                    <a:cs typeface="Verdana"/>
                  </a:defRPr>
                </a:pPr>
                <a:r>
                  <a:rPr lang="en-US"/>
                  <a:t>p</a:t>
                </a:r>
              </a:p>
            </c:rich>
          </c:tx>
          <c:layout>
            <c:manualLayout>
              <c:xMode val="edge"/>
              <c:yMode val="edge"/>
              <c:x val="0.53783846215651621"/>
              <c:y val="0.918368724317623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Verdana"/>
                <a:ea typeface="Verdana"/>
                <a:cs typeface="Verdana"/>
              </a:defRPr>
            </a:pPr>
            <a:endParaRPr lang="en-CR"/>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Verdana"/>
                    <a:ea typeface="Verdana"/>
                    <a:cs typeface="Verdana"/>
                  </a:defRPr>
                </a:pPr>
                <a:r>
                  <a:rPr lang="en-US"/>
                  <a:t>PA</a:t>
                </a:r>
              </a:p>
            </c:rich>
          </c:tx>
          <c:layout>
            <c:manualLayout>
              <c:xMode val="edge"/>
              <c:yMode val="edge"/>
              <c:x val="3.7837859553270126E-2"/>
              <c:y val="0.47813479947659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Verdana"/>
                <a:ea typeface="Verdana"/>
                <a:cs typeface="Verdana"/>
              </a:defRPr>
            </a:pPr>
            <a:endParaRPr lang="en-CR"/>
          </a:p>
        </c:txPr>
        <c:crossAx val="681846703"/>
        <c:crosses val="autoZero"/>
        <c:crossBetween val="between"/>
      </c:valAx>
      <c:spPr>
        <a:solidFill>
          <a:srgbClr val="CDCDCD"/>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CR"/>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Carta 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lineChart>
        <c:grouping val="standard"/>
        <c:varyColors val="0"/>
        <c:ser>
          <c:idx val="0"/>
          <c:order val="0"/>
          <c:tx>
            <c:strRef>
              <c:f>'5CC'!$D$2</c:f>
              <c:strCache>
                <c:ptCount val="1"/>
                <c:pt idx="0">
                  <c:v>P</c:v>
                </c:pt>
              </c:strCache>
            </c:strRef>
          </c:tx>
          <c:spPr>
            <a:ln w="28575" cap="rnd">
              <a:solidFill>
                <a:schemeClr val="accent1"/>
              </a:solidFill>
              <a:round/>
            </a:ln>
            <a:effectLst/>
          </c:spPr>
          <c:marker>
            <c:symbol val="none"/>
          </c:marker>
          <c:val>
            <c:numRef>
              <c:f>'5CC'!$D$3:$D$22</c:f>
              <c:numCache>
                <c:formatCode>0.000</c:formatCode>
                <c:ptCount val="20"/>
                <c:pt idx="0">
                  <c:v>0.1</c:v>
                </c:pt>
                <c:pt idx="1">
                  <c:v>0.1588235294117647</c:v>
                </c:pt>
                <c:pt idx="2">
                  <c:v>8.8235294117647065E-2</c:v>
                </c:pt>
                <c:pt idx="3">
                  <c:v>0.17647058823529413</c:v>
                </c:pt>
                <c:pt idx="4">
                  <c:v>0.16470588235294117</c:v>
                </c:pt>
                <c:pt idx="5">
                  <c:v>8.8235294117647065E-2</c:v>
                </c:pt>
                <c:pt idx="6">
                  <c:v>0.11764705882352941</c:v>
                </c:pt>
                <c:pt idx="7">
                  <c:v>0.1588235294117647</c:v>
                </c:pt>
                <c:pt idx="8">
                  <c:v>9.4117647058823528E-2</c:v>
                </c:pt>
                <c:pt idx="9">
                  <c:v>0.25294117647058822</c:v>
                </c:pt>
                <c:pt idx="10">
                  <c:v>7.6470588235294124E-2</c:v>
                </c:pt>
                <c:pt idx="11">
                  <c:v>8.2352941176470587E-2</c:v>
                </c:pt>
                <c:pt idx="12">
                  <c:v>0.12941176470588237</c:v>
                </c:pt>
                <c:pt idx="13">
                  <c:v>0.1</c:v>
                </c:pt>
                <c:pt idx="14">
                  <c:v>0.17058823529411765</c:v>
                </c:pt>
                <c:pt idx="15">
                  <c:v>9.4117647058823528E-2</c:v>
                </c:pt>
                <c:pt idx="16">
                  <c:v>0.14705882352941177</c:v>
                </c:pt>
                <c:pt idx="17">
                  <c:v>0.26470588235294118</c:v>
                </c:pt>
                <c:pt idx="18">
                  <c:v>0.1588235294117647</c:v>
                </c:pt>
                <c:pt idx="19">
                  <c:v>0.13529411764705881</c:v>
                </c:pt>
              </c:numCache>
            </c:numRef>
          </c:val>
          <c:smooth val="0"/>
          <c:extLst>
            <c:ext xmlns:c16="http://schemas.microsoft.com/office/drawing/2014/chart" uri="{C3380CC4-5D6E-409C-BE32-E72D297353CC}">
              <c16:uniqueId val="{00000000-E8DE-0A46-A09F-FF9781054090}"/>
            </c:ext>
          </c:extLst>
        </c:ser>
        <c:ser>
          <c:idx val="1"/>
          <c:order val="1"/>
          <c:tx>
            <c:strRef>
              <c:f>'5CC'!$E$2</c:f>
              <c:strCache>
                <c:ptCount val="1"/>
                <c:pt idx="0">
                  <c:v>LCL</c:v>
                </c:pt>
              </c:strCache>
            </c:strRef>
          </c:tx>
          <c:spPr>
            <a:ln w="28575" cap="rnd">
              <a:solidFill>
                <a:schemeClr val="accent2"/>
              </a:solidFill>
              <a:round/>
            </a:ln>
            <a:effectLst/>
          </c:spPr>
          <c:marker>
            <c:symbol val="none"/>
          </c:marker>
          <c:val>
            <c:numRef>
              <c:f>'5CC'!$E$3:$E$22</c:f>
              <c:numCache>
                <c:formatCode>0.000</c:formatCode>
                <c:ptCount val="20"/>
                <c:pt idx="0">
                  <c:v>5.8597520556787824E-2</c:v>
                </c:pt>
                <c:pt idx="1">
                  <c:v>5.8597520556787824E-2</c:v>
                </c:pt>
                <c:pt idx="2">
                  <c:v>5.8597520556787824E-2</c:v>
                </c:pt>
                <c:pt idx="3">
                  <c:v>5.8597520556787824E-2</c:v>
                </c:pt>
                <c:pt idx="4">
                  <c:v>5.8597520556787824E-2</c:v>
                </c:pt>
                <c:pt idx="5">
                  <c:v>5.8597520556787824E-2</c:v>
                </c:pt>
                <c:pt idx="6">
                  <c:v>5.8597520556787824E-2</c:v>
                </c:pt>
                <c:pt idx="7">
                  <c:v>5.8597520556787824E-2</c:v>
                </c:pt>
                <c:pt idx="8">
                  <c:v>5.8597520556787824E-2</c:v>
                </c:pt>
                <c:pt idx="9">
                  <c:v>5.8597520556787824E-2</c:v>
                </c:pt>
                <c:pt idx="10">
                  <c:v>5.8597520556787824E-2</c:v>
                </c:pt>
                <c:pt idx="11">
                  <c:v>5.8597520556787824E-2</c:v>
                </c:pt>
                <c:pt idx="12">
                  <c:v>5.8597520556787824E-2</c:v>
                </c:pt>
                <c:pt idx="13">
                  <c:v>5.8597520556787824E-2</c:v>
                </c:pt>
                <c:pt idx="14">
                  <c:v>5.8597520556787824E-2</c:v>
                </c:pt>
                <c:pt idx="15">
                  <c:v>5.8597520556787824E-2</c:v>
                </c:pt>
                <c:pt idx="16">
                  <c:v>5.8597520556787824E-2</c:v>
                </c:pt>
                <c:pt idx="17">
                  <c:v>5.8597520556787824E-2</c:v>
                </c:pt>
                <c:pt idx="18">
                  <c:v>5.8597520556787824E-2</c:v>
                </c:pt>
                <c:pt idx="19">
                  <c:v>5.8597520556787824E-2</c:v>
                </c:pt>
              </c:numCache>
            </c:numRef>
          </c:val>
          <c:smooth val="0"/>
          <c:extLst>
            <c:ext xmlns:c16="http://schemas.microsoft.com/office/drawing/2014/chart" uri="{C3380CC4-5D6E-409C-BE32-E72D297353CC}">
              <c16:uniqueId val="{00000001-E8DE-0A46-A09F-FF9781054090}"/>
            </c:ext>
          </c:extLst>
        </c:ser>
        <c:ser>
          <c:idx val="2"/>
          <c:order val="2"/>
          <c:tx>
            <c:strRef>
              <c:f>'5CC'!$F$2</c:f>
              <c:strCache>
                <c:ptCount val="1"/>
                <c:pt idx="0">
                  <c:v>CCL</c:v>
                </c:pt>
              </c:strCache>
            </c:strRef>
          </c:tx>
          <c:spPr>
            <a:ln w="28575" cap="rnd">
              <a:solidFill>
                <a:schemeClr val="accent3"/>
              </a:solidFill>
              <a:round/>
            </a:ln>
            <a:effectLst/>
          </c:spPr>
          <c:marker>
            <c:symbol val="none"/>
          </c:marker>
          <c:val>
            <c:numRef>
              <c:f>'5CC'!$F$3:$F$22</c:f>
              <c:numCache>
                <c:formatCode>0.000</c:formatCode>
                <c:ptCount val="20"/>
                <c:pt idx="0">
                  <c:v>0.13794117647058823</c:v>
                </c:pt>
                <c:pt idx="1">
                  <c:v>0.13794117647058823</c:v>
                </c:pt>
                <c:pt idx="2">
                  <c:v>0.13794117647058823</c:v>
                </c:pt>
                <c:pt idx="3">
                  <c:v>0.13794117647058823</c:v>
                </c:pt>
                <c:pt idx="4">
                  <c:v>0.13794117647058823</c:v>
                </c:pt>
                <c:pt idx="5">
                  <c:v>0.13794117647058823</c:v>
                </c:pt>
                <c:pt idx="6">
                  <c:v>0.13794117647058823</c:v>
                </c:pt>
                <c:pt idx="7">
                  <c:v>0.13794117647058823</c:v>
                </c:pt>
                <c:pt idx="8">
                  <c:v>0.13794117647058823</c:v>
                </c:pt>
                <c:pt idx="9">
                  <c:v>0.13794117647058823</c:v>
                </c:pt>
                <c:pt idx="10">
                  <c:v>0.13794117647058823</c:v>
                </c:pt>
                <c:pt idx="11">
                  <c:v>0.13794117647058823</c:v>
                </c:pt>
                <c:pt idx="12">
                  <c:v>0.13794117647058823</c:v>
                </c:pt>
                <c:pt idx="13">
                  <c:v>0.13794117647058823</c:v>
                </c:pt>
                <c:pt idx="14">
                  <c:v>0.13794117647058823</c:v>
                </c:pt>
                <c:pt idx="15">
                  <c:v>0.13794117647058823</c:v>
                </c:pt>
                <c:pt idx="16">
                  <c:v>0.13794117647058823</c:v>
                </c:pt>
                <c:pt idx="17">
                  <c:v>0.13794117647058823</c:v>
                </c:pt>
                <c:pt idx="18">
                  <c:v>0.13794117647058823</c:v>
                </c:pt>
                <c:pt idx="19">
                  <c:v>0.13794117647058823</c:v>
                </c:pt>
              </c:numCache>
            </c:numRef>
          </c:val>
          <c:smooth val="0"/>
          <c:extLst>
            <c:ext xmlns:c16="http://schemas.microsoft.com/office/drawing/2014/chart" uri="{C3380CC4-5D6E-409C-BE32-E72D297353CC}">
              <c16:uniqueId val="{00000002-E8DE-0A46-A09F-FF9781054090}"/>
            </c:ext>
          </c:extLst>
        </c:ser>
        <c:ser>
          <c:idx val="3"/>
          <c:order val="3"/>
          <c:tx>
            <c:strRef>
              <c:f>'5CC'!$G$2</c:f>
              <c:strCache>
                <c:ptCount val="1"/>
                <c:pt idx="0">
                  <c:v>UCL</c:v>
                </c:pt>
              </c:strCache>
            </c:strRef>
          </c:tx>
          <c:spPr>
            <a:ln w="28575" cap="rnd">
              <a:solidFill>
                <a:schemeClr val="accent4"/>
              </a:solidFill>
              <a:round/>
            </a:ln>
            <a:effectLst/>
          </c:spPr>
          <c:marker>
            <c:symbol val="none"/>
          </c:marker>
          <c:val>
            <c:numRef>
              <c:f>'5CC'!$G$3:$G$22</c:f>
              <c:numCache>
                <c:formatCode>0.000</c:formatCode>
                <c:ptCount val="20"/>
                <c:pt idx="0">
                  <c:v>0.21728483238438864</c:v>
                </c:pt>
                <c:pt idx="1">
                  <c:v>0.21728483238438864</c:v>
                </c:pt>
                <c:pt idx="2">
                  <c:v>0.21728483238438864</c:v>
                </c:pt>
                <c:pt idx="3">
                  <c:v>0.21728483238438864</c:v>
                </c:pt>
                <c:pt idx="4">
                  <c:v>0.21728483238438864</c:v>
                </c:pt>
                <c:pt idx="5">
                  <c:v>0.21728483238438864</c:v>
                </c:pt>
                <c:pt idx="6">
                  <c:v>0.21728483238438864</c:v>
                </c:pt>
                <c:pt idx="7">
                  <c:v>0.21728483238438864</c:v>
                </c:pt>
                <c:pt idx="8">
                  <c:v>0.21728483238438864</c:v>
                </c:pt>
                <c:pt idx="9">
                  <c:v>0.21728483238438864</c:v>
                </c:pt>
                <c:pt idx="10">
                  <c:v>0.21728483238438864</c:v>
                </c:pt>
                <c:pt idx="11">
                  <c:v>0.21728483238438864</c:v>
                </c:pt>
                <c:pt idx="12">
                  <c:v>0.21728483238438864</c:v>
                </c:pt>
                <c:pt idx="13">
                  <c:v>0.21728483238438864</c:v>
                </c:pt>
                <c:pt idx="14">
                  <c:v>0.21728483238438864</c:v>
                </c:pt>
                <c:pt idx="15">
                  <c:v>0.21728483238438864</c:v>
                </c:pt>
                <c:pt idx="16">
                  <c:v>0.21728483238438864</c:v>
                </c:pt>
                <c:pt idx="17">
                  <c:v>0.21728483238438864</c:v>
                </c:pt>
                <c:pt idx="18">
                  <c:v>0.21728483238438864</c:v>
                </c:pt>
                <c:pt idx="19">
                  <c:v>0.21728483238438864</c:v>
                </c:pt>
              </c:numCache>
            </c:numRef>
          </c:val>
          <c:smooth val="0"/>
          <c:extLst>
            <c:ext xmlns:c16="http://schemas.microsoft.com/office/drawing/2014/chart" uri="{C3380CC4-5D6E-409C-BE32-E72D297353CC}">
              <c16:uniqueId val="{00000003-E8DE-0A46-A09F-FF9781054090}"/>
            </c:ext>
          </c:extLst>
        </c:ser>
        <c:dLbls>
          <c:showLegendKey val="0"/>
          <c:showVal val="0"/>
          <c:showCatName val="0"/>
          <c:showSerName val="0"/>
          <c:showPercent val="0"/>
          <c:showBubbleSize val="0"/>
        </c:dLbls>
        <c:smooth val="0"/>
        <c:axId val="1476792703"/>
        <c:axId val="1476794351"/>
      </c:lineChart>
      <c:catAx>
        <c:axId val="147679270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476794351"/>
        <c:crosses val="autoZero"/>
        <c:auto val="1"/>
        <c:lblAlgn val="ctr"/>
        <c:lblOffset val="100"/>
        <c:noMultiLvlLbl val="0"/>
      </c:catAx>
      <c:valAx>
        <c:axId val="1476794351"/>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4767927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Carta 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lineChart>
        <c:grouping val="standard"/>
        <c:varyColors val="0"/>
        <c:ser>
          <c:idx val="0"/>
          <c:order val="0"/>
          <c:tx>
            <c:strRef>
              <c:f>'5CC'!$D$25</c:f>
              <c:strCache>
                <c:ptCount val="1"/>
                <c:pt idx="0">
                  <c:v>P</c:v>
                </c:pt>
              </c:strCache>
            </c:strRef>
          </c:tx>
          <c:spPr>
            <a:ln w="28575" cap="rnd">
              <a:solidFill>
                <a:schemeClr val="accent1"/>
              </a:solidFill>
              <a:round/>
            </a:ln>
            <a:effectLst/>
          </c:spPr>
          <c:marker>
            <c:symbol val="none"/>
          </c:marker>
          <c:val>
            <c:numRef>
              <c:f>'5CC'!$D$26:$D$53</c:f>
              <c:numCache>
                <c:formatCode>0.000</c:formatCode>
                <c:ptCount val="28"/>
                <c:pt idx="0">
                  <c:v>0.1</c:v>
                </c:pt>
                <c:pt idx="1">
                  <c:v>0.1588235294117647</c:v>
                </c:pt>
                <c:pt idx="2">
                  <c:v>8.8235294117647065E-2</c:v>
                </c:pt>
                <c:pt idx="3">
                  <c:v>0.17647058823529413</c:v>
                </c:pt>
                <c:pt idx="4">
                  <c:v>0.16470588235294117</c:v>
                </c:pt>
                <c:pt idx="5">
                  <c:v>8.8235294117647065E-2</c:v>
                </c:pt>
                <c:pt idx="6">
                  <c:v>0.11764705882352941</c:v>
                </c:pt>
                <c:pt idx="7">
                  <c:v>0.1588235294117647</c:v>
                </c:pt>
                <c:pt idx="8">
                  <c:v>9.4117647058823528E-2</c:v>
                </c:pt>
                <c:pt idx="9">
                  <c:v>7.6470588235294124E-2</c:v>
                </c:pt>
                <c:pt idx="10">
                  <c:v>8.2352941176470587E-2</c:v>
                </c:pt>
                <c:pt idx="11">
                  <c:v>0.12941176470588237</c:v>
                </c:pt>
                <c:pt idx="12">
                  <c:v>0.1</c:v>
                </c:pt>
                <c:pt idx="13">
                  <c:v>0.17058823529411765</c:v>
                </c:pt>
                <c:pt idx="14">
                  <c:v>9.4117647058823528E-2</c:v>
                </c:pt>
                <c:pt idx="15">
                  <c:v>0.14705882352941177</c:v>
                </c:pt>
                <c:pt idx="16">
                  <c:v>0.1588235294117647</c:v>
                </c:pt>
                <c:pt idx="17">
                  <c:v>0.13529411764705881</c:v>
                </c:pt>
                <c:pt idx="18">
                  <c:v>5.2941176470588235E-2</c:v>
                </c:pt>
                <c:pt idx="19">
                  <c:v>4.1176470588235294E-2</c:v>
                </c:pt>
                <c:pt idx="20">
                  <c:v>5.8823529411764705E-2</c:v>
                </c:pt>
                <c:pt idx="21">
                  <c:v>7.0588235294117646E-2</c:v>
                </c:pt>
                <c:pt idx="22">
                  <c:v>4.7058823529411764E-2</c:v>
                </c:pt>
                <c:pt idx="23">
                  <c:v>7.0588235294117646E-2</c:v>
                </c:pt>
                <c:pt idx="24">
                  <c:v>5.8823529411764705E-2</c:v>
                </c:pt>
                <c:pt idx="25">
                  <c:v>7.6470588235294124E-2</c:v>
                </c:pt>
                <c:pt idx="26">
                  <c:v>6.4705882352941183E-2</c:v>
                </c:pt>
                <c:pt idx="27">
                  <c:v>5.2941176470588235E-2</c:v>
                </c:pt>
              </c:numCache>
            </c:numRef>
          </c:val>
          <c:smooth val="0"/>
          <c:extLst>
            <c:ext xmlns:c16="http://schemas.microsoft.com/office/drawing/2014/chart" uri="{C3380CC4-5D6E-409C-BE32-E72D297353CC}">
              <c16:uniqueId val="{00000000-9F35-D84B-AF87-BDB03D8EEF29}"/>
            </c:ext>
          </c:extLst>
        </c:ser>
        <c:ser>
          <c:idx val="1"/>
          <c:order val="1"/>
          <c:tx>
            <c:strRef>
              <c:f>'5CC'!$E$25</c:f>
              <c:strCache>
                <c:ptCount val="1"/>
                <c:pt idx="0">
                  <c:v>LCL</c:v>
                </c:pt>
              </c:strCache>
            </c:strRef>
          </c:tx>
          <c:spPr>
            <a:ln w="28575" cap="rnd">
              <a:solidFill>
                <a:schemeClr val="accent2"/>
              </a:solidFill>
              <a:round/>
            </a:ln>
            <a:effectLst/>
          </c:spPr>
          <c:marker>
            <c:symbol val="none"/>
          </c:marker>
          <c:val>
            <c:numRef>
              <c:f>'5CC'!$E$26:$E$53</c:f>
              <c:numCache>
                <c:formatCode>0.000</c:formatCode>
                <c:ptCount val="28"/>
                <c:pt idx="0">
                  <c:v>3.9479666239815872E-2</c:v>
                </c:pt>
                <c:pt idx="1">
                  <c:v>3.9479666239815872E-2</c:v>
                </c:pt>
                <c:pt idx="2">
                  <c:v>3.9479666239815872E-2</c:v>
                </c:pt>
                <c:pt idx="3">
                  <c:v>3.9479666239815872E-2</c:v>
                </c:pt>
                <c:pt idx="4">
                  <c:v>3.9479666239815872E-2</c:v>
                </c:pt>
                <c:pt idx="5">
                  <c:v>3.9479666239815872E-2</c:v>
                </c:pt>
                <c:pt idx="6">
                  <c:v>3.9479666239815872E-2</c:v>
                </c:pt>
                <c:pt idx="7">
                  <c:v>3.9479666239815872E-2</c:v>
                </c:pt>
                <c:pt idx="8">
                  <c:v>3.9479666239815872E-2</c:v>
                </c:pt>
                <c:pt idx="9">
                  <c:v>3.9479666239815872E-2</c:v>
                </c:pt>
                <c:pt idx="10">
                  <c:v>3.9479666239815872E-2</c:v>
                </c:pt>
                <c:pt idx="11">
                  <c:v>3.9479666239815872E-2</c:v>
                </c:pt>
                <c:pt idx="12">
                  <c:v>3.9479666239815872E-2</c:v>
                </c:pt>
                <c:pt idx="13">
                  <c:v>3.9479666239815872E-2</c:v>
                </c:pt>
                <c:pt idx="14">
                  <c:v>3.9479666239815872E-2</c:v>
                </c:pt>
                <c:pt idx="15">
                  <c:v>3.9479666239815872E-2</c:v>
                </c:pt>
                <c:pt idx="16">
                  <c:v>3.9479666239815872E-2</c:v>
                </c:pt>
                <c:pt idx="17">
                  <c:v>3.9479666239815872E-2</c:v>
                </c:pt>
                <c:pt idx="18">
                  <c:v>3.9479666239815872E-2</c:v>
                </c:pt>
                <c:pt idx="19">
                  <c:v>3.9479666239815872E-2</c:v>
                </c:pt>
                <c:pt idx="20">
                  <c:v>3.9479666239815872E-2</c:v>
                </c:pt>
                <c:pt idx="21">
                  <c:v>3.9479666239815872E-2</c:v>
                </c:pt>
                <c:pt idx="22">
                  <c:v>3.9479666239815872E-2</c:v>
                </c:pt>
                <c:pt idx="23">
                  <c:v>3.9479666239815872E-2</c:v>
                </c:pt>
                <c:pt idx="24">
                  <c:v>3.9479666239815872E-2</c:v>
                </c:pt>
                <c:pt idx="25">
                  <c:v>3.9479666239815872E-2</c:v>
                </c:pt>
                <c:pt idx="26">
                  <c:v>3.9479666239815872E-2</c:v>
                </c:pt>
                <c:pt idx="27">
                  <c:v>3.9479666239815872E-2</c:v>
                </c:pt>
              </c:numCache>
            </c:numRef>
          </c:val>
          <c:smooth val="0"/>
          <c:extLst>
            <c:ext xmlns:c16="http://schemas.microsoft.com/office/drawing/2014/chart" uri="{C3380CC4-5D6E-409C-BE32-E72D297353CC}">
              <c16:uniqueId val="{00000001-9F35-D84B-AF87-BDB03D8EEF29}"/>
            </c:ext>
          </c:extLst>
        </c:ser>
        <c:ser>
          <c:idx val="2"/>
          <c:order val="2"/>
          <c:tx>
            <c:strRef>
              <c:f>'5CC'!$F$25</c:f>
              <c:strCache>
                <c:ptCount val="1"/>
                <c:pt idx="0">
                  <c:v>CCL</c:v>
                </c:pt>
              </c:strCache>
            </c:strRef>
          </c:tx>
          <c:spPr>
            <a:ln w="28575" cap="rnd">
              <a:solidFill>
                <a:schemeClr val="accent3"/>
              </a:solidFill>
              <a:round/>
            </a:ln>
            <a:effectLst/>
          </c:spPr>
          <c:marker>
            <c:symbol val="none"/>
          </c:marker>
          <c:val>
            <c:numRef>
              <c:f>'5CC'!$F$26:$F$53</c:f>
              <c:numCache>
                <c:formatCode>0.000</c:formatCode>
                <c:ptCount val="28"/>
                <c:pt idx="0">
                  <c:v>0.11205882352941177</c:v>
                </c:pt>
                <c:pt idx="1">
                  <c:v>0.11205882352941177</c:v>
                </c:pt>
                <c:pt idx="2">
                  <c:v>0.11205882352941177</c:v>
                </c:pt>
                <c:pt idx="3">
                  <c:v>0.11205882352941177</c:v>
                </c:pt>
                <c:pt idx="4">
                  <c:v>0.11205882352941177</c:v>
                </c:pt>
                <c:pt idx="5">
                  <c:v>0.11205882352941177</c:v>
                </c:pt>
                <c:pt idx="6">
                  <c:v>0.11205882352941177</c:v>
                </c:pt>
                <c:pt idx="7">
                  <c:v>0.11205882352941177</c:v>
                </c:pt>
                <c:pt idx="8">
                  <c:v>0.11205882352941177</c:v>
                </c:pt>
                <c:pt idx="9">
                  <c:v>0.11205882352941177</c:v>
                </c:pt>
                <c:pt idx="10">
                  <c:v>0.11205882352941177</c:v>
                </c:pt>
                <c:pt idx="11">
                  <c:v>0.11205882352941177</c:v>
                </c:pt>
                <c:pt idx="12">
                  <c:v>0.11205882352941177</c:v>
                </c:pt>
                <c:pt idx="13">
                  <c:v>0.11205882352941177</c:v>
                </c:pt>
                <c:pt idx="14">
                  <c:v>0.11205882352941177</c:v>
                </c:pt>
                <c:pt idx="15">
                  <c:v>0.11205882352941177</c:v>
                </c:pt>
                <c:pt idx="16">
                  <c:v>0.11205882352941177</c:v>
                </c:pt>
                <c:pt idx="17">
                  <c:v>0.11205882352941177</c:v>
                </c:pt>
                <c:pt idx="18">
                  <c:v>0.11205882352941177</c:v>
                </c:pt>
                <c:pt idx="19">
                  <c:v>0.11205882352941177</c:v>
                </c:pt>
                <c:pt idx="20">
                  <c:v>0.11205882352941177</c:v>
                </c:pt>
                <c:pt idx="21">
                  <c:v>0.11205882352941177</c:v>
                </c:pt>
                <c:pt idx="22">
                  <c:v>0.11205882352941177</c:v>
                </c:pt>
                <c:pt idx="23">
                  <c:v>0.11205882352941177</c:v>
                </c:pt>
                <c:pt idx="24">
                  <c:v>0.11205882352941177</c:v>
                </c:pt>
                <c:pt idx="25">
                  <c:v>0.11205882352941177</c:v>
                </c:pt>
                <c:pt idx="26">
                  <c:v>0.11205882352941177</c:v>
                </c:pt>
                <c:pt idx="27">
                  <c:v>0.11205882352941177</c:v>
                </c:pt>
              </c:numCache>
            </c:numRef>
          </c:val>
          <c:smooth val="0"/>
          <c:extLst>
            <c:ext xmlns:c16="http://schemas.microsoft.com/office/drawing/2014/chart" uri="{C3380CC4-5D6E-409C-BE32-E72D297353CC}">
              <c16:uniqueId val="{00000002-9F35-D84B-AF87-BDB03D8EEF29}"/>
            </c:ext>
          </c:extLst>
        </c:ser>
        <c:ser>
          <c:idx val="3"/>
          <c:order val="3"/>
          <c:tx>
            <c:strRef>
              <c:f>'5CC'!$G$25</c:f>
              <c:strCache>
                <c:ptCount val="1"/>
                <c:pt idx="0">
                  <c:v>UCL</c:v>
                </c:pt>
              </c:strCache>
            </c:strRef>
          </c:tx>
          <c:spPr>
            <a:ln w="28575" cap="rnd">
              <a:solidFill>
                <a:schemeClr val="accent4"/>
              </a:solidFill>
              <a:round/>
            </a:ln>
            <a:effectLst/>
          </c:spPr>
          <c:marker>
            <c:symbol val="none"/>
          </c:marker>
          <c:val>
            <c:numRef>
              <c:f>'5CC'!$G$26:$G$53</c:f>
              <c:numCache>
                <c:formatCode>0.000</c:formatCode>
                <c:ptCount val="28"/>
                <c:pt idx="0">
                  <c:v>0.18463798081900767</c:v>
                </c:pt>
                <c:pt idx="1">
                  <c:v>0.18463798081900767</c:v>
                </c:pt>
                <c:pt idx="2">
                  <c:v>0.18463798081900767</c:v>
                </c:pt>
                <c:pt idx="3">
                  <c:v>0.18463798081900767</c:v>
                </c:pt>
                <c:pt idx="4">
                  <c:v>0.18463798081900767</c:v>
                </c:pt>
                <c:pt idx="5">
                  <c:v>0.18463798081900767</c:v>
                </c:pt>
                <c:pt idx="6">
                  <c:v>0.18463798081900767</c:v>
                </c:pt>
                <c:pt idx="7">
                  <c:v>0.18463798081900767</c:v>
                </c:pt>
                <c:pt idx="8">
                  <c:v>0.18463798081900767</c:v>
                </c:pt>
                <c:pt idx="9">
                  <c:v>0.18463798081900767</c:v>
                </c:pt>
                <c:pt idx="10">
                  <c:v>0.18463798081900767</c:v>
                </c:pt>
                <c:pt idx="11">
                  <c:v>0.18463798081900767</c:v>
                </c:pt>
                <c:pt idx="12">
                  <c:v>0.18463798081900767</c:v>
                </c:pt>
                <c:pt idx="13">
                  <c:v>0.18463798081900767</c:v>
                </c:pt>
                <c:pt idx="14">
                  <c:v>0.18463798081900767</c:v>
                </c:pt>
                <c:pt idx="15">
                  <c:v>0.18463798081900767</c:v>
                </c:pt>
                <c:pt idx="16">
                  <c:v>0.18463798081900767</c:v>
                </c:pt>
                <c:pt idx="17">
                  <c:v>0.18463798081900767</c:v>
                </c:pt>
                <c:pt idx="18">
                  <c:v>0.18463798081900767</c:v>
                </c:pt>
                <c:pt idx="19">
                  <c:v>0.18463798081900767</c:v>
                </c:pt>
                <c:pt idx="20">
                  <c:v>0.18463798081900767</c:v>
                </c:pt>
                <c:pt idx="21">
                  <c:v>0.18463798081900767</c:v>
                </c:pt>
                <c:pt idx="22">
                  <c:v>0.18463798081900767</c:v>
                </c:pt>
                <c:pt idx="23">
                  <c:v>0.18463798081900767</c:v>
                </c:pt>
                <c:pt idx="24">
                  <c:v>0.18463798081900767</c:v>
                </c:pt>
                <c:pt idx="25">
                  <c:v>0.18463798081900767</c:v>
                </c:pt>
                <c:pt idx="26">
                  <c:v>0.18463798081900767</c:v>
                </c:pt>
                <c:pt idx="27">
                  <c:v>0.18463798081900767</c:v>
                </c:pt>
              </c:numCache>
            </c:numRef>
          </c:val>
          <c:smooth val="0"/>
          <c:extLst>
            <c:ext xmlns:c16="http://schemas.microsoft.com/office/drawing/2014/chart" uri="{C3380CC4-5D6E-409C-BE32-E72D297353CC}">
              <c16:uniqueId val="{00000003-9F35-D84B-AF87-BDB03D8EEF29}"/>
            </c:ext>
          </c:extLst>
        </c:ser>
        <c:dLbls>
          <c:showLegendKey val="0"/>
          <c:showVal val="0"/>
          <c:showCatName val="0"/>
          <c:showSerName val="0"/>
          <c:showPercent val="0"/>
          <c:showBubbleSize val="0"/>
        </c:dLbls>
        <c:smooth val="0"/>
        <c:axId val="1067594591"/>
        <c:axId val="1067596239"/>
      </c:lineChart>
      <c:catAx>
        <c:axId val="106759459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067596239"/>
        <c:crosses val="autoZero"/>
        <c:auto val="1"/>
        <c:lblAlgn val="ctr"/>
        <c:lblOffset val="100"/>
        <c:noMultiLvlLbl val="0"/>
      </c:catAx>
      <c:valAx>
        <c:axId val="1067596239"/>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067594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Carta np de</a:t>
            </a:r>
            <a:r>
              <a:rPr lang="en-US" baseline="0"/>
              <a:t> botellas rechazadas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lineChart>
        <c:grouping val="standard"/>
        <c:varyColors val="0"/>
        <c:ser>
          <c:idx val="0"/>
          <c:order val="0"/>
          <c:tx>
            <c:strRef>
              <c:f>'6CC'!$C$3</c:f>
              <c:strCache>
                <c:ptCount val="1"/>
                <c:pt idx="0">
                  <c:v>Rechazadas</c:v>
                </c:pt>
              </c:strCache>
            </c:strRef>
          </c:tx>
          <c:spPr>
            <a:ln w="28575" cap="rnd">
              <a:solidFill>
                <a:schemeClr val="accent1"/>
              </a:solidFill>
              <a:round/>
            </a:ln>
            <a:effectLst/>
          </c:spPr>
          <c:marker>
            <c:symbol val="none"/>
          </c:marker>
          <c:val>
            <c:numRef>
              <c:f>'6CC'!$C$4:$C$33</c:f>
              <c:numCache>
                <c:formatCode>General</c:formatCode>
                <c:ptCount val="30"/>
                <c:pt idx="0">
                  <c:v>4</c:v>
                </c:pt>
                <c:pt idx="1">
                  <c:v>9</c:v>
                </c:pt>
                <c:pt idx="2">
                  <c:v>6</c:v>
                </c:pt>
                <c:pt idx="3">
                  <c:v>12</c:v>
                </c:pt>
                <c:pt idx="4">
                  <c:v>8</c:v>
                </c:pt>
                <c:pt idx="5">
                  <c:v>2</c:v>
                </c:pt>
                <c:pt idx="6">
                  <c:v>13</c:v>
                </c:pt>
                <c:pt idx="7">
                  <c:v>10</c:v>
                </c:pt>
                <c:pt idx="8">
                  <c:v>1</c:v>
                </c:pt>
                <c:pt idx="9">
                  <c:v>9</c:v>
                </c:pt>
                <c:pt idx="10">
                  <c:v>4</c:v>
                </c:pt>
                <c:pt idx="11">
                  <c:v>6</c:v>
                </c:pt>
                <c:pt idx="12">
                  <c:v>8</c:v>
                </c:pt>
                <c:pt idx="13">
                  <c:v>10</c:v>
                </c:pt>
                <c:pt idx="14">
                  <c:v>12</c:v>
                </c:pt>
                <c:pt idx="15">
                  <c:v>4</c:v>
                </c:pt>
                <c:pt idx="16">
                  <c:v>3</c:v>
                </c:pt>
                <c:pt idx="17">
                  <c:v>10</c:v>
                </c:pt>
                <c:pt idx="18">
                  <c:v>14</c:v>
                </c:pt>
                <c:pt idx="19">
                  <c:v>5</c:v>
                </c:pt>
                <c:pt idx="20">
                  <c:v>13</c:v>
                </c:pt>
                <c:pt idx="21">
                  <c:v>11</c:v>
                </c:pt>
                <c:pt idx="22">
                  <c:v>7</c:v>
                </c:pt>
                <c:pt idx="23">
                  <c:v>3</c:v>
                </c:pt>
                <c:pt idx="24">
                  <c:v>2</c:v>
                </c:pt>
                <c:pt idx="25">
                  <c:v>8</c:v>
                </c:pt>
                <c:pt idx="26">
                  <c:v>11</c:v>
                </c:pt>
                <c:pt idx="27">
                  <c:v>6</c:v>
                </c:pt>
                <c:pt idx="28">
                  <c:v>9</c:v>
                </c:pt>
                <c:pt idx="29">
                  <c:v>5</c:v>
                </c:pt>
              </c:numCache>
            </c:numRef>
          </c:val>
          <c:smooth val="0"/>
          <c:extLst>
            <c:ext xmlns:c16="http://schemas.microsoft.com/office/drawing/2014/chart" uri="{C3380CC4-5D6E-409C-BE32-E72D297353CC}">
              <c16:uniqueId val="{00000000-BF54-3B47-AFB4-95159EC81318}"/>
            </c:ext>
          </c:extLst>
        </c:ser>
        <c:ser>
          <c:idx val="1"/>
          <c:order val="1"/>
          <c:tx>
            <c:strRef>
              <c:f>'6CC'!$D$3</c:f>
              <c:strCache>
                <c:ptCount val="1"/>
                <c:pt idx="0">
                  <c:v>LI</c:v>
                </c:pt>
              </c:strCache>
            </c:strRef>
          </c:tx>
          <c:spPr>
            <a:ln w="28575" cap="rnd">
              <a:solidFill>
                <a:schemeClr val="accent2"/>
              </a:solidFill>
              <a:round/>
            </a:ln>
            <a:effectLst/>
          </c:spPr>
          <c:marker>
            <c:symbol val="none"/>
          </c:marker>
          <c:val>
            <c:numRef>
              <c:f>'6CC'!$D$4:$D$33</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BF54-3B47-AFB4-95159EC81318}"/>
            </c:ext>
          </c:extLst>
        </c:ser>
        <c:ser>
          <c:idx val="2"/>
          <c:order val="2"/>
          <c:tx>
            <c:strRef>
              <c:f>'6CC'!$E$3</c:f>
              <c:strCache>
                <c:ptCount val="1"/>
                <c:pt idx="0">
                  <c:v>LC</c:v>
                </c:pt>
              </c:strCache>
            </c:strRef>
          </c:tx>
          <c:spPr>
            <a:ln w="28575" cap="rnd">
              <a:solidFill>
                <a:schemeClr val="accent3"/>
              </a:solidFill>
              <a:round/>
            </a:ln>
            <a:effectLst/>
          </c:spPr>
          <c:marker>
            <c:symbol val="none"/>
          </c:marker>
          <c:val>
            <c:numRef>
              <c:f>'6CC'!$E$4:$E$33</c:f>
              <c:numCache>
                <c:formatCode>0.00</c:formatCode>
                <c:ptCount val="30"/>
                <c:pt idx="0">
                  <c:v>7.5</c:v>
                </c:pt>
                <c:pt idx="1">
                  <c:v>7.5</c:v>
                </c:pt>
                <c:pt idx="2">
                  <c:v>7.5</c:v>
                </c:pt>
                <c:pt idx="3">
                  <c:v>7.5</c:v>
                </c:pt>
                <c:pt idx="4">
                  <c:v>7.5</c:v>
                </c:pt>
                <c:pt idx="5">
                  <c:v>7.5</c:v>
                </c:pt>
                <c:pt idx="6">
                  <c:v>7.5</c:v>
                </c:pt>
                <c:pt idx="7">
                  <c:v>7.5</c:v>
                </c:pt>
                <c:pt idx="8">
                  <c:v>7.5</c:v>
                </c:pt>
                <c:pt idx="9">
                  <c:v>7.5</c:v>
                </c:pt>
                <c:pt idx="10">
                  <c:v>7.5</c:v>
                </c:pt>
                <c:pt idx="11">
                  <c:v>7.5</c:v>
                </c:pt>
                <c:pt idx="12">
                  <c:v>7.5</c:v>
                </c:pt>
                <c:pt idx="13">
                  <c:v>7.5</c:v>
                </c:pt>
                <c:pt idx="14">
                  <c:v>7.5</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numCache>
            </c:numRef>
          </c:val>
          <c:smooth val="0"/>
          <c:extLst>
            <c:ext xmlns:c16="http://schemas.microsoft.com/office/drawing/2014/chart" uri="{C3380CC4-5D6E-409C-BE32-E72D297353CC}">
              <c16:uniqueId val="{00000002-BF54-3B47-AFB4-95159EC81318}"/>
            </c:ext>
          </c:extLst>
        </c:ser>
        <c:ser>
          <c:idx val="3"/>
          <c:order val="3"/>
          <c:tx>
            <c:strRef>
              <c:f>'6CC'!$F$3</c:f>
              <c:strCache>
                <c:ptCount val="1"/>
                <c:pt idx="0">
                  <c:v>LS</c:v>
                </c:pt>
              </c:strCache>
            </c:strRef>
          </c:tx>
          <c:spPr>
            <a:ln w="28575" cap="rnd">
              <a:solidFill>
                <a:schemeClr val="accent4"/>
              </a:solidFill>
              <a:round/>
            </a:ln>
            <a:effectLst/>
          </c:spPr>
          <c:marker>
            <c:symbol val="none"/>
          </c:marker>
          <c:val>
            <c:numRef>
              <c:f>'6CC'!$F$4:$F$33</c:f>
              <c:numCache>
                <c:formatCode>0.00</c:formatCode>
                <c:ptCount val="30"/>
                <c:pt idx="0">
                  <c:v>15.591662375556707</c:v>
                </c:pt>
                <c:pt idx="1">
                  <c:v>15.591662375556707</c:v>
                </c:pt>
                <c:pt idx="2">
                  <c:v>15.591662375556707</c:v>
                </c:pt>
                <c:pt idx="3">
                  <c:v>15.591662375556707</c:v>
                </c:pt>
                <c:pt idx="4">
                  <c:v>15.591662375556707</c:v>
                </c:pt>
                <c:pt idx="5">
                  <c:v>15.591662375556707</c:v>
                </c:pt>
                <c:pt idx="6">
                  <c:v>15.591662375556707</c:v>
                </c:pt>
                <c:pt idx="7">
                  <c:v>15.591662375556707</c:v>
                </c:pt>
                <c:pt idx="8">
                  <c:v>15.591662375556707</c:v>
                </c:pt>
                <c:pt idx="9">
                  <c:v>15.591662375556707</c:v>
                </c:pt>
                <c:pt idx="10">
                  <c:v>15.591662375556707</c:v>
                </c:pt>
                <c:pt idx="11">
                  <c:v>15.591662375556707</c:v>
                </c:pt>
                <c:pt idx="12">
                  <c:v>15.591662375556707</c:v>
                </c:pt>
                <c:pt idx="13">
                  <c:v>15.591662375556707</c:v>
                </c:pt>
                <c:pt idx="14">
                  <c:v>15.591662375556707</c:v>
                </c:pt>
                <c:pt idx="15">
                  <c:v>15.591662375556707</c:v>
                </c:pt>
                <c:pt idx="16">
                  <c:v>15.591662375556707</c:v>
                </c:pt>
                <c:pt idx="17">
                  <c:v>15.591662375556707</c:v>
                </c:pt>
                <c:pt idx="18">
                  <c:v>15.591662375556707</c:v>
                </c:pt>
                <c:pt idx="19">
                  <c:v>15.591662375556707</c:v>
                </c:pt>
                <c:pt idx="20">
                  <c:v>15.591662375556707</c:v>
                </c:pt>
                <c:pt idx="21">
                  <c:v>15.591662375556707</c:v>
                </c:pt>
                <c:pt idx="22">
                  <c:v>15.591662375556707</c:v>
                </c:pt>
                <c:pt idx="23">
                  <c:v>15.591662375556707</c:v>
                </c:pt>
                <c:pt idx="24">
                  <c:v>15.591662375556707</c:v>
                </c:pt>
                <c:pt idx="25">
                  <c:v>15.591662375556707</c:v>
                </c:pt>
                <c:pt idx="26">
                  <c:v>15.591662375556707</c:v>
                </c:pt>
                <c:pt idx="27">
                  <c:v>15.591662375556707</c:v>
                </c:pt>
                <c:pt idx="28">
                  <c:v>15.591662375556707</c:v>
                </c:pt>
                <c:pt idx="29">
                  <c:v>15.591662375556707</c:v>
                </c:pt>
              </c:numCache>
            </c:numRef>
          </c:val>
          <c:smooth val="0"/>
          <c:extLst>
            <c:ext xmlns:c16="http://schemas.microsoft.com/office/drawing/2014/chart" uri="{C3380CC4-5D6E-409C-BE32-E72D297353CC}">
              <c16:uniqueId val="{00000003-BF54-3B47-AFB4-95159EC81318}"/>
            </c:ext>
          </c:extLst>
        </c:ser>
        <c:dLbls>
          <c:showLegendKey val="0"/>
          <c:showVal val="0"/>
          <c:showCatName val="0"/>
          <c:showSerName val="0"/>
          <c:showPercent val="0"/>
          <c:showBubbleSize val="0"/>
        </c:dLbls>
        <c:smooth val="0"/>
        <c:axId val="1544862655"/>
        <c:axId val="1075710047"/>
      </c:lineChart>
      <c:catAx>
        <c:axId val="154486265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075710047"/>
        <c:crosses val="autoZero"/>
        <c:auto val="1"/>
        <c:lblAlgn val="ctr"/>
        <c:lblOffset val="100"/>
        <c:noMultiLvlLbl val="0"/>
      </c:catAx>
      <c:valAx>
        <c:axId val="10757100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544862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Carta de Promedios</a:t>
            </a:r>
          </a:p>
        </c:rich>
      </c:tx>
      <c:overlay val="0"/>
    </c:title>
    <c:autoTitleDeleted val="0"/>
    <c:plotArea>
      <c:layout/>
      <c:lineChart>
        <c:grouping val="standard"/>
        <c:varyColors val="0"/>
        <c:ser>
          <c:idx val="0"/>
          <c:order val="0"/>
          <c:tx>
            <c:strRef>
              <c:f>'7CC'!$G$4</c:f>
              <c:strCache>
                <c:ptCount val="1"/>
                <c:pt idx="0">
                  <c:v>x</c:v>
                </c:pt>
              </c:strCache>
            </c:strRef>
          </c:tx>
          <c:val>
            <c:numRef>
              <c:f>'7CC'!$G$5:$G$34</c:f>
              <c:numCache>
                <c:formatCode>0.00</c:formatCode>
                <c:ptCount val="30"/>
                <c:pt idx="0">
                  <c:v>50</c:v>
                </c:pt>
                <c:pt idx="1">
                  <c:v>48.8</c:v>
                </c:pt>
                <c:pt idx="2">
                  <c:v>43.8</c:v>
                </c:pt>
                <c:pt idx="3">
                  <c:v>51.2</c:v>
                </c:pt>
                <c:pt idx="4">
                  <c:v>46.8</c:v>
                </c:pt>
                <c:pt idx="5">
                  <c:v>55.8</c:v>
                </c:pt>
                <c:pt idx="6">
                  <c:v>44.4</c:v>
                </c:pt>
                <c:pt idx="7">
                  <c:v>50.6</c:v>
                </c:pt>
                <c:pt idx="8">
                  <c:v>46.6</c:v>
                </c:pt>
                <c:pt idx="9">
                  <c:v>55.4</c:v>
                </c:pt>
                <c:pt idx="10">
                  <c:v>50.8</c:v>
                </c:pt>
                <c:pt idx="11">
                  <c:v>45.6</c:v>
                </c:pt>
                <c:pt idx="12">
                  <c:v>51.4</c:v>
                </c:pt>
                <c:pt idx="13">
                  <c:v>49.6</c:v>
                </c:pt>
                <c:pt idx="14">
                  <c:v>55.8</c:v>
                </c:pt>
                <c:pt idx="15">
                  <c:v>48.2</c:v>
                </c:pt>
                <c:pt idx="16">
                  <c:v>47</c:v>
                </c:pt>
                <c:pt idx="17">
                  <c:v>52.6</c:v>
                </c:pt>
                <c:pt idx="18">
                  <c:v>45.8</c:v>
                </c:pt>
                <c:pt idx="19">
                  <c:v>48.4</c:v>
                </c:pt>
                <c:pt idx="20">
                  <c:v>41.4</c:v>
                </c:pt>
                <c:pt idx="21">
                  <c:v>49</c:v>
                </c:pt>
                <c:pt idx="22">
                  <c:v>59.2</c:v>
                </c:pt>
                <c:pt idx="23">
                  <c:v>52.2</c:v>
                </c:pt>
                <c:pt idx="24">
                  <c:v>53</c:v>
                </c:pt>
                <c:pt idx="25">
                  <c:v>51.4</c:v>
                </c:pt>
                <c:pt idx="26">
                  <c:v>47.6</c:v>
                </c:pt>
                <c:pt idx="27">
                  <c:v>52</c:v>
                </c:pt>
                <c:pt idx="28">
                  <c:v>55.8</c:v>
                </c:pt>
                <c:pt idx="29">
                  <c:v>47</c:v>
                </c:pt>
              </c:numCache>
            </c:numRef>
          </c:val>
          <c:smooth val="0"/>
          <c:extLst>
            <c:ext xmlns:c16="http://schemas.microsoft.com/office/drawing/2014/chart" uri="{C3380CC4-5D6E-409C-BE32-E72D297353CC}">
              <c16:uniqueId val="{00000000-3A52-2748-8B7D-FC08169D7646}"/>
            </c:ext>
          </c:extLst>
        </c:ser>
        <c:ser>
          <c:idx val="2"/>
          <c:order val="1"/>
          <c:tx>
            <c:strRef>
              <c:f>'7CC'!$I$4</c:f>
              <c:strCache>
                <c:ptCount val="1"/>
              </c:strCache>
            </c:strRef>
          </c:tx>
          <c:val>
            <c:numRef>
              <c:f>'7CC'!$I$5:$I$34</c:f>
              <c:numCache>
                <c:formatCode>General</c:formatCode>
                <c:ptCount val="30"/>
              </c:numCache>
            </c:numRef>
          </c:val>
          <c:smooth val="0"/>
          <c:extLst>
            <c:ext xmlns:c16="http://schemas.microsoft.com/office/drawing/2014/chart" uri="{C3380CC4-5D6E-409C-BE32-E72D297353CC}">
              <c16:uniqueId val="{00000001-3A52-2748-8B7D-FC08169D7646}"/>
            </c:ext>
          </c:extLst>
        </c:ser>
        <c:ser>
          <c:idx val="3"/>
          <c:order val="2"/>
          <c:tx>
            <c:strRef>
              <c:f>'7CC'!$J$4</c:f>
              <c:strCache>
                <c:ptCount val="1"/>
                <c:pt idx="0">
                  <c:v>LCs</c:v>
                </c:pt>
              </c:strCache>
            </c:strRef>
          </c:tx>
          <c:val>
            <c:numRef>
              <c:f>'7CC'!$J$5:$J$34</c:f>
              <c:numCache>
                <c:formatCode>0.00</c:formatCode>
                <c:ptCount val="30"/>
                <c:pt idx="0">
                  <c:v>61.429333333333332</c:v>
                </c:pt>
                <c:pt idx="1">
                  <c:v>61.429333333333332</c:v>
                </c:pt>
                <c:pt idx="2">
                  <c:v>61.429333333333332</c:v>
                </c:pt>
                <c:pt idx="3">
                  <c:v>61.429333333333332</c:v>
                </c:pt>
                <c:pt idx="4">
                  <c:v>61.429333333333332</c:v>
                </c:pt>
                <c:pt idx="5">
                  <c:v>61.429333333333332</c:v>
                </c:pt>
                <c:pt idx="6">
                  <c:v>61.429333333333332</c:v>
                </c:pt>
                <c:pt idx="7">
                  <c:v>61.429333333333332</c:v>
                </c:pt>
                <c:pt idx="8">
                  <c:v>61.429333333333332</c:v>
                </c:pt>
                <c:pt idx="9">
                  <c:v>61.429333333333332</c:v>
                </c:pt>
                <c:pt idx="10">
                  <c:v>61.429333333333332</c:v>
                </c:pt>
                <c:pt idx="11">
                  <c:v>61.429333333333332</c:v>
                </c:pt>
                <c:pt idx="12">
                  <c:v>61.429333333333332</c:v>
                </c:pt>
                <c:pt idx="13">
                  <c:v>61.429333333333332</c:v>
                </c:pt>
                <c:pt idx="14">
                  <c:v>61.429333333333332</c:v>
                </c:pt>
                <c:pt idx="15">
                  <c:v>61.429333333333332</c:v>
                </c:pt>
                <c:pt idx="16">
                  <c:v>61.429333333333332</c:v>
                </c:pt>
                <c:pt idx="17">
                  <c:v>61.429333333333332</c:v>
                </c:pt>
                <c:pt idx="18">
                  <c:v>61.429333333333332</c:v>
                </c:pt>
                <c:pt idx="19">
                  <c:v>61.429333333333332</c:v>
                </c:pt>
                <c:pt idx="20">
                  <c:v>61.429333333333332</c:v>
                </c:pt>
                <c:pt idx="21">
                  <c:v>61.429333333333332</c:v>
                </c:pt>
                <c:pt idx="22">
                  <c:v>61.429333333333332</c:v>
                </c:pt>
                <c:pt idx="23">
                  <c:v>61.429333333333332</c:v>
                </c:pt>
                <c:pt idx="24">
                  <c:v>61.429333333333332</c:v>
                </c:pt>
                <c:pt idx="25">
                  <c:v>61.429333333333332</c:v>
                </c:pt>
                <c:pt idx="26">
                  <c:v>61.429333333333332</c:v>
                </c:pt>
                <c:pt idx="27">
                  <c:v>61.429333333333332</c:v>
                </c:pt>
                <c:pt idx="28">
                  <c:v>61.429333333333332</c:v>
                </c:pt>
                <c:pt idx="29">
                  <c:v>61.429333333333332</c:v>
                </c:pt>
              </c:numCache>
            </c:numRef>
          </c:val>
          <c:smooth val="0"/>
          <c:extLst>
            <c:ext xmlns:c16="http://schemas.microsoft.com/office/drawing/2014/chart" uri="{C3380CC4-5D6E-409C-BE32-E72D297353CC}">
              <c16:uniqueId val="{00000002-3A52-2748-8B7D-FC08169D7646}"/>
            </c:ext>
          </c:extLst>
        </c:ser>
        <c:ser>
          <c:idx val="4"/>
          <c:order val="3"/>
          <c:tx>
            <c:strRef>
              <c:f>'7CC'!$K$4</c:f>
              <c:strCache>
                <c:ptCount val="1"/>
                <c:pt idx="0">
                  <c:v>LC</c:v>
                </c:pt>
              </c:strCache>
            </c:strRef>
          </c:tx>
          <c:val>
            <c:numRef>
              <c:f>'7CC'!$K$5:$K$34</c:f>
              <c:numCache>
                <c:formatCode>0.00</c:formatCode>
                <c:ptCount val="30"/>
                <c:pt idx="0">
                  <c:v>49.906666666666666</c:v>
                </c:pt>
                <c:pt idx="1">
                  <c:v>49.906666666666666</c:v>
                </c:pt>
                <c:pt idx="2">
                  <c:v>49.906666666666666</c:v>
                </c:pt>
                <c:pt idx="3">
                  <c:v>49.906666666666666</c:v>
                </c:pt>
                <c:pt idx="4">
                  <c:v>49.906666666666666</c:v>
                </c:pt>
                <c:pt idx="5">
                  <c:v>49.906666666666666</c:v>
                </c:pt>
                <c:pt idx="6">
                  <c:v>49.906666666666666</c:v>
                </c:pt>
                <c:pt idx="7">
                  <c:v>49.906666666666666</c:v>
                </c:pt>
                <c:pt idx="8">
                  <c:v>49.906666666666666</c:v>
                </c:pt>
                <c:pt idx="9">
                  <c:v>49.906666666666666</c:v>
                </c:pt>
                <c:pt idx="10">
                  <c:v>49.906666666666666</c:v>
                </c:pt>
                <c:pt idx="11">
                  <c:v>49.906666666666666</c:v>
                </c:pt>
                <c:pt idx="12">
                  <c:v>49.906666666666666</c:v>
                </c:pt>
                <c:pt idx="13">
                  <c:v>49.906666666666666</c:v>
                </c:pt>
                <c:pt idx="14">
                  <c:v>49.906666666666666</c:v>
                </c:pt>
                <c:pt idx="15">
                  <c:v>49.906666666666666</c:v>
                </c:pt>
                <c:pt idx="16">
                  <c:v>49.906666666666666</c:v>
                </c:pt>
                <c:pt idx="17">
                  <c:v>49.906666666666666</c:v>
                </c:pt>
                <c:pt idx="18">
                  <c:v>49.906666666666666</c:v>
                </c:pt>
                <c:pt idx="19">
                  <c:v>49.906666666666666</c:v>
                </c:pt>
                <c:pt idx="20">
                  <c:v>49.906666666666666</c:v>
                </c:pt>
                <c:pt idx="21">
                  <c:v>49.906666666666666</c:v>
                </c:pt>
                <c:pt idx="22">
                  <c:v>49.906666666666666</c:v>
                </c:pt>
                <c:pt idx="23">
                  <c:v>49.906666666666666</c:v>
                </c:pt>
                <c:pt idx="24">
                  <c:v>49.906666666666666</c:v>
                </c:pt>
                <c:pt idx="25">
                  <c:v>49.906666666666666</c:v>
                </c:pt>
                <c:pt idx="26">
                  <c:v>49.906666666666666</c:v>
                </c:pt>
                <c:pt idx="27">
                  <c:v>49.906666666666666</c:v>
                </c:pt>
                <c:pt idx="28">
                  <c:v>49.906666666666666</c:v>
                </c:pt>
                <c:pt idx="29">
                  <c:v>49.906666666666666</c:v>
                </c:pt>
              </c:numCache>
            </c:numRef>
          </c:val>
          <c:smooth val="0"/>
          <c:extLst>
            <c:ext xmlns:c16="http://schemas.microsoft.com/office/drawing/2014/chart" uri="{C3380CC4-5D6E-409C-BE32-E72D297353CC}">
              <c16:uniqueId val="{00000003-3A52-2748-8B7D-FC08169D7646}"/>
            </c:ext>
          </c:extLst>
        </c:ser>
        <c:ser>
          <c:idx val="5"/>
          <c:order val="4"/>
          <c:tx>
            <c:strRef>
              <c:f>'7CC'!$L$4</c:f>
              <c:strCache>
                <c:ptCount val="1"/>
                <c:pt idx="0">
                  <c:v>LCi</c:v>
                </c:pt>
              </c:strCache>
            </c:strRef>
          </c:tx>
          <c:val>
            <c:numRef>
              <c:f>'7CC'!$L$5:$L$34</c:f>
              <c:numCache>
                <c:formatCode>0.00</c:formatCode>
                <c:ptCount val="30"/>
                <c:pt idx="0">
                  <c:v>38.384</c:v>
                </c:pt>
                <c:pt idx="1">
                  <c:v>38.384</c:v>
                </c:pt>
                <c:pt idx="2">
                  <c:v>38.384</c:v>
                </c:pt>
                <c:pt idx="3">
                  <c:v>38.384</c:v>
                </c:pt>
                <c:pt idx="4">
                  <c:v>38.384</c:v>
                </c:pt>
                <c:pt idx="5">
                  <c:v>38.384</c:v>
                </c:pt>
                <c:pt idx="6">
                  <c:v>38.384</c:v>
                </c:pt>
                <c:pt idx="7">
                  <c:v>38.384</c:v>
                </c:pt>
                <c:pt idx="8">
                  <c:v>38.384</c:v>
                </c:pt>
                <c:pt idx="9">
                  <c:v>38.384</c:v>
                </c:pt>
                <c:pt idx="10">
                  <c:v>38.384</c:v>
                </c:pt>
                <c:pt idx="11">
                  <c:v>38.384</c:v>
                </c:pt>
                <c:pt idx="12">
                  <c:v>38.384</c:v>
                </c:pt>
                <c:pt idx="13">
                  <c:v>38.384</c:v>
                </c:pt>
                <c:pt idx="14">
                  <c:v>38.384</c:v>
                </c:pt>
                <c:pt idx="15">
                  <c:v>38.384</c:v>
                </c:pt>
                <c:pt idx="16">
                  <c:v>38.384</c:v>
                </c:pt>
                <c:pt idx="17">
                  <c:v>38.384</c:v>
                </c:pt>
                <c:pt idx="18">
                  <c:v>38.384</c:v>
                </c:pt>
                <c:pt idx="19">
                  <c:v>38.384</c:v>
                </c:pt>
                <c:pt idx="20">
                  <c:v>38.384</c:v>
                </c:pt>
                <c:pt idx="21">
                  <c:v>38.384</c:v>
                </c:pt>
                <c:pt idx="22">
                  <c:v>38.384</c:v>
                </c:pt>
                <c:pt idx="23">
                  <c:v>38.384</c:v>
                </c:pt>
                <c:pt idx="24">
                  <c:v>38.384</c:v>
                </c:pt>
                <c:pt idx="25">
                  <c:v>38.384</c:v>
                </c:pt>
                <c:pt idx="26">
                  <c:v>38.384</c:v>
                </c:pt>
                <c:pt idx="27">
                  <c:v>38.384</c:v>
                </c:pt>
                <c:pt idx="28">
                  <c:v>38.384</c:v>
                </c:pt>
                <c:pt idx="29">
                  <c:v>38.384</c:v>
                </c:pt>
              </c:numCache>
            </c:numRef>
          </c:val>
          <c:smooth val="0"/>
          <c:extLst>
            <c:ext xmlns:c16="http://schemas.microsoft.com/office/drawing/2014/chart" uri="{C3380CC4-5D6E-409C-BE32-E72D297353CC}">
              <c16:uniqueId val="{00000004-3A52-2748-8B7D-FC08169D7646}"/>
            </c:ext>
          </c:extLst>
        </c:ser>
        <c:dLbls>
          <c:showLegendKey val="0"/>
          <c:showVal val="0"/>
          <c:showCatName val="0"/>
          <c:showSerName val="0"/>
          <c:showPercent val="0"/>
          <c:showBubbleSize val="0"/>
        </c:dLbls>
        <c:marker val="1"/>
        <c:smooth val="0"/>
        <c:axId val="2067626232"/>
        <c:axId val="2067629288"/>
      </c:lineChart>
      <c:catAx>
        <c:axId val="2067626232"/>
        <c:scaling>
          <c:orientation val="minMax"/>
        </c:scaling>
        <c:delete val="0"/>
        <c:axPos val="b"/>
        <c:majorTickMark val="none"/>
        <c:minorTickMark val="none"/>
        <c:tickLblPos val="nextTo"/>
        <c:crossAx val="2067629288"/>
        <c:crosses val="autoZero"/>
        <c:auto val="1"/>
        <c:lblAlgn val="ctr"/>
        <c:lblOffset val="100"/>
        <c:noMultiLvlLbl val="0"/>
      </c:catAx>
      <c:valAx>
        <c:axId val="2067629288"/>
        <c:scaling>
          <c:orientation val="minMax"/>
          <c:min val="35"/>
        </c:scaling>
        <c:delete val="0"/>
        <c:axPos val="l"/>
        <c:majorGridlines/>
        <c:numFmt formatCode="0.00" sourceLinked="1"/>
        <c:majorTickMark val="none"/>
        <c:minorTickMark val="none"/>
        <c:tickLblPos val="nextTo"/>
        <c:spPr>
          <a:ln w="9525">
            <a:noFill/>
          </a:ln>
        </c:spPr>
        <c:crossAx val="20676262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Carta de Intervalos</a:t>
            </a:r>
          </a:p>
        </c:rich>
      </c:tx>
      <c:overlay val="0"/>
    </c:title>
    <c:autoTitleDeleted val="0"/>
    <c:plotArea>
      <c:layout/>
      <c:lineChart>
        <c:grouping val="standard"/>
        <c:varyColors val="0"/>
        <c:ser>
          <c:idx val="0"/>
          <c:order val="0"/>
          <c:tx>
            <c:strRef>
              <c:f>'7CC'!$H$4</c:f>
              <c:strCache>
                <c:ptCount val="1"/>
                <c:pt idx="0">
                  <c:v>R</c:v>
                </c:pt>
              </c:strCache>
            </c:strRef>
          </c:tx>
          <c:val>
            <c:numRef>
              <c:f>'7CC'!$H$5:$H$34</c:f>
              <c:numCache>
                <c:formatCode>General</c:formatCode>
                <c:ptCount val="30"/>
                <c:pt idx="0">
                  <c:v>2</c:v>
                </c:pt>
                <c:pt idx="1">
                  <c:v>34</c:v>
                </c:pt>
                <c:pt idx="2">
                  <c:v>15</c:v>
                </c:pt>
                <c:pt idx="3">
                  <c:v>40</c:v>
                </c:pt>
                <c:pt idx="4">
                  <c:v>28</c:v>
                </c:pt>
                <c:pt idx="5">
                  <c:v>22</c:v>
                </c:pt>
                <c:pt idx="6">
                  <c:v>23</c:v>
                </c:pt>
                <c:pt idx="7">
                  <c:v>27</c:v>
                </c:pt>
                <c:pt idx="8">
                  <c:v>8</c:v>
                </c:pt>
                <c:pt idx="9">
                  <c:v>25</c:v>
                </c:pt>
                <c:pt idx="10">
                  <c:v>26</c:v>
                </c:pt>
                <c:pt idx="11">
                  <c:v>7</c:v>
                </c:pt>
                <c:pt idx="12">
                  <c:v>30</c:v>
                </c:pt>
                <c:pt idx="13">
                  <c:v>18</c:v>
                </c:pt>
                <c:pt idx="14">
                  <c:v>28</c:v>
                </c:pt>
                <c:pt idx="15">
                  <c:v>29</c:v>
                </c:pt>
                <c:pt idx="16">
                  <c:v>20</c:v>
                </c:pt>
                <c:pt idx="17">
                  <c:v>22</c:v>
                </c:pt>
                <c:pt idx="18">
                  <c:v>11</c:v>
                </c:pt>
                <c:pt idx="19">
                  <c:v>19</c:v>
                </c:pt>
                <c:pt idx="20">
                  <c:v>12</c:v>
                </c:pt>
                <c:pt idx="21">
                  <c:v>16</c:v>
                </c:pt>
                <c:pt idx="22">
                  <c:v>26</c:v>
                </c:pt>
                <c:pt idx="23">
                  <c:v>12</c:v>
                </c:pt>
                <c:pt idx="24">
                  <c:v>12</c:v>
                </c:pt>
                <c:pt idx="25">
                  <c:v>22</c:v>
                </c:pt>
                <c:pt idx="26">
                  <c:v>21</c:v>
                </c:pt>
                <c:pt idx="27">
                  <c:v>18</c:v>
                </c:pt>
                <c:pt idx="28">
                  <c:v>7</c:v>
                </c:pt>
                <c:pt idx="29">
                  <c:v>16</c:v>
                </c:pt>
              </c:numCache>
            </c:numRef>
          </c:val>
          <c:smooth val="0"/>
          <c:extLst>
            <c:ext xmlns:c16="http://schemas.microsoft.com/office/drawing/2014/chart" uri="{C3380CC4-5D6E-409C-BE32-E72D297353CC}">
              <c16:uniqueId val="{00000000-6596-E34F-A663-FB5F4BE5D0D0}"/>
            </c:ext>
          </c:extLst>
        </c:ser>
        <c:ser>
          <c:idx val="1"/>
          <c:order val="1"/>
          <c:tx>
            <c:strRef>
              <c:f>'7CC'!$I$4</c:f>
              <c:strCache>
                <c:ptCount val="1"/>
              </c:strCache>
            </c:strRef>
          </c:tx>
          <c:val>
            <c:numRef>
              <c:f>'7CC'!$I$5:$I$34</c:f>
              <c:numCache>
                <c:formatCode>General</c:formatCode>
                <c:ptCount val="30"/>
              </c:numCache>
            </c:numRef>
          </c:val>
          <c:smooth val="0"/>
          <c:extLst>
            <c:ext xmlns:c16="http://schemas.microsoft.com/office/drawing/2014/chart" uri="{C3380CC4-5D6E-409C-BE32-E72D297353CC}">
              <c16:uniqueId val="{00000001-6596-E34F-A663-FB5F4BE5D0D0}"/>
            </c:ext>
          </c:extLst>
        </c:ser>
        <c:ser>
          <c:idx val="5"/>
          <c:order val="2"/>
          <c:tx>
            <c:strRef>
              <c:f>'7CC'!$M$4</c:f>
              <c:strCache>
                <c:ptCount val="1"/>
              </c:strCache>
            </c:strRef>
          </c:tx>
          <c:val>
            <c:numRef>
              <c:f>'7CC'!$M$5:$M$34</c:f>
              <c:numCache>
                <c:formatCode>General</c:formatCode>
                <c:ptCount val="30"/>
              </c:numCache>
            </c:numRef>
          </c:val>
          <c:smooth val="0"/>
          <c:extLst>
            <c:ext xmlns:c16="http://schemas.microsoft.com/office/drawing/2014/chart" uri="{C3380CC4-5D6E-409C-BE32-E72D297353CC}">
              <c16:uniqueId val="{00000002-6596-E34F-A663-FB5F4BE5D0D0}"/>
            </c:ext>
          </c:extLst>
        </c:ser>
        <c:ser>
          <c:idx val="6"/>
          <c:order val="3"/>
          <c:tx>
            <c:strRef>
              <c:f>'7CC'!$N$4</c:f>
              <c:strCache>
                <c:ptCount val="1"/>
                <c:pt idx="0">
                  <c:v>LCs</c:v>
                </c:pt>
              </c:strCache>
            </c:strRef>
          </c:tx>
          <c:val>
            <c:numRef>
              <c:f>'7CC'!$N$5:$N$34</c:f>
              <c:numCache>
                <c:formatCode>0.00</c:formatCode>
                <c:ptCount val="30"/>
                <c:pt idx="0">
                  <c:v>41.918666666666667</c:v>
                </c:pt>
                <c:pt idx="1">
                  <c:v>41.918666666666667</c:v>
                </c:pt>
                <c:pt idx="2">
                  <c:v>41.918666666666667</c:v>
                </c:pt>
                <c:pt idx="3">
                  <c:v>41.918666666666667</c:v>
                </c:pt>
                <c:pt idx="4">
                  <c:v>41.918666666666667</c:v>
                </c:pt>
                <c:pt idx="5">
                  <c:v>41.918666666666667</c:v>
                </c:pt>
                <c:pt idx="6">
                  <c:v>41.918666666666667</c:v>
                </c:pt>
                <c:pt idx="7">
                  <c:v>41.918666666666667</c:v>
                </c:pt>
                <c:pt idx="8">
                  <c:v>41.918666666666667</c:v>
                </c:pt>
                <c:pt idx="9">
                  <c:v>41.918666666666667</c:v>
                </c:pt>
                <c:pt idx="10">
                  <c:v>41.918666666666667</c:v>
                </c:pt>
                <c:pt idx="11">
                  <c:v>41.918666666666667</c:v>
                </c:pt>
                <c:pt idx="12">
                  <c:v>41.918666666666667</c:v>
                </c:pt>
                <c:pt idx="13">
                  <c:v>41.918666666666667</c:v>
                </c:pt>
                <c:pt idx="14">
                  <c:v>41.918666666666667</c:v>
                </c:pt>
                <c:pt idx="15">
                  <c:v>41.918666666666667</c:v>
                </c:pt>
                <c:pt idx="16">
                  <c:v>41.918666666666667</c:v>
                </c:pt>
                <c:pt idx="17">
                  <c:v>41.918666666666667</c:v>
                </c:pt>
                <c:pt idx="18">
                  <c:v>41.918666666666667</c:v>
                </c:pt>
                <c:pt idx="19">
                  <c:v>41.918666666666667</c:v>
                </c:pt>
                <c:pt idx="20">
                  <c:v>41.918666666666667</c:v>
                </c:pt>
                <c:pt idx="21">
                  <c:v>41.918666666666667</c:v>
                </c:pt>
                <c:pt idx="22">
                  <c:v>41.918666666666667</c:v>
                </c:pt>
                <c:pt idx="23">
                  <c:v>41.918666666666667</c:v>
                </c:pt>
                <c:pt idx="24">
                  <c:v>41.918666666666667</c:v>
                </c:pt>
                <c:pt idx="25">
                  <c:v>41.918666666666667</c:v>
                </c:pt>
                <c:pt idx="26">
                  <c:v>41.918666666666667</c:v>
                </c:pt>
                <c:pt idx="27">
                  <c:v>41.918666666666667</c:v>
                </c:pt>
                <c:pt idx="28">
                  <c:v>41.918666666666667</c:v>
                </c:pt>
                <c:pt idx="29">
                  <c:v>41.918666666666667</c:v>
                </c:pt>
              </c:numCache>
            </c:numRef>
          </c:val>
          <c:smooth val="0"/>
          <c:extLst>
            <c:ext xmlns:c16="http://schemas.microsoft.com/office/drawing/2014/chart" uri="{C3380CC4-5D6E-409C-BE32-E72D297353CC}">
              <c16:uniqueId val="{00000003-6596-E34F-A663-FB5F4BE5D0D0}"/>
            </c:ext>
          </c:extLst>
        </c:ser>
        <c:ser>
          <c:idx val="7"/>
          <c:order val="4"/>
          <c:tx>
            <c:strRef>
              <c:f>'7CC'!$O$4</c:f>
              <c:strCache>
                <c:ptCount val="1"/>
                <c:pt idx="0">
                  <c:v>LC</c:v>
                </c:pt>
              </c:strCache>
            </c:strRef>
          </c:tx>
          <c:val>
            <c:numRef>
              <c:f>'7CC'!$O$5:$O$34</c:f>
              <c:numCache>
                <c:formatCode>0.00</c:formatCode>
                <c:ptCount val="30"/>
                <c:pt idx="0">
                  <c:v>19.866666666666667</c:v>
                </c:pt>
                <c:pt idx="1">
                  <c:v>19.866666666666667</c:v>
                </c:pt>
                <c:pt idx="2">
                  <c:v>19.866666666666667</c:v>
                </c:pt>
                <c:pt idx="3">
                  <c:v>19.866666666666667</c:v>
                </c:pt>
                <c:pt idx="4">
                  <c:v>19.866666666666667</c:v>
                </c:pt>
                <c:pt idx="5">
                  <c:v>19.866666666666667</c:v>
                </c:pt>
                <c:pt idx="6">
                  <c:v>19.866666666666667</c:v>
                </c:pt>
                <c:pt idx="7">
                  <c:v>19.866666666666667</c:v>
                </c:pt>
                <c:pt idx="8">
                  <c:v>19.866666666666667</c:v>
                </c:pt>
                <c:pt idx="9">
                  <c:v>19.866666666666667</c:v>
                </c:pt>
                <c:pt idx="10">
                  <c:v>19.866666666666667</c:v>
                </c:pt>
                <c:pt idx="11">
                  <c:v>19.866666666666667</c:v>
                </c:pt>
                <c:pt idx="12">
                  <c:v>19.866666666666667</c:v>
                </c:pt>
                <c:pt idx="13">
                  <c:v>19.866666666666667</c:v>
                </c:pt>
                <c:pt idx="14">
                  <c:v>19.866666666666667</c:v>
                </c:pt>
                <c:pt idx="15">
                  <c:v>19.866666666666667</c:v>
                </c:pt>
                <c:pt idx="16">
                  <c:v>19.866666666666667</c:v>
                </c:pt>
                <c:pt idx="17">
                  <c:v>19.866666666666667</c:v>
                </c:pt>
                <c:pt idx="18">
                  <c:v>19.866666666666667</c:v>
                </c:pt>
                <c:pt idx="19">
                  <c:v>19.866666666666667</c:v>
                </c:pt>
                <c:pt idx="20">
                  <c:v>19.866666666666667</c:v>
                </c:pt>
                <c:pt idx="21">
                  <c:v>19.866666666666667</c:v>
                </c:pt>
                <c:pt idx="22">
                  <c:v>19.866666666666667</c:v>
                </c:pt>
                <c:pt idx="23">
                  <c:v>19.866666666666667</c:v>
                </c:pt>
                <c:pt idx="24">
                  <c:v>19.866666666666667</c:v>
                </c:pt>
                <c:pt idx="25">
                  <c:v>19.866666666666667</c:v>
                </c:pt>
                <c:pt idx="26">
                  <c:v>19.866666666666667</c:v>
                </c:pt>
                <c:pt idx="27">
                  <c:v>19.866666666666667</c:v>
                </c:pt>
                <c:pt idx="28">
                  <c:v>19.866666666666667</c:v>
                </c:pt>
                <c:pt idx="29">
                  <c:v>19.866666666666667</c:v>
                </c:pt>
              </c:numCache>
            </c:numRef>
          </c:val>
          <c:smooth val="0"/>
          <c:extLst>
            <c:ext xmlns:c16="http://schemas.microsoft.com/office/drawing/2014/chart" uri="{C3380CC4-5D6E-409C-BE32-E72D297353CC}">
              <c16:uniqueId val="{00000004-6596-E34F-A663-FB5F4BE5D0D0}"/>
            </c:ext>
          </c:extLst>
        </c:ser>
        <c:ser>
          <c:idx val="8"/>
          <c:order val="5"/>
          <c:tx>
            <c:strRef>
              <c:f>'7CC'!$P$4</c:f>
              <c:strCache>
                <c:ptCount val="1"/>
                <c:pt idx="0">
                  <c:v>LCi</c:v>
                </c:pt>
              </c:strCache>
            </c:strRef>
          </c:tx>
          <c:val>
            <c:numRef>
              <c:f>'7CC'!$P$5:$P$34</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5-6596-E34F-A663-FB5F4BE5D0D0}"/>
            </c:ext>
          </c:extLst>
        </c:ser>
        <c:dLbls>
          <c:showLegendKey val="0"/>
          <c:showVal val="0"/>
          <c:showCatName val="0"/>
          <c:showSerName val="0"/>
          <c:showPercent val="0"/>
          <c:showBubbleSize val="0"/>
        </c:dLbls>
        <c:marker val="1"/>
        <c:smooth val="0"/>
        <c:axId val="2067720232"/>
        <c:axId val="2067723336"/>
      </c:lineChart>
      <c:catAx>
        <c:axId val="2067720232"/>
        <c:scaling>
          <c:orientation val="minMax"/>
        </c:scaling>
        <c:delete val="0"/>
        <c:axPos val="b"/>
        <c:majorTickMark val="none"/>
        <c:minorTickMark val="none"/>
        <c:tickLblPos val="nextTo"/>
        <c:crossAx val="2067723336"/>
        <c:crosses val="autoZero"/>
        <c:auto val="1"/>
        <c:lblAlgn val="ctr"/>
        <c:lblOffset val="100"/>
        <c:noMultiLvlLbl val="0"/>
      </c:catAx>
      <c:valAx>
        <c:axId val="2067723336"/>
        <c:scaling>
          <c:orientation val="minMax"/>
        </c:scaling>
        <c:delete val="0"/>
        <c:axPos val="l"/>
        <c:majorGridlines/>
        <c:numFmt formatCode="General" sourceLinked="1"/>
        <c:majorTickMark val="none"/>
        <c:minorTickMark val="none"/>
        <c:tickLblPos val="nextTo"/>
        <c:spPr>
          <a:ln w="9525">
            <a:noFill/>
          </a:ln>
        </c:spPr>
        <c:crossAx val="2067720232"/>
        <c:crosses val="autoZero"/>
        <c:crossBetween val="between"/>
      </c:valAx>
    </c:plotArea>
    <c:legend>
      <c:legendPos val="b"/>
      <c:legendEntry>
        <c:idx val="1"/>
        <c:delete val="1"/>
      </c:legendEntry>
      <c:legendEntry>
        <c:idx val="2"/>
        <c:delete val="1"/>
      </c:legendEntry>
      <c:overlay val="0"/>
    </c:legend>
    <c:plotVisOnly val="1"/>
    <c:dispBlanksAs val="gap"/>
    <c:showDLblsOverMax val="0"/>
  </c:chart>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Carta de Intervalos</a:t>
            </a:r>
          </a:p>
        </c:rich>
      </c:tx>
      <c:overlay val="0"/>
    </c:title>
    <c:autoTitleDeleted val="0"/>
    <c:plotArea>
      <c:layout/>
      <c:lineChart>
        <c:grouping val="standard"/>
        <c:varyColors val="0"/>
        <c:ser>
          <c:idx val="0"/>
          <c:order val="0"/>
          <c:tx>
            <c:strRef>
              <c:f>'8CC'!$H$1</c:f>
              <c:strCache>
                <c:ptCount val="1"/>
                <c:pt idx="0">
                  <c:v>USL</c:v>
                </c:pt>
              </c:strCache>
            </c:strRef>
          </c:tx>
          <c:spPr>
            <a:ln>
              <a:solidFill>
                <a:schemeClr val="tx2">
                  <a:lumMod val="50000"/>
                </a:schemeClr>
              </a:solidFill>
            </a:ln>
          </c:spPr>
          <c:marker>
            <c:symbol val="none"/>
          </c:marker>
          <c:val>
            <c:numRef>
              <c:f>'8CC'!$H$2:$H$26</c:f>
              <c:numCache>
                <c:formatCode>0.000</c:formatCode>
                <c:ptCount val="25"/>
                <c:pt idx="0">
                  <c:v>0.71120000000000005</c:v>
                </c:pt>
                <c:pt idx="1">
                  <c:v>0.71120000000000005</c:v>
                </c:pt>
                <c:pt idx="2">
                  <c:v>0.71120000000000005</c:v>
                </c:pt>
                <c:pt idx="3">
                  <c:v>0.71120000000000005</c:v>
                </c:pt>
                <c:pt idx="4">
                  <c:v>0.71120000000000005</c:v>
                </c:pt>
                <c:pt idx="5">
                  <c:v>0.71120000000000005</c:v>
                </c:pt>
                <c:pt idx="6">
                  <c:v>0.71120000000000005</c:v>
                </c:pt>
                <c:pt idx="7">
                  <c:v>0.71120000000000005</c:v>
                </c:pt>
                <c:pt idx="8">
                  <c:v>0.71120000000000005</c:v>
                </c:pt>
                <c:pt idx="9">
                  <c:v>0.71120000000000005</c:v>
                </c:pt>
                <c:pt idx="10">
                  <c:v>0.71120000000000005</c:v>
                </c:pt>
                <c:pt idx="11">
                  <c:v>0.71120000000000005</c:v>
                </c:pt>
                <c:pt idx="12">
                  <c:v>0.71120000000000005</c:v>
                </c:pt>
                <c:pt idx="13">
                  <c:v>0.71120000000000005</c:v>
                </c:pt>
                <c:pt idx="14">
                  <c:v>0.71120000000000005</c:v>
                </c:pt>
                <c:pt idx="15">
                  <c:v>0.71120000000000005</c:v>
                </c:pt>
                <c:pt idx="16">
                  <c:v>0.71120000000000005</c:v>
                </c:pt>
                <c:pt idx="17">
                  <c:v>0.71120000000000005</c:v>
                </c:pt>
                <c:pt idx="18">
                  <c:v>0.71120000000000005</c:v>
                </c:pt>
                <c:pt idx="19">
                  <c:v>0.71120000000000005</c:v>
                </c:pt>
                <c:pt idx="20">
                  <c:v>0.71120000000000005</c:v>
                </c:pt>
                <c:pt idx="21">
                  <c:v>0.71120000000000005</c:v>
                </c:pt>
                <c:pt idx="22">
                  <c:v>0.71120000000000005</c:v>
                </c:pt>
                <c:pt idx="23">
                  <c:v>0.71120000000000005</c:v>
                </c:pt>
                <c:pt idx="24">
                  <c:v>0.71120000000000005</c:v>
                </c:pt>
              </c:numCache>
            </c:numRef>
          </c:val>
          <c:smooth val="0"/>
          <c:extLst>
            <c:ext xmlns:c16="http://schemas.microsoft.com/office/drawing/2014/chart" uri="{C3380CC4-5D6E-409C-BE32-E72D297353CC}">
              <c16:uniqueId val="{00000000-C422-0443-ABD9-16814F7A6C73}"/>
            </c:ext>
          </c:extLst>
        </c:ser>
        <c:ser>
          <c:idx val="1"/>
          <c:order val="1"/>
          <c:tx>
            <c:strRef>
              <c:f>'8CC'!$I$1</c:f>
              <c:strCache>
                <c:ptCount val="1"/>
                <c:pt idx="0">
                  <c:v>CSL</c:v>
                </c:pt>
              </c:strCache>
            </c:strRef>
          </c:tx>
          <c:spPr>
            <a:ln>
              <a:solidFill>
                <a:schemeClr val="bg2">
                  <a:lumMod val="10000"/>
                </a:schemeClr>
              </a:solidFill>
            </a:ln>
          </c:spPr>
          <c:marker>
            <c:symbol val="none"/>
          </c:marker>
          <c:val>
            <c:numRef>
              <c:f>'8CC'!$I$2:$I$26</c:f>
              <c:numCache>
                <c:formatCode>0.000</c:formatCode>
                <c:ptCount val="25"/>
                <c:pt idx="0">
                  <c:v>0.35560000000000003</c:v>
                </c:pt>
                <c:pt idx="1">
                  <c:v>0.35560000000000003</c:v>
                </c:pt>
                <c:pt idx="2">
                  <c:v>0.35560000000000003</c:v>
                </c:pt>
                <c:pt idx="3">
                  <c:v>0.35560000000000003</c:v>
                </c:pt>
                <c:pt idx="4">
                  <c:v>0.35560000000000003</c:v>
                </c:pt>
                <c:pt idx="5">
                  <c:v>0.35560000000000003</c:v>
                </c:pt>
                <c:pt idx="6">
                  <c:v>0.35560000000000003</c:v>
                </c:pt>
                <c:pt idx="7">
                  <c:v>0.35560000000000003</c:v>
                </c:pt>
                <c:pt idx="8">
                  <c:v>0.35560000000000003</c:v>
                </c:pt>
                <c:pt idx="9">
                  <c:v>0.35560000000000003</c:v>
                </c:pt>
                <c:pt idx="10">
                  <c:v>0.35560000000000003</c:v>
                </c:pt>
                <c:pt idx="11">
                  <c:v>0.35560000000000003</c:v>
                </c:pt>
                <c:pt idx="12">
                  <c:v>0.35560000000000003</c:v>
                </c:pt>
                <c:pt idx="13">
                  <c:v>0.35560000000000003</c:v>
                </c:pt>
                <c:pt idx="14">
                  <c:v>0.35560000000000003</c:v>
                </c:pt>
                <c:pt idx="15">
                  <c:v>0.35560000000000003</c:v>
                </c:pt>
                <c:pt idx="16">
                  <c:v>0.35560000000000003</c:v>
                </c:pt>
                <c:pt idx="17">
                  <c:v>0.35560000000000003</c:v>
                </c:pt>
                <c:pt idx="18">
                  <c:v>0.35560000000000003</c:v>
                </c:pt>
                <c:pt idx="19">
                  <c:v>0.35560000000000003</c:v>
                </c:pt>
                <c:pt idx="20">
                  <c:v>0.35560000000000003</c:v>
                </c:pt>
                <c:pt idx="21">
                  <c:v>0.35560000000000003</c:v>
                </c:pt>
                <c:pt idx="22">
                  <c:v>0.35560000000000003</c:v>
                </c:pt>
                <c:pt idx="23">
                  <c:v>0.35560000000000003</c:v>
                </c:pt>
                <c:pt idx="24">
                  <c:v>0.35560000000000003</c:v>
                </c:pt>
              </c:numCache>
            </c:numRef>
          </c:val>
          <c:smooth val="0"/>
          <c:extLst>
            <c:ext xmlns:c16="http://schemas.microsoft.com/office/drawing/2014/chart" uri="{C3380CC4-5D6E-409C-BE32-E72D297353CC}">
              <c16:uniqueId val="{00000001-C422-0443-ABD9-16814F7A6C73}"/>
            </c:ext>
          </c:extLst>
        </c:ser>
        <c:ser>
          <c:idx val="2"/>
          <c:order val="2"/>
          <c:tx>
            <c:strRef>
              <c:f>'8CC'!$J$1</c:f>
              <c:strCache>
                <c:ptCount val="1"/>
                <c:pt idx="0">
                  <c:v>LSL</c:v>
                </c:pt>
              </c:strCache>
            </c:strRef>
          </c:tx>
          <c:spPr>
            <a:ln w="38100">
              <a:solidFill>
                <a:schemeClr val="bg2">
                  <a:lumMod val="10000"/>
                </a:schemeClr>
              </a:solidFill>
            </a:ln>
          </c:spPr>
          <c:marker>
            <c:symbol val="none"/>
          </c:marker>
          <c:val>
            <c:numRef>
              <c:f>'8CC'!$J$2:$J$26</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C422-0443-ABD9-16814F7A6C73}"/>
            </c:ext>
          </c:extLst>
        </c:ser>
        <c:ser>
          <c:idx val="3"/>
          <c:order val="3"/>
          <c:tx>
            <c:strRef>
              <c:f>'8CC'!$K$1</c:f>
              <c:strCache>
                <c:ptCount val="1"/>
                <c:pt idx="0">
                  <c:v>Rango</c:v>
                </c:pt>
              </c:strCache>
            </c:strRef>
          </c:tx>
          <c:val>
            <c:numRef>
              <c:f>'8CC'!$K$2:$K$26</c:f>
              <c:numCache>
                <c:formatCode>0.00</c:formatCode>
                <c:ptCount val="25"/>
                <c:pt idx="0">
                  <c:v>0.34</c:v>
                </c:pt>
                <c:pt idx="1">
                  <c:v>0.36</c:v>
                </c:pt>
                <c:pt idx="2">
                  <c:v>0.32</c:v>
                </c:pt>
                <c:pt idx="3">
                  <c:v>0.36</c:v>
                </c:pt>
                <c:pt idx="4">
                  <c:v>0.36</c:v>
                </c:pt>
                <c:pt idx="5">
                  <c:v>0.35</c:v>
                </c:pt>
                <c:pt idx="6">
                  <c:v>0.31</c:v>
                </c:pt>
                <c:pt idx="7">
                  <c:v>0.34</c:v>
                </c:pt>
                <c:pt idx="8">
                  <c:v>0.3</c:v>
                </c:pt>
                <c:pt idx="9">
                  <c:v>0.37</c:v>
                </c:pt>
                <c:pt idx="10">
                  <c:v>0.28999999999999998</c:v>
                </c:pt>
                <c:pt idx="11">
                  <c:v>0.3</c:v>
                </c:pt>
                <c:pt idx="12">
                  <c:v>0.33</c:v>
                </c:pt>
                <c:pt idx="13">
                  <c:v>0.36</c:v>
                </c:pt>
                <c:pt idx="14">
                  <c:v>0.34</c:v>
                </c:pt>
                <c:pt idx="15">
                  <c:v>0.36</c:v>
                </c:pt>
                <c:pt idx="16">
                  <c:v>0.37</c:v>
                </c:pt>
                <c:pt idx="17">
                  <c:v>0.73</c:v>
                </c:pt>
                <c:pt idx="18">
                  <c:v>0.38</c:v>
                </c:pt>
                <c:pt idx="19">
                  <c:v>0.35</c:v>
                </c:pt>
                <c:pt idx="20">
                  <c:v>0.38</c:v>
                </c:pt>
                <c:pt idx="21">
                  <c:v>0.33</c:v>
                </c:pt>
                <c:pt idx="22">
                  <c:v>0.32</c:v>
                </c:pt>
                <c:pt idx="23">
                  <c:v>0.34</c:v>
                </c:pt>
                <c:pt idx="24">
                  <c:v>0.3</c:v>
                </c:pt>
              </c:numCache>
            </c:numRef>
          </c:val>
          <c:smooth val="0"/>
          <c:extLst>
            <c:ext xmlns:c16="http://schemas.microsoft.com/office/drawing/2014/chart" uri="{C3380CC4-5D6E-409C-BE32-E72D297353CC}">
              <c16:uniqueId val="{00000003-C422-0443-ABD9-16814F7A6C73}"/>
            </c:ext>
          </c:extLst>
        </c:ser>
        <c:dLbls>
          <c:showLegendKey val="0"/>
          <c:showVal val="0"/>
          <c:showCatName val="0"/>
          <c:showSerName val="0"/>
          <c:showPercent val="0"/>
          <c:showBubbleSize val="0"/>
        </c:dLbls>
        <c:smooth val="0"/>
        <c:axId val="1685249880"/>
        <c:axId val="1746774232"/>
      </c:lineChart>
      <c:catAx>
        <c:axId val="1685249880"/>
        <c:scaling>
          <c:orientation val="minMax"/>
        </c:scaling>
        <c:delete val="0"/>
        <c:axPos val="b"/>
        <c:majorTickMark val="none"/>
        <c:minorTickMark val="none"/>
        <c:tickLblPos val="nextTo"/>
        <c:crossAx val="1746774232"/>
        <c:crosses val="autoZero"/>
        <c:auto val="1"/>
        <c:lblAlgn val="ctr"/>
        <c:lblOffset val="100"/>
        <c:noMultiLvlLbl val="0"/>
      </c:catAx>
      <c:valAx>
        <c:axId val="1746774232"/>
        <c:scaling>
          <c:orientation val="minMax"/>
        </c:scaling>
        <c:delete val="0"/>
        <c:axPos val="l"/>
        <c:majorGridlines/>
        <c:numFmt formatCode="0.000" sourceLinked="1"/>
        <c:majorTickMark val="none"/>
        <c:minorTickMark val="none"/>
        <c:tickLblPos val="nextTo"/>
        <c:spPr>
          <a:ln w="6350">
            <a:noFill/>
          </a:ln>
        </c:spPr>
        <c:crossAx val="168524988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Carta de</a:t>
            </a:r>
            <a:r>
              <a:rPr lang="en-US" baseline="0"/>
              <a:t> Intervalos re calculada</a:t>
            </a:r>
            <a:endParaRPr lang="en-US"/>
          </a:p>
        </c:rich>
      </c:tx>
      <c:overlay val="0"/>
    </c:title>
    <c:autoTitleDeleted val="0"/>
    <c:plotArea>
      <c:layout/>
      <c:lineChart>
        <c:grouping val="standard"/>
        <c:varyColors val="0"/>
        <c:ser>
          <c:idx val="0"/>
          <c:order val="0"/>
          <c:tx>
            <c:strRef>
              <c:f>'8CC'!$S$1</c:f>
              <c:strCache>
                <c:ptCount val="1"/>
                <c:pt idx="0">
                  <c:v>USL</c:v>
                </c:pt>
              </c:strCache>
            </c:strRef>
          </c:tx>
          <c:spPr>
            <a:ln>
              <a:solidFill>
                <a:schemeClr val="bg2">
                  <a:lumMod val="10000"/>
                </a:schemeClr>
              </a:solidFill>
            </a:ln>
          </c:spPr>
          <c:marker>
            <c:symbol val="none"/>
          </c:marker>
          <c:val>
            <c:numRef>
              <c:f>'8CC'!$S$2:$S$25</c:f>
              <c:numCache>
                <c:formatCode>0.000</c:formatCode>
                <c:ptCount val="24"/>
                <c:pt idx="0">
                  <c:v>0.68</c:v>
                </c:pt>
                <c:pt idx="1">
                  <c:v>0.68</c:v>
                </c:pt>
                <c:pt idx="2">
                  <c:v>0.68</c:v>
                </c:pt>
                <c:pt idx="3">
                  <c:v>0.68</c:v>
                </c:pt>
                <c:pt idx="4">
                  <c:v>0.68</c:v>
                </c:pt>
                <c:pt idx="5">
                  <c:v>0.68</c:v>
                </c:pt>
                <c:pt idx="6">
                  <c:v>0.68</c:v>
                </c:pt>
                <c:pt idx="7">
                  <c:v>0.68</c:v>
                </c:pt>
                <c:pt idx="8">
                  <c:v>0.68</c:v>
                </c:pt>
                <c:pt idx="9">
                  <c:v>0.68</c:v>
                </c:pt>
                <c:pt idx="10">
                  <c:v>0.68</c:v>
                </c:pt>
                <c:pt idx="11">
                  <c:v>0.68</c:v>
                </c:pt>
                <c:pt idx="12">
                  <c:v>0.68</c:v>
                </c:pt>
                <c:pt idx="13">
                  <c:v>0.68</c:v>
                </c:pt>
                <c:pt idx="14">
                  <c:v>0.68</c:v>
                </c:pt>
                <c:pt idx="15">
                  <c:v>0.68</c:v>
                </c:pt>
                <c:pt idx="16">
                  <c:v>0.68</c:v>
                </c:pt>
                <c:pt idx="17">
                  <c:v>0.68</c:v>
                </c:pt>
                <c:pt idx="18">
                  <c:v>0.68</c:v>
                </c:pt>
                <c:pt idx="19">
                  <c:v>0.68</c:v>
                </c:pt>
                <c:pt idx="20">
                  <c:v>0.68</c:v>
                </c:pt>
                <c:pt idx="21">
                  <c:v>0.68</c:v>
                </c:pt>
                <c:pt idx="22">
                  <c:v>0.68</c:v>
                </c:pt>
                <c:pt idx="23">
                  <c:v>0.68</c:v>
                </c:pt>
              </c:numCache>
            </c:numRef>
          </c:val>
          <c:smooth val="0"/>
          <c:extLst>
            <c:ext xmlns:c16="http://schemas.microsoft.com/office/drawing/2014/chart" uri="{C3380CC4-5D6E-409C-BE32-E72D297353CC}">
              <c16:uniqueId val="{00000000-BB36-7D41-A6EB-B5197282A8B2}"/>
            </c:ext>
          </c:extLst>
        </c:ser>
        <c:ser>
          <c:idx val="1"/>
          <c:order val="1"/>
          <c:tx>
            <c:strRef>
              <c:f>'8CC'!$T$1</c:f>
              <c:strCache>
                <c:ptCount val="1"/>
                <c:pt idx="0">
                  <c:v>CSL</c:v>
                </c:pt>
              </c:strCache>
            </c:strRef>
          </c:tx>
          <c:spPr>
            <a:ln>
              <a:solidFill>
                <a:schemeClr val="bg2">
                  <a:lumMod val="10000"/>
                </a:schemeClr>
              </a:solidFill>
            </a:ln>
          </c:spPr>
          <c:marker>
            <c:symbol val="none"/>
          </c:marker>
          <c:val>
            <c:numRef>
              <c:f>'8CC'!$T$2:$T$25</c:f>
              <c:numCache>
                <c:formatCode>0.000</c:formatCode>
                <c:ptCount val="24"/>
                <c:pt idx="0">
                  <c:v>0.34</c:v>
                </c:pt>
                <c:pt idx="1">
                  <c:v>0.34</c:v>
                </c:pt>
                <c:pt idx="2">
                  <c:v>0.34</c:v>
                </c:pt>
                <c:pt idx="3">
                  <c:v>0.34</c:v>
                </c:pt>
                <c:pt idx="4">
                  <c:v>0.34</c:v>
                </c:pt>
                <c:pt idx="5">
                  <c:v>0.34</c:v>
                </c:pt>
                <c:pt idx="6">
                  <c:v>0.34</c:v>
                </c:pt>
                <c:pt idx="7">
                  <c:v>0.34</c:v>
                </c:pt>
                <c:pt idx="8">
                  <c:v>0.34</c:v>
                </c:pt>
                <c:pt idx="9">
                  <c:v>0.34</c:v>
                </c:pt>
                <c:pt idx="10">
                  <c:v>0.34</c:v>
                </c:pt>
                <c:pt idx="11">
                  <c:v>0.34</c:v>
                </c:pt>
                <c:pt idx="12">
                  <c:v>0.34</c:v>
                </c:pt>
                <c:pt idx="13">
                  <c:v>0.34</c:v>
                </c:pt>
                <c:pt idx="14">
                  <c:v>0.34</c:v>
                </c:pt>
                <c:pt idx="15">
                  <c:v>0.34</c:v>
                </c:pt>
                <c:pt idx="16">
                  <c:v>0.34</c:v>
                </c:pt>
                <c:pt idx="17">
                  <c:v>0.34</c:v>
                </c:pt>
                <c:pt idx="18">
                  <c:v>0.34</c:v>
                </c:pt>
                <c:pt idx="19">
                  <c:v>0.34</c:v>
                </c:pt>
                <c:pt idx="20">
                  <c:v>0.34</c:v>
                </c:pt>
                <c:pt idx="21">
                  <c:v>0.34</c:v>
                </c:pt>
                <c:pt idx="22">
                  <c:v>0.34</c:v>
                </c:pt>
                <c:pt idx="23">
                  <c:v>0.34</c:v>
                </c:pt>
              </c:numCache>
            </c:numRef>
          </c:val>
          <c:smooth val="0"/>
          <c:extLst>
            <c:ext xmlns:c16="http://schemas.microsoft.com/office/drawing/2014/chart" uri="{C3380CC4-5D6E-409C-BE32-E72D297353CC}">
              <c16:uniqueId val="{00000001-BB36-7D41-A6EB-B5197282A8B2}"/>
            </c:ext>
          </c:extLst>
        </c:ser>
        <c:ser>
          <c:idx val="2"/>
          <c:order val="2"/>
          <c:tx>
            <c:strRef>
              <c:f>'8CC'!$U$1</c:f>
              <c:strCache>
                <c:ptCount val="1"/>
                <c:pt idx="0">
                  <c:v>LSL</c:v>
                </c:pt>
              </c:strCache>
            </c:strRef>
          </c:tx>
          <c:spPr>
            <a:ln>
              <a:solidFill>
                <a:schemeClr val="bg2">
                  <a:lumMod val="10000"/>
                </a:schemeClr>
              </a:solidFill>
            </a:ln>
          </c:spPr>
          <c:marker>
            <c:symbol val="none"/>
          </c:marker>
          <c:val>
            <c:numRef>
              <c:f>'8CC'!$U$2:$U$25</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BB36-7D41-A6EB-B5197282A8B2}"/>
            </c:ext>
          </c:extLst>
        </c:ser>
        <c:ser>
          <c:idx val="3"/>
          <c:order val="3"/>
          <c:tx>
            <c:strRef>
              <c:f>'8CC'!$V$1</c:f>
              <c:strCache>
                <c:ptCount val="1"/>
                <c:pt idx="0">
                  <c:v>Rango</c:v>
                </c:pt>
              </c:strCache>
            </c:strRef>
          </c:tx>
          <c:val>
            <c:numRef>
              <c:f>'8CC'!$V$2:$V$25</c:f>
              <c:numCache>
                <c:formatCode>0.00</c:formatCode>
                <c:ptCount val="24"/>
                <c:pt idx="0">
                  <c:v>0.34</c:v>
                </c:pt>
                <c:pt idx="1">
                  <c:v>0.36</c:v>
                </c:pt>
                <c:pt idx="2">
                  <c:v>0.32</c:v>
                </c:pt>
                <c:pt idx="3">
                  <c:v>0.36</c:v>
                </c:pt>
                <c:pt idx="4">
                  <c:v>0.36</c:v>
                </c:pt>
                <c:pt idx="5">
                  <c:v>0.35</c:v>
                </c:pt>
                <c:pt idx="6">
                  <c:v>0.31</c:v>
                </c:pt>
                <c:pt idx="7">
                  <c:v>0.34</c:v>
                </c:pt>
                <c:pt idx="8">
                  <c:v>0.3</c:v>
                </c:pt>
                <c:pt idx="9">
                  <c:v>0.37</c:v>
                </c:pt>
                <c:pt idx="10">
                  <c:v>0.28999999999999998</c:v>
                </c:pt>
                <c:pt idx="11">
                  <c:v>0.3</c:v>
                </c:pt>
                <c:pt idx="12">
                  <c:v>0.33</c:v>
                </c:pt>
                <c:pt idx="13">
                  <c:v>0.36</c:v>
                </c:pt>
                <c:pt idx="14">
                  <c:v>0.34</c:v>
                </c:pt>
                <c:pt idx="15">
                  <c:v>0.36</c:v>
                </c:pt>
                <c:pt idx="16">
                  <c:v>0.37</c:v>
                </c:pt>
                <c:pt idx="17">
                  <c:v>0.38</c:v>
                </c:pt>
                <c:pt idx="18">
                  <c:v>0.35</c:v>
                </c:pt>
                <c:pt idx="19">
                  <c:v>0.38</c:v>
                </c:pt>
                <c:pt idx="20">
                  <c:v>0.33</c:v>
                </c:pt>
                <c:pt idx="21">
                  <c:v>0.32</c:v>
                </c:pt>
                <c:pt idx="22">
                  <c:v>0.34</c:v>
                </c:pt>
                <c:pt idx="23">
                  <c:v>0.3</c:v>
                </c:pt>
              </c:numCache>
            </c:numRef>
          </c:val>
          <c:smooth val="0"/>
          <c:extLst>
            <c:ext xmlns:c16="http://schemas.microsoft.com/office/drawing/2014/chart" uri="{C3380CC4-5D6E-409C-BE32-E72D297353CC}">
              <c16:uniqueId val="{00000003-BB36-7D41-A6EB-B5197282A8B2}"/>
            </c:ext>
          </c:extLst>
        </c:ser>
        <c:dLbls>
          <c:showLegendKey val="0"/>
          <c:showVal val="0"/>
          <c:showCatName val="0"/>
          <c:showSerName val="0"/>
          <c:showPercent val="0"/>
          <c:showBubbleSize val="0"/>
        </c:dLbls>
        <c:smooth val="0"/>
        <c:axId val="1741733800"/>
        <c:axId val="1682361608"/>
      </c:lineChart>
      <c:catAx>
        <c:axId val="1741733800"/>
        <c:scaling>
          <c:orientation val="minMax"/>
        </c:scaling>
        <c:delete val="0"/>
        <c:axPos val="b"/>
        <c:majorTickMark val="none"/>
        <c:minorTickMark val="none"/>
        <c:tickLblPos val="nextTo"/>
        <c:crossAx val="1682361608"/>
        <c:crosses val="autoZero"/>
        <c:auto val="1"/>
        <c:lblAlgn val="ctr"/>
        <c:lblOffset val="100"/>
        <c:noMultiLvlLbl val="0"/>
      </c:catAx>
      <c:valAx>
        <c:axId val="1682361608"/>
        <c:scaling>
          <c:orientation val="minMax"/>
        </c:scaling>
        <c:delete val="0"/>
        <c:axPos val="l"/>
        <c:majorGridlines/>
        <c:numFmt formatCode="0.000" sourceLinked="1"/>
        <c:majorTickMark val="none"/>
        <c:minorTickMark val="none"/>
        <c:tickLblPos val="nextTo"/>
        <c:spPr>
          <a:ln w="6350">
            <a:noFill/>
          </a:ln>
        </c:spPr>
        <c:crossAx val="17417338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Carta de Promedios</a:t>
            </a:r>
          </a:p>
        </c:rich>
      </c:tx>
      <c:overlay val="0"/>
    </c:title>
    <c:autoTitleDeleted val="0"/>
    <c:plotArea>
      <c:layout/>
      <c:lineChart>
        <c:grouping val="standard"/>
        <c:varyColors val="0"/>
        <c:ser>
          <c:idx val="0"/>
          <c:order val="0"/>
          <c:tx>
            <c:strRef>
              <c:f>'8CC'!$C$1</c:f>
              <c:strCache>
                <c:ptCount val="1"/>
                <c:pt idx="0">
                  <c:v>Promedio</c:v>
                </c:pt>
              </c:strCache>
            </c:strRef>
          </c:tx>
          <c:val>
            <c:numRef>
              <c:f>'8CC'!$C$2:$C$26</c:f>
              <c:numCache>
                <c:formatCode>0.00</c:formatCode>
                <c:ptCount val="25"/>
                <c:pt idx="0">
                  <c:v>20.350000000000001</c:v>
                </c:pt>
                <c:pt idx="1">
                  <c:v>20.399999999999999</c:v>
                </c:pt>
                <c:pt idx="2">
                  <c:v>20.36</c:v>
                </c:pt>
                <c:pt idx="3">
                  <c:v>20.65</c:v>
                </c:pt>
                <c:pt idx="4">
                  <c:v>20.2</c:v>
                </c:pt>
                <c:pt idx="5">
                  <c:v>20.399999999999999</c:v>
                </c:pt>
                <c:pt idx="6">
                  <c:v>20.43</c:v>
                </c:pt>
                <c:pt idx="7">
                  <c:v>20.37</c:v>
                </c:pt>
                <c:pt idx="8">
                  <c:v>20.48</c:v>
                </c:pt>
                <c:pt idx="9">
                  <c:v>20.420000000000002</c:v>
                </c:pt>
                <c:pt idx="10">
                  <c:v>20.39</c:v>
                </c:pt>
                <c:pt idx="11">
                  <c:v>20.38</c:v>
                </c:pt>
                <c:pt idx="12">
                  <c:v>20.399999999999999</c:v>
                </c:pt>
                <c:pt idx="13">
                  <c:v>20.41</c:v>
                </c:pt>
                <c:pt idx="14">
                  <c:v>20.45</c:v>
                </c:pt>
                <c:pt idx="15">
                  <c:v>20.34</c:v>
                </c:pt>
                <c:pt idx="16">
                  <c:v>20.36</c:v>
                </c:pt>
                <c:pt idx="17">
                  <c:v>20.420000000000002</c:v>
                </c:pt>
                <c:pt idx="18">
                  <c:v>20.5</c:v>
                </c:pt>
                <c:pt idx="19">
                  <c:v>20.309999999999999</c:v>
                </c:pt>
                <c:pt idx="20">
                  <c:v>20.39</c:v>
                </c:pt>
                <c:pt idx="21">
                  <c:v>20.39</c:v>
                </c:pt>
                <c:pt idx="22">
                  <c:v>20.399999999999999</c:v>
                </c:pt>
                <c:pt idx="23">
                  <c:v>20.41</c:v>
                </c:pt>
                <c:pt idx="24">
                  <c:v>20.399999999999999</c:v>
                </c:pt>
              </c:numCache>
            </c:numRef>
          </c:val>
          <c:smooth val="0"/>
          <c:extLst>
            <c:ext xmlns:c16="http://schemas.microsoft.com/office/drawing/2014/chart" uri="{C3380CC4-5D6E-409C-BE32-E72D297353CC}">
              <c16:uniqueId val="{00000000-BF70-7240-B094-9AD40D9DEBE0}"/>
            </c:ext>
          </c:extLst>
        </c:ser>
        <c:ser>
          <c:idx val="1"/>
          <c:order val="1"/>
          <c:tx>
            <c:strRef>
              <c:f>'8CC'!$D$1</c:f>
              <c:strCache>
                <c:ptCount val="1"/>
                <c:pt idx="0">
                  <c:v>USL</c:v>
                </c:pt>
              </c:strCache>
            </c:strRef>
          </c:tx>
          <c:spPr>
            <a:ln>
              <a:solidFill>
                <a:schemeClr val="bg2">
                  <a:lumMod val="10000"/>
                </a:schemeClr>
              </a:solidFill>
            </a:ln>
          </c:spPr>
          <c:marker>
            <c:symbol val="none"/>
          </c:marker>
          <c:val>
            <c:numRef>
              <c:f>'8CC'!$D$2:$D$26</c:f>
              <c:numCache>
                <c:formatCode>0.000</c:formatCode>
                <c:ptCount val="25"/>
                <c:pt idx="0">
                  <c:v>20.571087999999996</c:v>
                </c:pt>
                <c:pt idx="1">
                  <c:v>20.571087999999996</c:v>
                </c:pt>
                <c:pt idx="2">
                  <c:v>20.571087999999996</c:v>
                </c:pt>
                <c:pt idx="3">
                  <c:v>20.571087999999996</c:v>
                </c:pt>
                <c:pt idx="4">
                  <c:v>20.571087999999996</c:v>
                </c:pt>
                <c:pt idx="5">
                  <c:v>20.571087999999996</c:v>
                </c:pt>
                <c:pt idx="6">
                  <c:v>20.571087999999996</c:v>
                </c:pt>
                <c:pt idx="7">
                  <c:v>20.571087999999996</c:v>
                </c:pt>
                <c:pt idx="8">
                  <c:v>20.571087999999996</c:v>
                </c:pt>
                <c:pt idx="9">
                  <c:v>20.571087999999996</c:v>
                </c:pt>
                <c:pt idx="10">
                  <c:v>20.571087999999996</c:v>
                </c:pt>
                <c:pt idx="11">
                  <c:v>20.571087999999996</c:v>
                </c:pt>
                <c:pt idx="12">
                  <c:v>20.571087999999996</c:v>
                </c:pt>
                <c:pt idx="13">
                  <c:v>20.571087999999996</c:v>
                </c:pt>
                <c:pt idx="14">
                  <c:v>20.571087999999996</c:v>
                </c:pt>
                <c:pt idx="15">
                  <c:v>20.571087999999996</c:v>
                </c:pt>
                <c:pt idx="16">
                  <c:v>20.571087999999996</c:v>
                </c:pt>
                <c:pt idx="17">
                  <c:v>20.571087999999996</c:v>
                </c:pt>
                <c:pt idx="18">
                  <c:v>20.571087999999996</c:v>
                </c:pt>
                <c:pt idx="19">
                  <c:v>20.571087999999996</c:v>
                </c:pt>
                <c:pt idx="20">
                  <c:v>20.571087999999996</c:v>
                </c:pt>
                <c:pt idx="21">
                  <c:v>20.571087999999996</c:v>
                </c:pt>
                <c:pt idx="22">
                  <c:v>20.571087999999996</c:v>
                </c:pt>
                <c:pt idx="23">
                  <c:v>20.571087999999996</c:v>
                </c:pt>
                <c:pt idx="24">
                  <c:v>20.571087999999996</c:v>
                </c:pt>
              </c:numCache>
            </c:numRef>
          </c:val>
          <c:smooth val="0"/>
          <c:extLst>
            <c:ext xmlns:c16="http://schemas.microsoft.com/office/drawing/2014/chart" uri="{C3380CC4-5D6E-409C-BE32-E72D297353CC}">
              <c16:uniqueId val="{00000001-BF70-7240-B094-9AD40D9DEBE0}"/>
            </c:ext>
          </c:extLst>
        </c:ser>
        <c:ser>
          <c:idx val="2"/>
          <c:order val="2"/>
          <c:tx>
            <c:strRef>
              <c:f>'8CC'!$E$1</c:f>
              <c:strCache>
                <c:ptCount val="1"/>
                <c:pt idx="0">
                  <c:v>CSL</c:v>
                </c:pt>
              </c:strCache>
            </c:strRef>
          </c:tx>
          <c:spPr>
            <a:ln>
              <a:solidFill>
                <a:schemeClr val="bg2">
                  <a:lumMod val="10000"/>
                </a:schemeClr>
              </a:solidFill>
            </a:ln>
          </c:spPr>
          <c:marker>
            <c:symbol val="none"/>
          </c:marker>
          <c:val>
            <c:numRef>
              <c:f>'8CC'!$E$2:$E$26</c:f>
              <c:numCache>
                <c:formatCode>0.000</c:formatCode>
                <c:ptCount val="25"/>
                <c:pt idx="0">
                  <c:v>20.400399999999998</c:v>
                </c:pt>
                <c:pt idx="1">
                  <c:v>20.400399999999998</c:v>
                </c:pt>
                <c:pt idx="2">
                  <c:v>20.400399999999998</c:v>
                </c:pt>
                <c:pt idx="3">
                  <c:v>20.400399999999998</c:v>
                </c:pt>
                <c:pt idx="4">
                  <c:v>20.400399999999998</c:v>
                </c:pt>
                <c:pt idx="5">
                  <c:v>20.400399999999998</c:v>
                </c:pt>
                <c:pt idx="6">
                  <c:v>20.400399999999998</c:v>
                </c:pt>
                <c:pt idx="7">
                  <c:v>20.400399999999998</c:v>
                </c:pt>
                <c:pt idx="8">
                  <c:v>20.400399999999998</c:v>
                </c:pt>
                <c:pt idx="9">
                  <c:v>20.400399999999998</c:v>
                </c:pt>
                <c:pt idx="10">
                  <c:v>20.400399999999998</c:v>
                </c:pt>
                <c:pt idx="11">
                  <c:v>20.400399999999998</c:v>
                </c:pt>
                <c:pt idx="12">
                  <c:v>20.400399999999998</c:v>
                </c:pt>
                <c:pt idx="13">
                  <c:v>20.400399999999998</c:v>
                </c:pt>
                <c:pt idx="14">
                  <c:v>20.400399999999998</c:v>
                </c:pt>
                <c:pt idx="15">
                  <c:v>20.400399999999998</c:v>
                </c:pt>
                <c:pt idx="16">
                  <c:v>20.400399999999998</c:v>
                </c:pt>
                <c:pt idx="17">
                  <c:v>20.400399999999998</c:v>
                </c:pt>
                <c:pt idx="18">
                  <c:v>20.400399999999998</c:v>
                </c:pt>
                <c:pt idx="19">
                  <c:v>20.400399999999998</c:v>
                </c:pt>
                <c:pt idx="20">
                  <c:v>20.400399999999998</c:v>
                </c:pt>
                <c:pt idx="21">
                  <c:v>20.400399999999998</c:v>
                </c:pt>
                <c:pt idx="22">
                  <c:v>20.400399999999998</c:v>
                </c:pt>
                <c:pt idx="23">
                  <c:v>20.400399999999998</c:v>
                </c:pt>
                <c:pt idx="24">
                  <c:v>20.400399999999998</c:v>
                </c:pt>
              </c:numCache>
            </c:numRef>
          </c:val>
          <c:smooth val="0"/>
          <c:extLst>
            <c:ext xmlns:c16="http://schemas.microsoft.com/office/drawing/2014/chart" uri="{C3380CC4-5D6E-409C-BE32-E72D297353CC}">
              <c16:uniqueId val="{00000002-BF70-7240-B094-9AD40D9DEBE0}"/>
            </c:ext>
          </c:extLst>
        </c:ser>
        <c:ser>
          <c:idx val="3"/>
          <c:order val="3"/>
          <c:tx>
            <c:strRef>
              <c:f>'8CC'!$F$1</c:f>
              <c:strCache>
                <c:ptCount val="1"/>
                <c:pt idx="0">
                  <c:v>LSL</c:v>
                </c:pt>
              </c:strCache>
            </c:strRef>
          </c:tx>
          <c:spPr>
            <a:ln>
              <a:solidFill>
                <a:schemeClr val="bg2">
                  <a:lumMod val="10000"/>
                </a:schemeClr>
              </a:solidFill>
            </a:ln>
          </c:spPr>
          <c:marker>
            <c:symbol val="none"/>
          </c:marker>
          <c:val>
            <c:numRef>
              <c:f>'8CC'!$F$2:$F$26</c:f>
              <c:numCache>
                <c:formatCode>0.000</c:formatCode>
                <c:ptCount val="25"/>
                <c:pt idx="0">
                  <c:v>20.229711999999999</c:v>
                </c:pt>
                <c:pt idx="1">
                  <c:v>20.229711999999999</c:v>
                </c:pt>
                <c:pt idx="2">
                  <c:v>20.229711999999999</c:v>
                </c:pt>
                <c:pt idx="3">
                  <c:v>20.229711999999999</c:v>
                </c:pt>
                <c:pt idx="4">
                  <c:v>20.229711999999999</c:v>
                </c:pt>
                <c:pt idx="5">
                  <c:v>20.229711999999999</c:v>
                </c:pt>
                <c:pt idx="6">
                  <c:v>20.229711999999999</c:v>
                </c:pt>
                <c:pt idx="7">
                  <c:v>20.229711999999999</c:v>
                </c:pt>
                <c:pt idx="8">
                  <c:v>20.229711999999999</c:v>
                </c:pt>
                <c:pt idx="9">
                  <c:v>20.229711999999999</c:v>
                </c:pt>
                <c:pt idx="10">
                  <c:v>20.229711999999999</c:v>
                </c:pt>
                <c:pt idx="11">
                  <c:v>20.229711999999999</c:v>
                </c:pt>
                <c:pt idx="12">
                  <c:v>20.229711999999999</c:v>
                </c:pt>
                <c:pt idx="13">
                  <c:v>20.229711999999999</c:v>
                </c:pt>
                <c:pt idx="14">
                  <c:v>20.229711999999999</c:v>
                </c:pt>
                <c:pt idx="15">
                  <c:v>20.229711999999999</c:v>
                </c:pt>
                <c:pt idx="16">
                  <c:v>20.229711999999999</c:v>
                </c:pt>
                <c:pt idx="17">
                  <c:v>20.229711999999999</c:v>
                </c:pt>
                <c:pt idx="18">
                  <c:v>20.229711999999999</c:v>
                </c:pt>
                <c:pt idx="19">
                  <c:v>20.229711999999999</c:v>
                </c:pt>
                <c:pt idx="20">
                  <c:v>20.229711999999999</c:v>
                </c:pt>
                <c:pt idx="21">
                  <c:v>20.229711999999999</c:v>
                </c:pt>
                <c:pt idx="22">
                  <c:v>20.229711999999999</c:v>
                </c:pt>
                <c:pt idx="23">
                  <c:v>20.229711999999999</c:v>
                </c:pt>
                <c:pt idx="24">
                  <c:v>20.229711999999999</c:v>
                </c:pt>
              </c:numCache>
            </c:numRef>
          </c:val>
          <c:smooth val="0"/>
          <c:extLst>
            <c:ext xmlns:c16="http://schemas.microsoft.com/office/drawing/2014/chart" uri="{C3380CC4-5D6E-409C-BE32-E72D297353CC}">
              <c16:uniqueId val="{00000003-BF70-7240-B094-9AD40D9DEBE0}"/>
            </c:ext>
          </c:extLst>
        </c:ser>
        <c:dLbls>
          <c:showLegendKey val="0"/>
          <c:showVal val="0"/>
          <c:showCatName val="0"/>
          <c:showSerName val="0"/>
          <c:showPercent val="0"/>
          <c:showBubbleSize val="0"/>
        </c:dLbls>
        <c:marker val="1"/>
        <c:smooth val="0"/>
        <c:axId val="1742099032"/>
        <c:axId val="1737929992"/>
      </c:lineChart>
      <c:catAx>
        <c:axId val="1742099032"/>
        <c:scaling>
          <c:orientation val="minMax"/>
        </c:scaling>
        <c:delete val="0"/>
        <c:axPos val="b"/>
        <c:majorTickMark val="none"/>
        <c:minorTickMark val="none"/>
        <c:tickLblPos val="nextTo"/>
        <c:crossAx val="1737929992"/>
        <c:crosses val="autoZero"/>
        <c:auto val="1"/>
        <c:lblAlgn val="ctr"/>
        <c:lblOffset val="100"/>
        <c:noMultiLvlLbl val="0"/>
      </c:catAx>
      <c:valAx>
        <c:axId val="1737929992"/>
        <c:scaling>
          <c:orientation val="minMax"/>
          <c:min val="20.100000000000001"/>
        </c:scaling>
        <c:delete val="0"/>
        <c:axPos val="l"/>
        <c:majorGridlines/>
        <c:numFmt formatCode="0.00" sourceLinked="1"/>
        <c:majorTickMark val="none"/>
        <c:minorTickMark val="none"/>
        <c:tickLblPos val="nextTo"/>
        <c:spPr>
          <a:ln w="6350">
            <a:noFill/>
          </a:ln>
        </c:spPr>
        <c:crossAx val="17420990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Carta de Promedios</a:t>
            </a:r>
            <a:r>
              <a:rPr lang="en-US" baseline="0"/>
              <a:t> Re calculada</a:t>
            </a:r>
            <a:endParaRPr lang="en-US"/>
          </a:p>
        </c:rich>
      </c:tx>
      <c:overlay val="0"/>
    </c:title>
    <c:autoTitleDeleted val="0"/>
    <c:plotArea>
      <c:layout/>
      <c:lineChart>
        <c:grouping val="standard"/>
        <c:varyColors val="0"/>
        <c:ser>
          <c:idx val="0"/>
          <c:order val="0"/>
          <c:tx>
            <c:strRef>
              <c:f>'8CC'!$S$29</c:f>
              <c:strCache>
                <c:ptCount val="1"/>
                <c:pt idx="0">
                  <c:v>Promedio</c:v>
                </c:pt>
              </c:strCache>
            </c:strRef>
          </c:tx>
          <c:val>
            <c:numRef>
              <c:f>'8CC'!$S$30:$S$52</c:f>
              <c:numCache>
                <c:formatCode>0.00</c:formatCode>
                <c:ptCount val="23"/>
                <c:pt idx="0">
                  <c:v>20.350000000000001</c:v>
                </c:pt>
                <c:pt idx="1">
                  <c:v>20.399999999999999</c:v>
                </c:pt>
                <c:pt idx="2">
                  <c:v>20.36</c:v>
                </c:pt>
                <c:pt idx="3">
                  <c:v>20.399999999999999</c:v>
                </c:pt>
                <c:pt idx="4">
                  <c:v>20.43</c:v>
                </c:pt>
                <c:pt idx="5">
                  <c:v>20.37</c:v>
                </c:pt>
                <c:pt idx="6">
                  <c:v>20.48</c:v>
                </c:pt>
                <c:pt idx="7">
                  <c:v>20.420000000000002</c:v>
                </c:pt>
                <c:pt idx="8">
                  <c:v>20.39</c:v>
                </c:pt>
                <c:pt idx="9">
                  <c:v>20.38</c:v>
                </c:pt>
                <c:pt idx="10">
                  <c:v>20.399999999999999</c:v>
                </c:pt>
                <c:pt idx="11">
                  <c:v>20.41</c:v>
                </c:pt>
                <c:pt idx="12">
                  <c:v>20.45</c:v>
                </c:pt>
                <c:pt idx="13">
                  <c:v>20.34</c:v>
                </c:pt>
                <c:pt idx="14">
                  <c:v>20.36</c:v>
                </c:pt>
                <c:pt idx="15">
                  <c:v>20.420000000000002</c:v>
                </c:pt>
                <c:pt idx="16">
                  <c:v>20.5</c:v>
                </c:pt>
                <c:pt idx="17">
                  <c:v>20.309999999999999</c:v>
                </c:pt>
                <c:pt idx="18">
                  <c:v>20.39</c:v>
                </c:pt>
                <c:pt idx="19">
                  <c:v>20.39</c:v>
                </c:pt>
                <c:pt idx="20">
                  <c:v>20.399999999999999</c:v>
                </c:pt>
                <c:pt idx="21">
                  <c:v>20.41</c:v>
                </c:pt>
                <c:pt idx="22">
                  <c:v>20.399999999999999</c:v>
                </c:pt>
              </c:numCache>
            </c:numRef>
          </c:val>
          <c:smooth val="0"/>
          <c:extLst>
            <c:ext xmlns:c16="http://schemas.microsoft.com/office/drawing/2014/chart" uri="{C3380CC4-5D6E-409C-BE32-E72D297353CC}">
              <c16:uniqueId val="{00000000-2B07-AC46-8043-98497DA20C31}"/>
            </c:ext>
          </c:extLst>
        </c:ser>
        <c:ser>
          <c:idx val="1"/>
          <c:order val="1"/>
          <c:tx>
            <c:strRef>
              <c:f>'8CC'!$T$29</c:f>
              <c:strCache>
                <c:ptCount val="1"/>
                <c:pt idx="0">
                  <c:v>USL</c:v>
                </c:pt>
              </c:strCache>
            </c:strRef>
          </c:tx>
          <c:spPr>
            <a:ln>
              <a:solidFill>
                <a:schemeClr val="tx2">
                  <a:lumMod val="50000"/>
                </a:schemeClr>
              </a:solidFill>
            </a:ln>
          </c:spPr>
          <c:marker>
            <c:symbol val="none"/>
          </c:marker>
          <c:val>
            <c:numRef>
              <c:f>'8CC'!$T$30:$T$52</c:f>
              <c:numCache>
                <c:formatCode>0.000</c:formatCode>
                <c:ptCount val="23"/>
                <c:pt idx="0">
                  <c:v>20.561460869565213</c:v>
                </c:pt>
                <c:pt idx="1">
                  <c:v>20.561460869565213</c:v>
                </c:pt>
                <c:pt idx="2">
                  <c:v>20.561460869565213</c:v>
                </c:pt>
                <c:pt idx="3">
                  <c:v>20.561460869565213</c:v>
                </c:pt>
                <c:pt idx="4">
                  <c:v>20.561460869565213</c:v>
                </c:pt>
                <c:pt idx="5">
                  <c:v>20.561460869565213</c:v>
                </c:pt>
                <c:pt idx="6">
                  <c:v>20.561460869565213</c:v>
                </c:pt>
                <c:pt idx="7">
                  <c:v>20.561460869565213</c:v>
                </c:pt>
                <c:pt idx="8">
                  <c:v>20.561460869565213</c:v>
                </c:pt>
                <c:pt idx="9">
                  <c:v>20.561460869565213</c:v>
                </c:pt>
                <c:pt idx="10">
                  <c:v>20.561460869565213</c:v>
                </c:pt>
                <c:pt idx="11">
                  <c:v>20.561460869565213</c:v>
                </c:pt>
                <c:pt idx="12">
                  <c:v>20.561460869565213</c:v>
                </c:pt>
                <c:pt idx="13">
                  <c:v>20.561460869565213</c:v>
                </c:pt>
                <c:pt idx="14">
                  <c:v>20.561460869565213</c:v>
                </c:pt>
                <c:pt idx="15">
                  <c:v>20.561460869565213</c:v>
                </c:pt>
                <c:pt idx="16">
                  <c:v>20.561460869565213</c:v>
                </c:pt>
                <c:pt idx="17">
                  <c:v>20.561460869565213</c:v>
                </c:pt>
                <c:pt idx="18">
                  <c:v>20.561460869565213</c:v>
                </c:pt>
                <c:pt idx="19">
                  <c:v>20.561460869565213</c:v>
                </c:pt>
                <c:pt idx="20">
                  <c:v>20.561460869565213</c:v>
                </c:pt>
                <c:pt idx="21">
                  <c:v>20.561460869565213</c:v>
                </c:pt>
                <c:pt idx="22">
                  <c:v>20.561460869565213</c:v>
                </c:pt>
              </c:numCache>
            </c:numRef>
          </c:val>
          <c:smooth val="0"/>
          <c:extLst>
            <c:ext xmlns:c16="http://schemas.microsoft.com/office/drawing/2014/chart" uri="{C3380CC4-5D6E-409C-BE32-E72D297353CC}">
              <c16:uniqueId val="{00000001-2B07-AC46-8043-98497DA20C31}"/>
            </c:ext>
          </c:extLst>
        </c:ser>
        <c:ser>
          <c:idx val="2"/>
          <c:order val="2"/>
          <c:tx>
            <c:strRef>
              <c:f>'8CC'!$U$29</c:f>
              <c:strCache>
                <c:ptCount val="1"/>
                <c:pt idx="0">
                  <c:v>CSL</c:v>
                </c:pt>
              </c:strCache>
            </c:strRef>
          </c:tx>
          <c:spPr>
            <a:ln>
              <a:solidFill>
                <a:schemeClr val="bg2">
                  <a:lumMod val="10000"/>
                </a:schemeClr>
              </a:solidFill>
            </a:ln>
          </c:spPr>
          <c:marker>
            <c:symbol val="none"/>
          </c:marker>
          <c:val>
            <c:numRef>
              <c:f>'8CC'!$U$30:$U$52</c:f>
              <c:numCache>
                <c:formatCode>0.000</c:formatCode>
                <c:ptCount val="23"/>
                <c:pt idx="0">
                  <c:v>20.398260869565213</c:v>
                </c:pt>
                <c:pt idx="1">
                  <c:v>20.398260869565213</c:v>
                </c:pt>
                <c:pt idx="2">
                  <c:v>20.398260869565213</c:v>
                </c:pt>
                <c:pt idx="3">
                  <c:v>20.398260869565213</c:v>
                </c:pt>
                <c:pt idx="4">
                  <c:v>20.398260869565213</c:v>
                </c:pt>
                <c:pt idx="5">
                  <c:v>20.398260869565213</c:v>
                </c:pt>
                <c:pt idx="6">
                  <c:v>20.398260869565213</c:v>
                </c:pt>
                <c:pt idx="7">
                  <c:v>20.398260869565213</c:v>
                </c:pt>
                <c:pt idx="8">
                  <c:v>20.398260869565213</c:v>
                </c:pt>
                <c:pt idx="9">
                  <c:v>20.398260869565213</c:v>
                </c:pt>
                <c:pt idx="10">
                  <c:v>20.398260869565213</c:v>
                </c:pt>
                <c:pt idx="11">
                  <c:v>20.398260869565213</c:v>
                </c:pt>
                <c:pt idx="12">
                  <c:v>20.398260869565213</c:v>
                </c:pt>
                <c:pt idx="13">
                  <c:v>20.398260869565213</c:v>
                </c:pt>
                <c:pt idx="14">
                  <c:v>20.398260869565213</c:v>
                </c:pt>
                <c:pt idx="15">
                  <c:v>20.398260869565213</c:v>
                </c:pt>
                <c:pt idx="16">
                  <c:v>20.398260869565213</c:v>
                </c:pt>
                <c:pt idx="17">
                  <c:v>20.398260869565213</c:v>
                </c:pt>
                <c:pt idx="18">
                  <c:v>20.398260869565213</c:v>
                </c:pt>
                <c:pt idx="19">
                  <c:v>20.398260869565213</c:v>
                </c:pt>
                <c:pt idx="20">
                  <c:v>20.398260869565213</c:v>
                </c:pt>
                <c:pt idx="21">
                  <c:v>20.398260869565213</c:v>
                </c:pt>
                <c:pt idx="22">
                  <c:v>20.398260869565213</c:v>
                </c:pt>
              </c:numCache>
            </c:numRef>
          </c:val>
          <c:smooth val="0"/>
          <c:extLst>
            <c:ext xmlns:c16="http://schemas.microsoft.com/office/drawing/2014/chart" uri="{C3380CC4-5D6E-409C-BE32-E72D297353CC}">
              <c16:uniqueId val="{00000002-2B07-AC46-8043-98497DA20C31}"/>
            </c:ext>
          </c:extLst>
        </c:ser>
        <c:ser>
          <c:idx val="3"/>
          <c:order val="3"/>
          <c:tx>
            <c:strRef>
              <c:f>'8CC'!$V$29</c:f>
              <c:strCache>
                <c:ptCount val="1"/>
                <c:pt idx="0">
                  <c:v>LSL</c:v>
                </c:pt>
              </c:strCache>
            </c:strRef>
          </c:tx>
          <c:spPr>
            <a:ln>
              <a:solidFill>
                <a:schemeClr val="bg2">
                  <a:lumMod val="10000"/>
                </a:schemeClr>
              </a:solidFill>
            </a:ln>
          </c:spPr>
          <c:marker>
            <c:symbol val="none"/>
          </c:marker>
          <c:val>
            <c:numRef>
              <c:f>'8CC'!$V$30:$V$52</c:f>
              <c:numCache>
                <c:formatCode>0.000</c:formatCode>
                <c:ptCount val="23"/>
                <c:pt idx="0">
                  <c:v>20.235060869565213</c:v>
                </c:pt>
                <c:pt idx="1">
                  <c:v>20.235060869565213</c:v>
                </c:pt>
                <c:pt idx="2">
                  <c:v>20.235060869565213</c:v>
                </c:pt>
                <c:pt idx="3">
                  <c:v>20.235060869565213</c:v>
                </c:pt>
                <c:pt idx="4">
                  <c:v>20.235060869565213</c:v>
                </c:pt>
                <c:pt idx="5">
                  <c:v>20.235060869565213</c:v>
                </c:pt>
                <c:pt idx="6">
                  <c:v>20.235060869565213</c:v>
                </c:pt>
                <c:pt idx="7">
                  <c:v>20.235060869565213</c:v>
                </c:pt>
                <c:pt idx="8">
                  <c:v>20.235060869565213</c:v>
                </c:pt>
                <c:pt idx="9">
                  <c:v>20.235060869565213</c:v>
                </c:pt>
                <c:pt idx="10">
                  <c:v>20.235060869565213</c:v>
                </c:pt>
                <c:pt idx="11">
                  <c:v>20.235060869565213</c:v>
                </c:pt>
                <c:pt idx="12">
                  <c:v>20.235060869565213</c:v>
                </c:pt>
                <c:pt idx="13">
                  <c:v>20.235060869565213</c:v>
                </c:pt>
                <c:pt idx="14">
                  <c:v>20.235060869565213</c:v>
                </c:pt>
                <c:pt idx="15">
                  <c:v>20.235060869565213</c:v>
                </c:pt>
                <c:pt idx="16">
                  <c:v>20.235060869565213</c:v>
                </c:pt>
                <c:pt idx="17">
                  <c:v>20.235060869565213</c:v>
                </c:pt>
                <c:pt idx="18">
                  <c:v>20.235060869565213</c:v>
                </c:pt>
                <c:pt idx="19">
                  <c:v>20.235060869565213</c:v>
                </c:pt>
                <c:pt idx="20">
                  <c:v>20.235060869565213</c:v>
                </c:pt>
                <c:pt idx="21">
                  <c:v>20.235060869565213</c:v>
                </c:pt>
                <c:pt idx="22">
                  <c:v>20.235060869565213</c:v>
                </c:pt>
              </c:numCache>
            </c:numRef>
          </c:val>
          <c:smooth val="0"/>
          <c:extLst>
            <c:ext xmlns:c16="http://schemas.microsoft.com/office/drawing/2014/chart" uri="{C3380CC4-5D6E-409C-BE32-E72D297353CC}">
              <c16:uniqueId val="{00000003-2B07-AC46-8043-98497DA20C31}"/>
            </c:ext>
          </c:extLst>
        </c:ser>
        <c:dLbls>
          <c:showLegendKey val="0"/>
          <c:showVal val="0"/>
          <c:showCatName val="0"/>
          <c:showSerName val="0"/>
          <c:showPercent val="0"/>
          <c:showBubbleSize val="0"/>
        </c:dLbls>
        <c:marker val="1"/>
        <c:smooth val="0"/>
        <c:axId val="1706266408"/>
        <c:axId val="1682082632"/>
      </c:lineChart>
      <c:catAx>
        <c:axId val="1706266408"/>
        <c:scaling>
          <c:orientation val="minMax"/>
        </c:scaling>
        <c:delete val="0"/>
        <c:axPos val="b"/>
        <c:majorTickMark val="none"/>
        <c:minorTickMark val="none"/>
        <c:tickLblPos val="nextTo"/>
        <c:crossAx val="1682082632"/>
        <c:crosses val="autoZero"/>
        <c:auto val="1"/>
        <c:lblAlgn val="ctr"/>
        <c:lblOffset val="100"/>
        <c:noMultiLvlLbl val="0"/>
      </c:catAx>
      <c:valAx>
        <c:axId val="1682082632"/>
        <c:scaling>
          <c:orientation val="minMax"/>
          <c:min val="20.2"/>
        </c:scaling>
        <c:delete val="0"/>
        <c:axPos val="l"/>
        <c:majorGridlines/>
        <c:numFmt formatCode="0.00" sourceLinked="1"/>
        <c:majorTickMark val="none"/>
        <c:minorTickMark val="none"/>
        <c:tickLblPos val="nextTo"/>
        <c:spPr>
          <a:ln w="6350">
            <a:noFill/>
          </a:ln>
        </c:spPr>
        <c:crossAx val="17062664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Carta</a:t>
            </a:r>
            <a:r>
              <a:rPr lang="en-US" baseline="0"/>
              <a:t> de Intervalos</a:t>
            </a:r>
            <a:endParaRPr lang="en-US"/>
          </a:p>
        </c:rich>
      </c:tx>
      <c:overlay val="0"/>
    </c:title>
    <c:autoTitleDeleted val="0"/>
    <c:plotArea>
      <c:layout/>
      <c:lineChart>
        <c:grouping val="standard"/>
        <c:varyColors val="0"/>
        <c:ser>
          <c:idx val="0"/>
          <c:order val="0"/>
          <c:tx>
            <c:strRef>
              <c:f>'9CC'!$B$2</c:f>
              <c:strCache>
                <c:ptCount val="1"/>
                <c:pt idx="0">
                  <c:v>LSC</c:v>
                </c:pt>
              </c:strCache>
            </c:strRef>
          </c:tx>
          <c:val>
            <c:numRef>
              <c:f>'9CC'!$B$3:$B$22</c:f>
              <c:numCache>
                <c:formatCode>General</c:formatCode>
                <c:ptCount val="20"/>
                <c:pt idx="0">
                  <c:v>50.73</c:v>
                </c:pt>
                <c:pt idx="1">
                  <c:v>50.73</c:v>
                </c:pt>
                <c:pt idx="2">
                  <c:v>50.73</c:v>
                </c:pt>
                <c:pt idx="3">
                  <c:v>50.73</c:v>
                </c:pt>
                <c:pt idx="4">
                  <c:v>50.73</c:v>
                </c:pt>
                <c:pt idx="5">
                  <c:v>50.73</c:v>
                </c:pt>
                <c:pt idx="6">
                  <c:v>50.73</c:v>
                </c:pt>
                <c:pt idx="7">
                  <c:v>50.73</c:v>
                </c:pt>
                <c:pt idx="8">
                  <c:v>50.73</c:v>
                </c:pt>
                <c:pt idx="9">
                  <c:v>50.73</c:v>
                </c:pt>
                <c:pt idx="10">
                  <c:v>50.73</c:v>
                </c:pt>
                <c:pt idx="11">
                  <c:v>50.73</c:v>
                </c:pt>
                <c:pt idx="12">
                  <c:v>50.73</c:v>
                </c:pt>
                <c:pt idx="13">
                  <c:v>50.73</c:v>
                </c:pt>
                <c:pt idx="14">
                  <c:v>50.73</c:v>
                </c:pt>
                <c:pt idx="15">
                  <c:v>50.73</c:v>
                </c:pt>
                <c:pt idx="16">
                  <c:v>50.73</c:v>
                </c:pt>
                <c:pt idx="17">
                  <c:v>50.73</c:v>
                </c:pt>
                <c:pt idx="18">
                  <c:v>50.73</c:v>
                </c:pt>
                <c:pt idx="19">
                  <c:v>50.73</c:v>
                </c:pt>
              </c:numCache>
            </c:numRef>
          </c:val>
          <c:smooth val="0"/>
          <c:extLst>
            <c:ext xmlns:c16="http://schemas.microsoft.com/office/drawing/2014/chart" uri="{C3380CC4-5D6E-409C-BE32-E72D297353CC}">
              <c16:uniqueId val="{00000000-E1AA-6344-929D-2A0B07D5195A}"/>
            </c:ext>
          </c:extLst>
        </c:ser>
        <c:ser>
          <c:idx val="1"/>
          <c:order val="1"/>
          <c:tx>
            <c:strRef>
              <c:f>'9CC'!$C$2</c:f>
              <c:strCache>
                <c:ptCount val="1"/>
              </c:strCache>
            </c:strRef>
          </c:tx>
          <c:val>
            <c:numRef>
              <c:f>'9CC'!$C$3:$C$22</c:f>
              <c:numCache>
                <c:formatCode>General</c:formatCode>
                <c:ptCount val="20"/>
                <c:pt idx="0">
                  <c:v>17</c:v>
                </c:pt>
                <c:pt idx="1">
                  <c:v>11</c:v>
                </c:pt>
                <c:pt idx="2">
                  <c:v>22</c:v>
                </c:pt>
                <c:pt idx="3">
                  <c:v>40</c:v>
                </c:pt>
                <c:pt idx="4">
                  <c:v>21</c:v>
                </c:pt>
                <c:pt idx="5">
                  <c:v>7</c:v>
                </c:pt>
                <c:pt idx="6">
                  <c:v>15</c:v>
                </c:pt>
                <c:pt idx="7">
                  <c:v>25</c:v>
                </c:pt>
                <c:pt idx="8">
                  <c:v>15</c:v>
                </c:pt>
                <c:pt idx="9">
                  <c:v>45</c:v>
                </c:pt>
                <c:pt idx="10">
                  <c:v>10</c:v>
                </c:pt>
                <c:pt idx="11">
                  <c:v>35</c:v>
                </c:pt>
                <c:pt idx="12">
                  <c:v>22</c:v>
                </c:pt>
                <c:pt idx="13">
                  <c:v>10</c:v>
                </c:pt>
                <c:pt idx="14">
                  <c:v>16</c:v>
                </c:pt>
                <c:pt idx="15">
                  <c:v>24</c:v>
                </c:pt>
                <c:pt idx="16">
                  <c:v>30</c:v>
                </c:pt>
                <c:pt idx="17">
                  <c:v>25</c:v>
                </c:pt>
                <c:pt idx="18">
                  <c:v>38</c:v>
                </c:pt>
                <c:pt idx="19">
                  <c:v>17</c:v>
                </c:pt>
              </c:numCache>
            </c:numRef>
          </c:val>
          <c:smooth val="0"/>
          <c:extLst>
            <c:ext xmlns:c16="http://schemas.microsoft.com/office/drawing/2014/chart" uri="{C3380CC4-5D6E-409C-BE32-E72D297353CC}">
              <c16:uniqueId val="{00000001-E1AA-6344-929D-2A0B07D5195A}"/>
            </c:ext>
          </c:extLst>
        </c:ser>
        <c:ser>
          <c:idx val="2"/>
          <c:order val="2"/>
          <c:tx>
            <c:strRef>
              <c:f>'9CC'!$D$2</c:f>
              <c:strCache>
                <c:ptCount val="1"/>
                <c:pt idx="0">
                  <c:v>LCC</c:v>
                </c:pt>
              </c:strCache>
            </c:strRef>
          </c:tx>
          <c:val>
            <c:numRef>
              <c:f>'9CC'!$D$3:$D$22</c:f>
              <c:numCache>
                <c:formatCode>General</c:formatCode>
                <c:ptCount val="20"/>
                <c:pt idx="0">
                  <c:v>22.25</c:v>
                </c:pt>
                <c:pt idx="1">
                  <c:v>22.25</c:v>
                </c:pt>
                <c:pt idx="2">
                  <c:v>22.25</c:v>
                </c:pt>
                <c:pt idx="3">
                  <c:v>22.25</c:v>
                </c:pt>
                <c:pt idx="4">
                  <c:v>22.25</c:v>
                </c:pt>
                <c:pt idx="5">
                  <c:v>22.25</c:v>
                </c:pt>
                <c:pt idx="6">
                  <c:v>22.25</c:v>
                </c:pt>
                <c:pt idx="7">
                  <c:v>22.25</c:v>
                </c:pt>
                <c:pt idx="8">
                  <c:v>22.25</c:v>
                </c:pt>
                <c:pt idx="9">
                  <c:v>22.25</c:v>
                </c:pt>
                <c:pt idx="10">
                  <c:v>22.25</c:v>
                </c:pt>
                <c:pt idx="11">
                  <c:v>22.25</c:v>
                </c:pt>
                <c:pt idx="12">
                  <c:v>22.25</c:v>
                </c:pt>
                <c:pt idx="13">
                  <c:v>22.25</c:v>
                </c:pt>
                <c:pt idx="14">
                  <c:v>22.25</c:v>
                </c:pt>
                <c:pt idx="15">
                  <c:v>22.25</c:v>
                </c:pt>
                <c:pt idx="16">
                  <c:v>22.25</c:v>
                </c:pt>
                <c:pt idx="17">
                  <c:v>22.25</c:v>
                </c:pt>
                <c:pt idx="18">
                  <c:v>22.25</c:v>
                </c:pt>
                <c:pt idx="19">
                  <c:v>22.25</c:v>
                </c:pt>
              </c:numCache>
            </c:numRef>
          </c:val>
          <c:smooth val="0"/>
          <c:extLst>
            <c:ext xmlns:c16="http://schemas.microsoft.com/office/drawing/2014/chart" uri="{C3380CC4-5D6E-409C-BE32-E72D297353CC}">
              <c16:uniqueId val="{00000002-E1AA-6344-929D-2A0B07D5195A}"/>
            </c:ext>
          </c:extLst>
        </c:ser>
        <c:ser>
          <c:idx val="3"/>
          <c:order val="3"/>
          <c:tx>
            <c:strRef>
              <c:f>'9CC'!$E$2</c:f>
              <c:strCache>
                <c:ptCount val="1"/>
                <c:pt idx="0">
                  <c:v>LIC</c:v>
                </c:pt>
              </c:strCache>
            </c:strRef>
          </c:tx>
          <c:val>
            <c:numRef>
              <c:f>'9CC'!$E$3:$E$22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E1AA-6344-929D-2A0B07D5195A}"/>
            </c:ext>
          </c:extLst>
        </c:ser>
        <c:dLbls>
          <c:showLegendKey val="0"/>
          <c:showVal val="0"/>
          <c:showCatName val="0"/>
          <c:showSerName val="0"/>
          <c:showPercent val="0"/>
          <c:showBubbleSize val="0"/>
        </c:dLbls>
        <c:marker val="1"/>
        <c:smooth val="0"/>
        <c:axId val="2130653720"/>
        <c:axId val="2130064648"/>
      </c:lineChart>
      <c:catAx>
        <c:axId val="2130653720"/>
        <c:scaling>
          <c:orientation val="minMax"/>
        </c:scaling>
        <c:delete val="0"/>
        <c:axPos val="b"/>
        <c:majorTickMark val="none"/>
        <c:minorTickMark val="none"/>
        <c:tickLblPos val="nextTo"/>
        <c:crossAx val="2130064648"/>
        <c:crosses val="autoZero"/>
        <c:auto val="1"/>
        <c:lblAlgn val="ctr"/>
        <c:lblOffset val="100"/>
        <c:noMultiLvlLbl val="0"/>
      </c:catAx>
      <c:valAx>
        <c:axId val="2130064648"/>
        <c:scaling>
          <c:orientation val="minMax"/>
        </c:scaling>
        <c:delete val="0"/>
        <c:axPos val="l"/>
        <c:majorGridlines/>
        <c:numFmt formatCode="General" sourceLinked="1"/>
        <c:majorTickMark val="none"/>
        <c:minorTickMark val="none"/>
        <c:tickLblPos val="nextTo"/>
        <c:spPr>
          <a:ln w="9525">
            <a:noFill/>
          </a:ln>
        </c:spPr>
        <c:crossAx val="213065372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Verdana"/>
                <a:ea typeface="Verdana"/>
                <a:cs typeface="Verdana"/>
              </a:defRPr>
            </a:pPr>
            <a:r>
              <a:rPr lang="en-US"/>
              <a:t>Gráfica AOQ</a:t>
            </a:r>
          </a:p>
        </c:rich>
      </c:tx>
      <c:layout>
        <c:manualLayout>
          <c:xMode val="edge"/>
          <c:yMode val="edge"/>
          <c:x val="0.42025316455696204"/>
          <c:y val="3.2544378698224852E-2"/>
        </c:manualLayout>
      </c:layout>
      <c:overlay val="0"/>
      <c:spPr>
        <a:noFill/>
        <a:ln w="25400">
          <a:noFill/>
        </a:ln>
      </c:spPr>
    </c:title>
    <c:autoTitleDeleted val="0"/>
    <c:plotArea>
      <c:layout>
        <c:manualLayout>
          <c:layoutTarget val="inner"/>
          <c:xMode val="edge"/>
          <c:yMode val="edge"/>
          <c:x val="0.15443037974683543"/>
          <c:y val="0.14497057127162372"/>
          <c:w val="0.78734177215189871"/>
          <c:h val="0.71597710709659057"/>
        </c:manualLayout>
      </c:layout>
      <c:scatterChart>
        <c:scatterStyle val="smoothMarker"/>
        <c:varyColors val="0"/>
        <c:ser>
          <c:idx val="0"/>
          <c:order val="0"/>
          <c:tx>
            <c:strRef>
              <c:f>'2MA'!$P$34</c:f>
              <c:strCache>
                <c:ptCount val="1"/>
                <c:pt idx="0">
                  <c:v>Cps</c:v>
                </c:pt>
              </c:strCache>
            </c:strRef>
          </c:tx>
          <c:spPr>
            <a:ln w="25400">
              <a:solidFill>
                <a:srgbClr val="63AAFE"/>
              </a:solidFill>
              <a:prstDash val="solid"/>
            </a:ln>
          </c:spPr>
          <c:marker>
            <c:symbol val="none"/>
          </c:marker>
          <c:xVal>
            <c:numRef>
              <c:f>'2MA'!$M$35:$M$43</c:f>
              <c:numCache>
                <c:formatCode>General</c:formatCode>
                <c:ptCount val="9"/>
                <c:pt idx="0">
                  <c:v>0.01</c:v>
                </c:pt>
                <c:pt idx="1">
                  <c:v>0.02</c:v>
                </c:pt>
                <c:pt idx="2">
                  <c:v>0.03</c:v>
                </c:pt>
                <c:pt idx="3">
                  <c:v>0.04</c:v>
                </c:pt>
                <c:pt idx="4">
                  <c:v>0.05</c:v>
                </c:pt>
                <c:pt idx="5">
                  <c:v>0.06</c:v>
                </c:pt>
                <c:pt idx="6">
                  <c:v>7.0000000000000007E-2</c:v>
                </c:pt>
                <c:pt idx="7">
                  <c:v>0.08</c:v>
                </c:pt>
                <c:pt idx="8">
                  <c:v>0.09</c:v>
                </c:pt>
              </c:numCache>
            </c:numRef>
          </c:xVal>
          <c:yVal>
            <c:numRef>
              <c:f>'2MA'!$P$35:$P$43</c:f>
              <c:numCache>
                <c:formatCode>General</c:formatCode>
                <c:ptCount val="9"/>
                <c:pt idx="0">
                  <c:v>0.01</c:v>
                </c:pt>
                <c:pt idx="1">
                  <c:v>1.9980000000000001E-2</c:v>
                </c:pt>
                <c:pt idx="2">
                  <c:v>2.9489999999999999E-2</c:v>
                </c:pt>
                <c:pt idx="3">
                  <c:v>3.3239999999999999E-2</c:v>
                </c:pt>
                <c:pt idx="4">
                  <c:v>3.5499999999999997E-2</c:v>
                </c:pt>
                <c:pt idx="5">
                  <c:v>2.7779999999999999E-2</c:v>
                </c:pt>
                <c:pt idx="6">
                  <c:v>1.7570000000000002E-2</c:v>
                </c:pt>
                <c:pt idx="7">
                  <c:v>9.2800000000000001E-3</c:v>
                </c:pt>
                <c:pt idx="8">
                  <c:v>4.2300000000000003E-3</c:v>
                </c:pt>
              </c:numCache>
            </c:numRef>
          </c:yVal>
          <c:smooth val="1"/>
          <c:extLst>
            <c:ext xmlns:c16="http://schemas.microsoft.com/office/drawing/2014/chart" uri="{C3380CC4-5D6E-409C-BE32-E72D297353CC}">
              <c16:uniqueId val="{00000000-92AB-3D49-8E96-239C609984A0}"/>
            </c:ext>
          </c:extLst>
        </c:ser>
        <c:dLbls>
          <c:showLegendKey val="0"/>
          <c:showVal val="0"/>
          <c:showCatName val="0"/>
          <c:showSerName val="0"/>
          <c:showPercent val="0"/>
          <c:showBubbleSize val="0"/>
        </c:dLbls>
        <c:axId val="665514575"/>
        <c:axId val="1"/>
      </c:scatterChart>
      <c:valAx>
        <c:axId val="665514575"/>
        <c:scaling>
          <c:orientation val="minMax"/>
        </c:scaling>
        <c:delete val="0"/>
        <c:axPos val="b"/>
        <c:title>
          <c:tx>
            <c:rich>
              <a:bodyPr/>
              <a:lstStyle/>
              <a:p>
                <a:pPr>
                  <a:defRPr sz="800" b="1" i="0" u="none" strike="noStrike" baseline="0">
                    <a:solidFill>
                      <a:srgbClr val="000000"/>
                    </a:solidFill>
                    <a:latin typeface="Verdana"/>
                    <a:ea typeface="Verdana"/>
                    <a:cs typeface="Verdana"/>
                  </a:defRPr>
                </a:pPr>
                <a:r>
                  <a:rPr lang="en-US"/>
                  <a:t>p</a:t>
                </a:r>
              </a:p>
            </c:rich>
          </c:tx>
          <c:layout>
            <c:manualLayout>
              <c:xMode val="edge"/>
              <c:yMode val="edge"/>
              <c:x val="0.53417721518987338"/>
              <c:y val="0.9171606951497925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Verdana"/>
                <a:ea typeface="Verdana"/>
                <a:cs typeface="Verdana"/>
              </a:defRPr>
            </a:pPr>
            <a:endParaRPr lang="en-CR"/>
          </a:p>
        </c:txPr>
        <c:crossAx val="1"/>
        <c:crosses val="autoZero"/>
        <c:crossBetween val="midCat"/>
      </c:val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Verdana"/>
                    <a:ea typeface="Verdana"/>
                    <a:cs typeface="Verdana"/>
                  </a:defRPr>
                </a:pPr>
                <a:r>
                  <a:rPr lang="en-US"/>
                  <a:t>Cps</a:t>
                </a:r>
              </a:p>
            </c:rich>
          </c:tx>
          <c:layout>
            <c:manualLayout>
              <c:xMode val="edge"/>
              <c:yMode val="edge"/>
              <c:x val="3.5443037974683546E-2"/>
              <c:y val="0.473373246983180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Verdana"/>
                <a:ea typeface="Verdana"/>
                <a:cs typeface="Verdana"/>
              </a:defRPr>
            </a:pPr>
            <a:endParaRPr lang="en-CR"/>
          </a:p>
        </c:txPr>
        <c:crossAx val="665514575"/>
        <c:crosses val="autoZero"/>
        <c:crossBetween val="midCat"/>
      </c:valAx>
      <c:spPr>
        <a:solidFill>
          <a:srgbClr val="CDCDCD"/>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CR"/>
    </a:p>
  </c:txPr>
  <c:printSettings>
    <c:headerFooter alignWithMargins="0"/>
    <c:pageMargins b="1" l="0.75" r="0.75"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Carta de Promedios</a:t>
            </a:r>
          </a:p>
        </c:rich>
      </c:tx>
      <c:overlay val="0"/>
    </c:title>
    <c:autoTitleDeleted val="0"/>
    <c:plotArea>
      <c:layout/>
      <c:lineChart>
        <c:grouping val="standard"/>
        <c:varyColors val="0"/>
        <c:ser>
          <c:idx val="0"/>
          <c:order val="0"/>
          <c:tx>
            <c:strRef>
              <c:f>'9CC'!$B$25</c:f>
              <c:strCache>
                <c:ptCount val="1"/>
                <c:pt idx="0">
                  <c:v>LSC</c:v>
                </c:pt>
              </c:strCache>
            </c:strRef>
          </c:tx>
          <c:val>
            <c:numRef>
              <c:f>'9CC'!$B$26:$B$45</c:f>
              <c:numCache>
                <c:formatCode>0.0</c:formatCode>
                <c:ptCount val="20"/>
                <c:pt idx="0">
                  <c:v>1014.0174999999999</c:v>
                </c:pt>
                <c:pt idx="1">
                  <c:v>1014.0174999999999</c:v>
                </c:pt>
                <c:pt idx="2">
                  <c:v>1014.0174999999999</c:v>
                </c:pt>
                <c:pt idx="3">
                  <c:v>1014.0174999999999</c:v>
                </c:pt>
                <c:pt idx="4">
                  <c:v>1014.0174999999999</c:v>
                </c:pt>
                <c:pt idx="5">
                  <c:v>1014.0174999999999</c:v>
                </c:pt>
                <c:pt idx="6">
                  <c:v>1014.0174999999999</c:v>
                </c:pt>
                <c:pt idx="7">
                  <c:v>1014.0174999999999</c:v>
                </c:pt>
                <c:pt idx="8">
                  <c:v>1014.0174999999999</c:v>
                </c:pt>
                <c:pt idx="9">
                  <c:v>1014.0174999999999</c:v>
                </c:pt>
                <c:pt idx="10">
                  <c:v>1014.0174999999999</c:v>
                </c:pt>
                <c:pt idx="11">
                  <c:v>1014.0174999999999</c:v>
                </c:pt>
                <c:pt idx="12">
                  <c:v>1014.0174999999999</c:v>
                </c:pt>
                <c:pt idx="13">
                  <c:v>1014.0174999999999</c:v>
                </c:pt>
                <c:pt idx="14">
                  <c:v>1014.0174999999999</c:v>
                </c:pt>
                <c:pt idx="15">
                  <c:v>1014.0174999999999</c:v>
                </c:pt>
                <c:pt idx="16">
                  <c:v>1014.0174999999999</c:v>
                </c:pt>
                <c:pt idx="17">
                  <c:v>1014.0174999999999</c:v>
                </c:pt>
                <c:pt idx="18">
                  <c:v>1014.0174999999999</c:v>
                </c:pt>
                <c:pt idx="19">
                  <c:v>1014.0174999999999</c:v>
                </c:pt>
              </c:numCache>
            </c:numRef>
          </c:val>
          <c:smooth val="0"/>
          <c:extLst>
            <c:ext xmlns:c16="http://schemas.microsoft.com/office/drawing/2014/chart" uri="{C3380CC4-5D6E-409C-BE32-E72D297353CC}">
              <c16:uniqueId val="{00000000-8AF6-684B-B6F7-4C0B7675FB32}"/>
            </c:ext>
          </c:extLst>
        </c:ser>
        <c:ser>
          <c:idx val="1"/>
          <c:order val="1"/>
          <c:tx>
            <c:strRef>
              <c:f>'9CC'!$C$25</c:f>
              <c:strCache>
                <c:ptCount val="1"/>
              </c:strCache>
            </c:strRef>
          </c:tx>
          <c:val>
            <c:numRef>
              <c:f>'9CC'!$C$26:$C$45</c:f>
              <c:numCache>
                <c:formatCode>0.00</c:formatCode>
                <c:ptCount val="20"/>
                <c:pt idx="0">
                  <c:v>997</c:v>
                </c:pt>
                <c:pt idx="1">
                  <c:v>1004.25</c:v>
                </c:pt>
                <c:pt idx="2">
                  <c:v>991</c:v>
                </c:pt>
                <c:pt idx="3">
                  <c:v>991</c:v>
                </c:pt>
                <c:pt idx="4">
                  <c:v>1003</c:v>
                </c:pt>
                <c:pt idx="5">
                  <c:v>990</c:v>
                </c:pt>
                <c:pt idx="6">
                  <c:v>1010</c:v>
                </c:pt>
                <c:pt idx="7">
                  <c:v>990</c:v>
                </c:pt>
                <c:pt idx="8">
                  <c:v>1008</c:v>
                </c:pt>
                <c:pt idx="9">
                  <c:v>998.5</c:v>
                </c:pt>
                <c:pt idx="10">
                  <c:v>985.5</c:v>
                </c:pt>
                <c:pt idx="11">
                  <c:v>1000</c:v>
                </c:pt>
                <c:pt idx="12">
                  <c:v>1007</c:v>
                </c:pt>
                <c:pt idx="13">
                  <c:v>990.25</c:v>
                </c:pt>
                <c:pt idx="14">
                  <c:v>998.25</c:v>
                </c:pt>
                <c:pt idx="15">
                  <c:v>999.25</c:v>
                </c:pt>
                <c:pt idx="16">
                  <c:v>1001.25</c:v>
                </c:pt>
                <c:pt idx="17">
                  <c:v>993.5</c:v>
                </c:pt>
                <c:pt idx="18">
                  <c:v>995.75</c:v>
                </c:pt>
                <c:pt idx="19">
                  <c:v>1002</c:v>
                </c:pt>
              </c:numCache>
            </c:numRef>
          </c:val>
          <c:smooth val="0"/>
          <c:extLst>
            <c:ext xmlns:c16="http://schemas.microsoft.com/office/drawing/2014/chart" uri="{C3380CC4-5D6E-409C-BE32-E72D297353CC}">
              <c16:uniqueId val="{00000001-8AF6-684B-B6F7-4C0B7675FB32}"/>
            </c:ext>
          </c:extLst>
        </c:ser>
        <c:ser>
          <c:idx val="2"/>
          <c:order val="2"/>
          <c:tx>
            <c:strRef>
              <c:f>'9CC'!$D$25</c:f>
              <c:strCache>
                <c:ptCount val="1"/>
                <c:pt idx="0">
                  <c:v>LIC</c:v>
                </c:pt>
              </c:strCache>
            </c:strRef>
          </c:tx>
          <c:val>
            <c:numRef>
              <c:f>'9CC'!$D$26:$D$45</c:f>
              <c:numCache>
                <c:formatCode>0.0</c:formatCode>
                <c:ptCount val="20"/>
                <c:pt idx="0">
                  <c:v>981.53250000000003</c:v>
                </c:pt>
                <c:pt idx="1">
                  <c:v>981.53250000000003</c:v>
                </c:pt>
                <c:pt idx="2">
                  <c:v>981.53250000000003</c:v>
                </c:pt>
                <c:pt idx="3">
                  <c:v>981.53250000000003</c:v>
                </c:pt>
                <c:pt idx="4">
                  <c:v>981.53250000000003</c:v>
                </c:pt>
                <c:pt idx="5">
                  <c:v>981.53250000000003</c:v>
                </c:pt>
                <c:pt idx="6">
                  <c:v>981.53250000000003</c:v>
                </c:pt>
                <c:pt idx="7">
                  <c:v>981.53250000000003</c:v>
                </c:pt>
                <c:pt idx="8">
                  <c:v>981.53250000000003</c:v>
                </c:pt>
                <c:pt idx="9">
                  <c:v>981.53250000000003</c:v>
                </c:pt>
                <c:pt idx="10">
                  <c:v>981.53250000000003</c:v>
                </c:pt>
                <c:pt idx="11">
                  <c:v>981.53250000000003</c:v>
                </c:pt>
                <c:pt idx="12">
                  <c:v>981.53250000000003</c:v>
                </c:pt>
                <c:pt idx="13">
                  <c:v>981.53250000000003</c:v>
                </c:pt>
                <c:pt idx="14">
                  <c:v>981.53250000000003</c:v>
                </c:pt>
                <c:pt idx="15">
                  <c:v>981.53250000000003</c:v>
                </c:pt>
                <c:pt idx="16">
                  <c:v>981.53250000000003</c:v>
                </c:pt>
                <c:pt idx="17">
                  <c:v>981.53250000000003</c:v>
                </c:pt>
                <c:pt idx="18">
                  <c:v>981.53250000000003</c:v>
                </c:pt>
                <c:pt idx="19">
                  <c:v>981.53250000000003</c:v>
                </c:pt>
              </c:numCache>
            </c:numRef>
          </c:val>
          <c:smooth val="0"/>
          <c:extLst>
            <c:ext xmlns:c16="http://schemas.microsoft.com/office/drawing/2014/chart" uri="{C3380CC4-5D6E-409C-BE32-E72D297353CC}">
              <c16:uniqueId val="{00000002-8AF6-684B-B6F7-4C0B7675FB32}"/>
            </c:ext>
          </c:extLst>
        </c:ser>
        <c:ser>
          <c:idx val="3"/>
          <c:order val="3"/>
          <c:tx>
            <c:strRef>
              <c:f>'9CC'!$E$25</c:f>
              <c:strCache>
                <c:ptCount val="1"/>
                <c:pt idx="0">
                  <c:v>LCC</c:v>
                </c:pt>
              </c:strCache>
            </c:strRef>
          </c:tx>
          <c:val>
            <c:numRef>
              <c:f>'9CC'!$E$26:$E$45</c:f>
              <c:numCache>
                <c:formatCode>0.0</c:formatCode>
                <c:ptCount val="20"/>
                <c:pt idx="0">
                  <c:v>997.77499999999998</c:v>
                </c:pt>
                <c:pt idx="1">
                  <c:v>997.77499999999998</c:v>
                </c:pt>
                <c:pt idx="2">
                  <c:v>997.77499999999998</c:v>
                </c:pt>
                <c:pt idx="3">
                  <c:v>997.77499999999998</c:v>
                </c:pt>
                <c:pt idx="4">
                  <c:v>997.77499999999998</c:v>
                </c:pt>
                <c:pt idx="5">
                  <c:v>997.77499999999998</c:v>
                </c:pt>
                <c:pt idx="6">
                  <c:v>997.77499999999998</c:v>
                </c:pt>
                <c:pt idx="7">
                  <c:v>997.77499999999998</c:v>
                </c:pt>
                <c:pt idx="8">
                  <c:v>997.77499999999998</c:v>
                </c:pt>
                <c:pt idx="9">
                  <c:v>997.77499999999998</c:v>
                </c:pt>
                <c:pt idx="10">
                  <c:v>997.77499999999998</c:v>
                </c:pt>
                <c:pt idx="11">
                  <c:v>997.77499999999998</c:v>
                </c:pt>
                <c:pt idx="12">
                  <c:v>997.77499999999998</c:v>
                </c:pt>
                <c:pt idx="13">
                  <c:v>997.77499999999998</c:v>
                </c:pt>
                <c:pt idx="14">
                  <c:v>997.77499999999998</c:v>
                </c:pt>
                <c:pt idx="15">
                  <c:v>997.77499999999998</c:v>
                </c:pt>
                <c:pt idx="16">
                  <c:v>997.77499999999998</c:v>
                </c:pt>
                <c:pt idx="17">
                  <c:v>997.77499999999998</c:v>
                </c:pt>
                <c:pt idx="18">
                  <c:v>997.77499999999998</c:v>
                </c:pt>
                <c:pt idx="19">
                  <c:v>997.77499999999998</c:v>
                </c:pt>
              </c:numCache>
            </c:numRef>
          </c:val>
          <c:smooth val="0"/>
          <c:extLst>
            <c:ext xmlns:c16="http://schemas.microsoft.com/office/drawing/2014/chart" uri="{C3380CC4-5D6E-409C-BE32-E72D297353CC}">
              <c16:uniqueId val="{00000003-8AF6-684B-B6F7-4C0B7675FB32}"/>
            </c:ext>
          </c:extLst>
        </c:ser>
        <c:dLbls>
          <c:showLegendKey val="0"/>
          <c:showVal val="0"/>
          <c:showCatName val="0"/>
          <c:showSerName val="0"/>
          <c:showPercent val="0"/>
          <c:showBubbleSize val="0"/>
        </c:dLbls>
        <c:marker val="1"/>
        <c:smooth val="0"/>
        <c:axId val="2129874024"/>
        <c:axId val="2124244632"/>
      </c:lineChart>
      <c:catAx>
        <c:axId val="2129874024"/>
        <c:scaling>
          <c:orientation val="minMax"/>
        </c:scaling>
        <c:delete val="0"/>
        <c:axPos val="b"/>
        <c:majorTickMark val="none"/>
        <c:minorTickMark val="none"/>
        <c:tickLblPos val="nextTo"/>
        <c:crossAx val="2124244632"/>
        <c:crosses val="autoZero"/>
        <c:auto val="1"/>
        <c:lblAlgn val="ctr"/>
        <c:lblOffset val="100"/>
        <c:noMultiLvlLbl val="0"/>
      </c:catAx>
      <c:valAx>
        <c:axId val="2124244632"/>
        <c:scaling>
          <c:orientation val="minMax"/>
          <c:min val="980"/>
        </c:scaling>
        <c:delete val="0"/>
        <c:axPos val="l"/>
        <c:majorGridlines/>
        <c:numFmt formatCode="0.0" sourceLinked="1"/>
        <c:majorTickMark val="none"/>
        <c:minorTickMark val="none"/>
        <c:tickLblPos val="nextTo"/>
        <c:spPr>
          <a:ln w="9525">
            <a:noFill/>
          </a:ln>
        </c:spPr>
        <c:crossAx val="2129874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Verdana"/>
                <a:ea typeface="Verdana"/>
                <a:cs typeface="Verdana"/>
              </a:defRPr>
            </a:pPr>
            <a:r>
              <a:rPr lang="en-US"/>
              <a:t>Gráfica p</a:t>
            </a:r>
          </a:p>
        </c:rich>
      </c:tx>
      <c:layout>
        <c:manualLayout>
          <c:xMode val="edge"/>
          <c:yMode val="edge"/>
          <c:x val="0.45909646207156385"/>
          <c:y val="2.9340783738644245E-2"/>
        </c:manualLayout>
      </c:layout>
      <c:overlay val="0"/>
      <c:spPr>
        <a:noFill/>
        <a:ln w="25400">
          <a:noFill/>
        </a:ln>
      </c:spPr>
    </c:title>
    <c:autoTitleDeleted val="0"/>
    <c:plotArea>
      <c:layout>
        <c:manualLayout>
          <c:layoutTarget val="inner"/>
          <c:xMode val="edge"/>
          <c:yMode val="edge"/>
          <c:x val="9.3815363988536959E-2"/>
          <c:y val="0.12469833088923805"/>
          <c:w val="0.88425970738131654"/>
          <c:h val="0.7946462262549483"/>
        </c:manualLayout>
      </c:layout>
      <c:lineChart>
        <c:grouping val="standard"/>
        <c:varyColors val="0"/>
        <c:ser>
          <c:idx val="0"/>
          <c:order val="0"/>
          <c:tx>
            <c:strRef>
              <c:f>'10CC'!$D$1</c:f>
              <c:strCache>
                <c:ptCount val="1"/>
                <c:pt idx="0">
                  <c:v>P</c:v>
                </c:pt>
              </c:strCache>
            </c:strRef>
          </c:tx>
          <c:spPr>
            <a:ln w="25400">
              <a:solidFill>
                <a:srgbClr val="63AAFE"/>
              </a:solidFill>
              <a:prstDash val="solid"/>
            </a:ln>
          </c:spPr>
          <c:marker>
            <c:symbol val="diamond"/>
            <c:size val="7"/>
            <c:spPr>
              <a:solidFill>
                <a:srgbClr val="63AAFE"/>
              </a:solidFill>
              <a:ln>
                <a:solidFill>
                  <a:srgbClr val="63AAFE"/>
                </a:solidFill>
                <a:prstDash val="solid"/>
              </a:ln>
              <a:effectLst>
                <a:outerShdw dist="35921" dir="2700000" algn="br">
                  <a:srgbClr val="000000"/>
                </a:outerShdw>
              </a:effectLst>
            </c:spPr>
          </c:marker>
          <c:val>
            <c:numRef>
              <c:f>'10CC'!$D$2:$D$21</c:f>
              <c:numCache>
                <c:formatCode>0.000</c:formatCode>
                <c:ptCount val="20"/>
                <c:pt idx="0">
                  <c:v>9.166666666666666E-2</c:v>
                </c:pt>
                <c:pt idx="1">
                  <c:v>8.3333333333333329E-2</c:v>
                </c:pt>
                <c:pt idx="2">
                  <c:v>5.8333333333333334E-2</c:v>
                </c:pt>
                <c:pt idx="3">
                  <c:v>8.3333333333333329E-2</c:v>
                </c:pt>
                <c:pt idx="4">
                  <c:v>3.3333333333333333E-2</c:v>
                </c:pt>
                <c:pt idx="5">
                  <c:v>0.1</c:v>
                </c:pt>
                <c:pt idx="6">
                  <c:v>6.6666666666666666E-2</c:v>
                </c:pt>
                <c:pt idx="7">
                  <c:v>4.1666666666666664E-2</c:v>
                </c:pt>
                <c:pt idx="8">
                  <c:v>0.11666666666666667</c:v>
                </c:pt>
                <c:pt idx="9">
                  <c:v>0.1</c:v>
                </c:pt>
                <c:pt idx="10">
                  <c:v>6.6666666666666666E-2</c:v>
                </c:pt>
                <c:pt idx="11">
                  <c:v>5.8333333333333334E-2</c:v>
                </c:pt>
                <c:pt idx="12">
                  <c:v>7.4999999999999997E-2</c:v>
                </c:pt>
                <c:pt idx="13">
                  <c:v>0.05</c:v>
                </c:pt>
                <c:pt idx="14">
                  <c:v>0.05</c:v>
                </c:pt>
                <c:pt idx="15">
                  <c:v>8.3333333333333332E-3</c:v>
                </c:pt>
                <c:pt idx="16">
                  <c:v>7.4999999999999997E-2</c:v>
                </c:pt>
                <c:pt idx="17">
                  <c:v>5.8333333333333334E-2</c:v>
                </c:pt>
                <c:pt idx="18">
                  <c:v>0.05</c:v>
                </c:pt>
                <c:pt idx="19">
                  <c:v>8.3333333333333329E-2</c:v>
                </c:pt>
              </c:numCache>
            </c:numRef>
          </c:val>
          <c:smooth val="0"/>
          <c:extLst>
            <c:ext xmlns:c16="http://schemas.microsoft.com/office/drawing/2014/chart" uri="{C3380CC4-5D6E-409C-BE32-E72D297353CC}">
              <c16:uniqueId val="{00000000-DAF5-FC49-AB1B-77B3003DFA21}"/>
            </c:ext>
          </c:extLst>
        </c:ser>
        <c:ser>
          <c:idx val="1"/>
          <c:order val="1"/>
          <c:tx>
            <c:strRef>
              <c:f>'10CC'!$E$1</c:f>
              <c:strCache>
                <c:ptCount val="1"/>
                <c:pt idx="0">
                  <c:v>Límite Superior</c:v>
                </c:pt>
              </c:strCache>
            </c:strRef>
          </c:tx>
          <c:spPr>
            <a:ln w="25400">
              <a:solidFill>
                <a:srgbClr val="DD2D32"/>
              </a:solidFill>
              <a:prstDash val="solid"/>
            </a:ln>
          </c:spPr>
          <c:marker>
            <c:symbol val="square"/>
            <c:size val="7"/>
            <c:spPr>
              <a:solidFill>
                <a:srgbClr val="DD2D32"/>
              </a:solidFill>
              <a:ln>
                <a:solidFill>
                  <a:srgbClr val="DD2D32"/>
                </a:solidFill>
                <a:prstDash val="solid"/>
              </a:ln>
              <a:effectLst>
                <a:outerShdw dist="35921" dir="2700000" algn="br">
                  <a:srgbClr val="000000"/>
                </a:outerShdw>
              </a:effectLst>
            </c:spPr>
          </c:marker>
          <c:val>
            <c:numRef>
              <c:f>'10CC'!$E$2:$E$21</c:f>
              <c:numCache>
                <c:formatCode>0.000</c:formatCode>
                <c:ptCount val="20"/>
                <c:pt idx="0">
                  <c:v>0.13620794168071113</c:v>
                </c:pt>
                <c:pt idx="1">
                  <c:v>0.13620794168071113</c:v>
                </c:pt>
                <c:pt idx="2">
                  <c:v>0.13620794168071113</c:v>
                </c:pt>
                <c:pt idx="3">
                  <c:v>0.13620794168071113</c:v>
                </c:pt>
                <c:pt idx="4">
                  <c:v>0.13620794168071113</c:v>
                </c:pt>
                <c:pt idx="5">
                  <c:v>0.13620794168071113</c:v>
                </c:pt>
                <c:pt idx="6">
                  <c:v>0.13620794168071113</c:v>
                </c:pt>
                <c:pt idx="7">
                  <c:v>0.13620794168071113</c:v>
                </c:pt>
                <c:pt idx="8">
                  <c:v>0.13620794168071113</c:v>
                </c:pt>
                <c:pt idx="9">
                  <c:v>0.13620794168071113</c:v>
                </c:pt>
                <c:pt idx="10">
                  <c:v>0.13620794168071113</c:v>
                </c:pt>
                <c:pt idx="11">
                  <c:v>0.13620794168071113</c:v>
                </c:pt>
                <c:pt idx="12">
                  <c:v>0.13620794168071113</c:v>
                </c:pt>
                <c:pt idx="13">
                  <c:v>0.13620794168071113</c:v>
                </c:pt>
                <c:pt idx="14">
                  <c:v>0.13620794168071113</c:v>
                </c:pt>
                <c:pt idx="15">
                  <c:v>0.13620794168071113</c:v>
                </c:pt>
                <c:pt idx="16">
                  <c:v>0.13620794168071113</c:v>
                </c:pt>
                <c:pt idx="17">
                  <c:v>0.13620794168071113</c:v>
                </c:pt>
                <c:pt idx="18">
                  <c:v>0.13620794168071113</c:v>
                </c:pt>
                <c:pt idx="19">
                  <c:v>0.13620794168071113</c:v>
                </c:pt>
              </c:numCache>
            </c:numRef>
          </c:val>
          <c:smooth val="0"/>
          <c:extLst>
            <c:ext xmlns:c16="http://schemas.microsoft.com/office/drawing/2014/chart" uri="{C3380CC4-5D6E-409C-BE32-E72D297353CC}">
              <c16:uniqueId val="{00000001-DAF5-FC49-AB1B-77B3003DFA21}"/>
            </c:ext>
          </c:extLst>
        </c:ser>
        <c:ser>
          <c:idx val="2"/>
          <c:order val="2"/>
          <c:tx>
            <c:strRef>
              <c:f>'10CC'!$F$1</c:f>
              <c:strCache>
                <c:ptCount val="1"/>
                <c:pt idx="0">
                  <c:v>Límite Central</c:v>
                </c:pt>
              </c:strCache>
            </c:strRef>
          </c:tx>
          <c:spPr>
            <a:ln w="25400">
              <a:solidFill>
                <a:srgbClr val="FFF58C"/>
              </a:solidFill>
              <a:prstDash val="solid"/>
            </a:ln>
          </c:spPr>
          <c:marker>
            <c:symbol val="triangle"/>
            <c:size val="7"/>
            <c:spPr>
              <a:solidFill>
                <a:srgbClr val="FFF58C"/>
              </a:solidFill>
              <a:ln>
                <a:solidFill>
                  <a:srgbClr val="FFF58C"/>
                </a:solidFill>
                <a:prstDash val="solid"/>
              </a:ln>
              <a:effectLst>
                <a:outerShdw dist="35921" dir="2700000" algn="br">
                  <a:srgbClr val="000000"/>
                </a:outerShdw>
              </a:effectLst>
            </c:spPr>
          </c:marker>
          <c:val>
            <c:numRef>
              <c:f>'10CC'!$F$2:$F$21</c:f>
              <c:numCache>
                <c:formatCode>0.000</c:formatCode>
                <c:ptCount val="20"/>
                <c:pt idx="0">
                  <c:v>6.7500000000000004E-2</c:v>
                </c:pt>
                <c:pt idx="1">
                  <c:v>6.7500000000000004E-2</c:v>
                </c:pt>
                <c:pt idx="2">
                  <c:v>6.7500000000000004E-2</c:v>
                </c:pt>
                <c:pt idx="3">
                  <c:v>6.7500000000000004E-2</c:v>
                </c:pt>
                <c:pt idx="4">
                  <c:v>6.7500000000000004E-2</c:v>
                </c:pt>
                <c:pt idx="5">
                  <c:v>6.7500000000000004E-2</c:v>
                </c:pt>
                <c:pt idx="6">
                  <c:v>6.7500000000000004E-2</c:v>
                </c:pt>
                <c:pt idx="7">
                  <c:v>6.7500000000000004E-2</c:v>
                </c:pt>
                <c:pt idx="8">
                  <c:v>6.7500000000000004E-2</c:v>
                </c:pt>
                <c:pt idx="9">
                  <c:v>6.7500000000000004E-2</c:v>
                </c:pt>
                <c:pt idx="10">
                  <c:v>6.7500000000000004E-2</c:v>
                </c:pt>
                <c:pt idx="11">
                  <c:v>6.7500000000000004E-2</c:v>
                </c:pt>
                <c:pt idx="12">
                  <c:v>6.7500000000000004E-2</c:v>
                </c:pt>
                <c:pt idx="13">
                  <c:v>6.7500000000000004E-2</c:v>
                </c:pt>
                <c:pt idx="14">
                  <c:v>6.7500000000000004E-2</c:v>
                </c:pt>
                <c:pt idx="15">
                  <c:v>6.7500000000000004E-2</c:v>
                </c:pt>
                <c:pt idx="16">
                  <c:v>6.7500000000000004E-2</c:v>
                </c:pt>
                <c:pt idx="17">
                  <c:v>6.7500000000000004E-2</c:v>
                </c:pt>
                <c:pt idx="18">
                  <c:v>6.7500000000000004E-2</c:v>
                </c:pt>
                <c:pt idx="19">
                  <c:v>6.7500000000000004E-2</c:v>
                </c:pt>
              </c:numCache>
            </c:numRef>
          </c:val>
          <c:smooth val="0"/>
          <c:extLst>
            <c:ext xmlns:c16="http://schemas.microsoft.com/office/drawing/2014/chart" uri="{C3380CC4-5D6E-409C-BE32-E72D297353CC}">
              <c16:uniqueId val="{00000002-DAF5-FC49-AB1B-77B3003DFA21}"/>
            </c:ext>
          </c:extLst>
        </c:ser>
        <c:ser>
          <c:idx val="3"/>
          <c:order val="3"/>
          <c:tx>
            <c:strRef>
              <c:f>'10CC'!$G$1</c:f>
              <c:strCache>
                <c:ptCount val="1"/>
                <c:pt idx="0">
                  <c:v>Límite Inferior</c:v>
                </c:pt>
              </c:strCache>
            </c:strRef>
          </c:tx>
          <c:spPr>
            <a:ln w="25400">
              <a:solidFill>
                <a:srgbClr val="4EE257"/>
              </a:solidFill>
              <a:prstDash val="solid"/>
            </a:ln>
          </c:spPr>
          <c:marker>
            <c:symbol val="x"/>
            <c:size val="7"/>
            <c:spPr>
              <a:noFill/>
              <a:ln>
                <a:solidFill>
                  <a:srgbClr val="4EE257"/>
                </a:solidFill>
                <a:prstDash val="solid"/>
              </a:ln>
              <a:effectLst>
                <a:outerShdw dist="35921" dir="2700000" algn="br">
                  <a:srgbClr val="000000"/>
                </a:outerShdw>
              </a:effectLst>
            </c:spPr>
          </c:marker>
          <c:val>
            <c:numRef>
              <c:f>'10CC'!$G$2:$G$21</c:f>
              <c:numCache>
                <c:formatCode>0.000</c:formatCode>
                <c:ptCount val="20"/>
                <c:pt idx="0">
                  <c:v>-1.2079416807111165E-3</c:v>
                </c:pt>
                <c:pt idx="1">
                  <c:v>-1.2079416807111165E-3</c:v>
                </c:pt>
                <c:pt idx="2">
                  <c:v>-1.2079416807111165E-3</c:v>
                </c:pt>
                <c:pt idx="3">
                  <c:v>-1.2079416807111165E-3</c:v>
                </c:pt>
                <c:pt idx="4">
                  <c:v>-1.2079416807111165E-3</c:v>
                </c:pt>
                <c:pt idx="5">
                  <c:v>-1.2079416807111165E-3</c:v>
                </c:pt>
                <c:pt idx="6">
                  <c:v>-1.2079416807111165E-3</c:v>
                </c:pt>
                <c:pt idx="7">
                  <c:v>-1.2079416807111165E-3</c:v>
                </c:pt>
                <c:pt idx="8">
                  <c:v>-1.2079416807111165E-3</c:v>
                </c:pt>
                <c:pt idx="9">
                  <c:v>-1.2079416807111165E-3</c:v>
                </c:pt>
                <c:pt idx="10">
                  <c:v>-1.2079416807111165E-3</c:v>
                </c:pt>
                <c:pt idx="11">
                  <c:v>-1.2079416807111165E-3</c:v>
                </c:pt>
                <c:pt idx="12">
                  <c:v>-1.2079416807111165E-3</c:v>
                </c:pt>
                <c:pt idx="13">
                  <c:v>-1.2079416807111165E-3</c:v>
                </c:pt>
                <c:pt idx="14">
                  <c:v>-1.2079416807111165E-3</c:v>
                </c:pt>
                <c:pt idx="15">
                  <c:v>-1.2079416807111165E-3</c:v>
                </c:pt>
                <c:pt idx="16">
                  <c:v>-1.2079416807111165E-3</c:v>
                </c:pt>
                <c:pt idx="17">
                  <c:v>-1.2079416807111165E-3</c:v>
                </c:pt>
                <c:pt idx="18">
                  <c:v>-1.2079416807111165E-3</c:v>
                </c:pt>
                <c:pt idx="19">
                  <c:v>-1.2079416807111165E-3</c:v>
                </c:pt>
              </c:numCache>
            </c:numRef>
          </c:val>
          <c:smooth val="0"/>
          <c:extLst>
            <c:ext xmlns:c16="http://schemas.microsoft.com/office/drawing/2014/chart" uri="{C3380CC4-5D6E-409C-BE32-E72D297353CC}">
              <c16:uniqueId val="{00000003-DAF5-FC49-AB1B-77B3003DFA21}"/>
            </c:ext>
          </c:extLst>
        </c:ser>
        <c:dLbls>
          <c:showLegendKey val="0"/>
          <c:showVal val="0"/>
          <c:showCatName val="0"/>
          <c:showSerName val="0"/>
          <c:showPercent val="0"/>
          <c:showBubbleSize val="0"/>
        </c:dLbls>
        <c:marker val="1"/>
        <c:smooth val="0"/>
        <c:axId val="1110270175"/>
        <c:axId val="1"/>
      </c:lineChart>
      <c:catAx>
        <c:axId val="1110270175"/>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Verdana"/>
                <a:ea typeface="Verdana"/>
                <a:cs typeface="Verdana"/>
              </a:defRPr>
            </a:pPr>
            <a:endParaRPr lang="en-CR"/>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Verdana"/>
                <a:ea typeface="Verdana"/>
                <a:cs typeface="Verdana"/>
              </a:defRPr>
            </a:pPr>
            <a:endParaRPr lang="en-CR"/>
          </a:p>
        </c:txPr>
        <c:crossAx val="1110270175"/>
        <c:crosses val="autoZero"/>
        <c:crossBetween val="between"/>
      </c:valAx>
      <c:spPr>
        <a:solidFill>
          <a:srgbClr val="CDCDCD"/>
        </a:solidFill>
        <a:ln w="12700">
          <a:solidFill>
            <a:srgbClr val="808080"/>
          </a:solidFill>
          <a:prstDash val="solid"/>
        </a:ln>
      </c:spPr>
    </c:plotArea>
    <c:legend>
      <c:legendPos val="b"/>
      <c:layout>
        <c:manualLayout>
          <c:xMode val="edge"/>
          <c:yMode val="edge"/>
          <c:x val="0.25350108992647225"/>
          <c:y val="0.95602053681749166"/>
          <c:w val="0.56488825550544597"/>
          <c:h val="3.1785849050197934E-2"/>
        </c:manualLayout>
      </c:layout>
      <c:overlay val="0"/>
      <c:spPr>
        <a:solidFill>
          <a:srgbClr val="FFFFFF"/>
        </a:solidFill>
        <a:ln w="25400">
          <a:noFill/>
        </a:ln>
      </c:spPr>
      <c:txPr>
        <a:bodyPr/>
        <a:lstStyle/>
        <a:p>
          <a:pPr>
            <a:defRPr sz="735" b="0" i="0" u="none" strike="noStrike" baseline="0">
              <a:solidFill>
                <a:srgbClr val="000000"/>
              </a:solidFill>
              <a:latin typeface="Verdana"/>
              <a:ea typeface="Verdana"/>
              <a:cs typeface="Verdana"/>
            </a:defRPr>
          </a:pPr>
          <a:endParaRPr lang="en-CR"/>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CR"/>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OC</a:t>
            </a:r>
            <a:r>
              <a:rPr lang="en-US" baseline="0"/>
              <a:t> Plan Militar 105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1"/>
          <c:order val="0"/>
          <c:tx>
            <c:strRef>
              <c:f>'3MA'!$D$34</c:f>
              <c:strCache>
                <c:ptCount val="1"/>
                <c:pt idx="0">
                  <c:v>PA</c:v>
                </c:pt>
              </c:strCache>
            </c:strRef>
          </c:tx>
          <c:spPr>
            <a:ln w="19050" cap="rnd">
              <a:solidFill>
                <a:schemeClr val="accent2"/>
              </a:solidFill>
              <a:round/>
            </a:ln>
            <a:effectLst/>
          </c:spPr>
          <c:marker>
            <c:symbol val="none"/>
          </c:marker>
          <c:xVal>
            <c:numRef>
              <c:f>'3MA'!$B$35:$B$41</c:f>
              <c:numCache>
                <c:formatCode>General</c:formatCode>
                <c:ptCount val="7"/>
                <c:pt idx="0">
                  <c:v>1E-3</c:v>
                </c:pt>
                <c:pt idx="1">
                  <c:v>5.0000000000000001E-3</c:v>
                </c:pt>
                <c:pt idx="2">
                  <c:v>0.01</c:v>
                </c:pt>
                <c:pt idx="3">
                  <c:v>0.02</c:v>
                </c:pt>
                <c:pt idx="4">
                  <c:v>0.03</c:v>
                </c:pt>
                <c:pt idx="5">
                  <c:v>0.04</c:v>
                </c:pt>
                <c:pt idx="6">
                  <c:v>0.05</c:v>
                </c:pt>
              </c:numCache>
            </c:numRef>
          </c:xVal>
          <c:yVal>
            <c:numRef>
              <c:f>'3MA'!$D$35:$D$41</c:f>
              <c:numCache>
                <c:formatCode>General</c:formatCode>
                <c:ptCount val="7"/>
                <c:pt idx="0">
                  <c:v>1</c:v>
                </c:pt>
                <c:pt idx="1">
                  <c:v>0.98099999999999998</c:v>
                </c:pt>
                <c:pt idx="2">
                  <c:v>0.85699999999999998</c:v>
                </c:pt>
                <c:pt idx="3">
                  <c:v>0.433</c:v>
                </c:pt>
                <c:pt idx="4">
                  <c:v>0.151</c:v>
                </c:pt>
                <c:pt idx="5">
                  <c:v>4.2000000000000003E-2</c:v>
                </c:pt>
                <c:pt idx="6" formatCode="0.000">
                  <c:v>0.01</c:v>
                </c:pt>
              </c:numCache>
            </c:numRef>
          </c:yVal>
          <c:smooth val="1"/>
          <c:extLst>
            <c:ext xmlns:c16="http://schemas.microsoft.com/office/drawing/2014/chart" uri="{C3380CC4-5D6E-409C-BE32-E72D297353CC}">
              <c16:uniqueId val="{00000001-8F8C-C646-97AF-EC508F4CA8D4}"/>
            </c:ext>
          </c:extLst>
        </c:ser>
        <c:dLbls>
          <c:showLegendKey val="0"/>
          <c:showVal val="0"/>
          <c:showCatName val="0"/>
          <c:showSerName val="0"/>
          <c:showPercent val="0"/>
          <c:showBubbleSize val="0"/>
        </c:dLbls>
        <c:axId val="464209056"/>
        <c:axId val="464210704"/>
      </c:scatterChart>
      <c:valAx>
        <c:axId val="464209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464210704"/>
        <c:crosses val="autoZero"/>
        <c:crossBetween val="midCat"/>
      </c:valAx>
      <c:valAx>
        <c:axId val="464210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4642090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AOQ Plan Militar 105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scatterChart>
        <c:scatterStyle val="smoothMarker"/>
        <c:varyColors val="0"/>
        <c:ser>
          <c:idx val="2"/>
          <c:order val="0"/>
          <c:tx>
            <c:strRef>
              <c:f>'3MA'!$E$34</c:f>
              <c:strCache>
                <c:ptCount val="1"/>
                <c:pt idx="0">
                  <c:v>AOQ</c:v>
                </c:pt>
              </c:strCache>
            </c:strRef>
          </c:tx>
          <c:spPr>
            <a:ln w="19050" cap="rnd">
              <a:solidFill>
                <a:schemeClr val="accent3"/>
              </a:solidFill>
              <a:round/>
            </a:ln>
            <a:effectLst/>
          </c:spPr>
          <c:marker>
            <c:symbol val="none"/>
          </c:marker>
          <c:xVal>
            <c:numRef>
              <c:f>'3MA'!$B$35:$B$41</c:f>
              <c:numCache>
                <c:formatCode>General</c:formatCode>
                <c:ptCount val="7"/>
                <c:pt idx="0">
                  <c:v>1E-3</c:v>
                </c:pt>
                <c:pt idx="1">
                  <c:v>5.0000000000000001E-3</c:v>
                </c:pt>
                <c:pt idx="2">
                  <c:v>0.01</c:v>
                </c:pt>
                <c:pt idx="3">
                  <c:v>0.02</c:v>
                </c:pt>
                <c:pt idx="4">
                  <c:v>0.03</c:v>
                </c:pt>
                <c:pt idx="5">
                  <c:v>0.04</c:v>
                </c:pt>
                <c:pt idx="6">
                  <c:v>0.05</c:v>
                </c:pt>
              </c:numCache>
            </c:numRef>
          </c:xVal>
          <c:yVal>
            <c:numRef>
              <c:f>'3MA'!$E$35:$E$41</c:f>
              <c:numCache>
                <c:formatCode>0.0000</c:formatCode>
                <c:ptCount val="7"/>
                <c:pt idx="0">
                  <c:v>1E-3</c:v>
                </c:pt>
                <c:pt idx="1">
                  <c:v>4.9049999999999996E-3</c:v>
                </c:pt>
                <c:pt idx="2">
                  <c:v>8.5699999999999995E-3</c:v>
                </c:pt>
                <c:pt idx="3">
                  <c:v>8.6599999999999993E-3</c:v>
                </c:pt>
                <c:pt idx="4">
                  <c:v>4.5299999999999993E-3</c:v>
                </c:pt>
                <c:pt idx="5">
                  <c:v>1.6800000000000001E-3</c:v>
                </c:pt>
                <c:pt idx="6">
                  <c:v>5.0000000000000001E-4</c:v>
                </c:pt>
              </c:numCache>
            </c:numRef>
          </c:yVal>
          <c:smooth val="1"/>
          <c:extLst>
            <c:ext xmlns:c16="http://schemas.microsoft.com/office/drawing/2014/chart" uri="{C3380CC4-5D6E-409C-BE32-E72D297353CC}">
              <c16:uniqueId val="{00000002-E0FA-4F41-A9D0-F58FF8F1CBDF}"/>
            </c:ext>
          </c:extLst>
        </c:ser>
        <c:dLbls>
          <c:showLegendKey val="0"/>
          <c:showVal val="0"/>
          <c:showCatName val="0"/>
          <c:showSerName val="0"/>
          <c:showPercent val="0"/>
          <c:showBubbleSize val="0"/>
        </c:dLbls>
        <c:axId val="486708400"/>
        <c:axId val="453390736"/>
      </c:scatterChart>
      <c:valAx>
        <c:axId val="486708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453390736"/>
        <c:crosses val="autoZero"/>
        <c:crossBetween val="midCat"/>
      </c:valAx>
      <c:valAx>
        <c:axId val="453390736"/>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4867084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OC</a:t>
            </a:r>
          </a:p>
        </c:rich>
      </c:tx>
      <c:overlay val="0"/>
      <c:spPr>
        <a:noFill/>
        <a:ln w="25400">
          <a:noFill/>
        </a:ln>
      </c:spPr>
    </c:title>
    <c:autoTitleDeleted val="0"/>
    <c:plotArea>
      <c:layout/>
      <c:scatterChart>
        <c:scatterStyle val="smoothMarker"/>
        <c:varyColors val="0"/>
        <c:ser>
          <c:idx val="1"/>
          <c:order val="0"/>
          <c:tx>
            <c:strRef>
              <c:f>'4MA'!$P$28</c:f>
              <c:strCache>
                <c:ptCount val="1"/>
                <c:pt idx="0">
                  <c:v>PA</c:v>
                </c:pt>
              </c:strCache>
            </c:strRef>
          </c:tx>
          <c:spPr>
            <a:ln w="25400">
              <a:solidFill>
                <a:srgbClr val="DD2D32"/>
              </a:solidFill>
              <a:prstDash val="solid"/>
            </a:ln>
          </c:spPr>
          <c:marker>
            <c:symbol val="none"/>
          </c:marker>
          <c:xVal>
            <c:numRef>
              <c:f>'4MA'!$N$29:$N$48</c:f>
              <c:numCache>
                <c:formatCode>General</c:formatCode>
                <c:ptCount val="2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numCache>
            </c:numRef>
          </c:xVal>
          <c:yVal>
            <c:numRef>
              <c:f>'4MA'!$P$29:$P$48</c:f>
              <c:numCache>
                <c:formatCode>0.000</c:formatCode>
                <c:ptCount val="20"/>
                <c:pt idx="0">
                  <c:v>1</c:v>
                </c:pt>
                <c:pt idx="1">
                  <c:v>1</c:v>
                </c:pt>
                <c:pt idx="2">
                  <c:v>0.997</c:v>
                </c:pt>
                <c:pt idx="3">
                  <c:v>0.98299999999999998</c:v>
                </c:pt>
                <c:pt idx="4">
                  <c:v>0.94899999999999995</c:v>
                </c:pt>
                <c:pt idx="5">
                  <c:v>0.88700000000000001</c:v>
                </c:pt>
                <c:pt idx="6">
                  <c:v>0.79700000000000004</c:v>
                </c:pt>
                <c:pt idx="7">
                  <c:v>0.68700000000000006</c:v>
                </c:pt>
                <c:pt idx="8">
                  <c:v>0.56899999999999995</c:v>
                </c:pt>
                <c:pt idx="9">
                  <c:v>0.45300000000000001</c:v>
                </c:pt>
                <c:pt idx="10">
                  <c:v>0.34799999999999998</c:v>
                </c:pt>
                <c:pt idx="11">
                  <c:v>0.25800000000000001</c:v>
                </c:pt>
                <c:pt idx="12">
                  <c:v>0.186</c:v>
                </c:pt>
                <c:pt idx="13">
                  <c:v>0.13100000000000001</c:v>
                </c:pt>
                <c:pt idx="14">
                  <c:v>0.09</c:v>
                </c:pt>
                <c:pt idx="15">
                  <c:v>0.06</c:v>
                </c:pt>
                <c:pt idx="16">
                  <c:v>0.04</c:v>
                </c:pt>
                <c:pt idx="17">
                  <c:v>2.5000000000000001E-2</c:v>
                </c:pt>
                <c:pt idx="18">
                  <c:v>1.6E-2</c:v>
                </c:pt>
                <c:pt idx="19">
                  <c:v>0.01</c:v>
                </c:pt>
              </c:numCache>
            </c:numRef>
          </c:yVal>
          <c:smooth val="1"/>
          <c:extLst>
            <c:ext xmlns:c16="http://schemas.microsoft.com/office/drawing/2014/chart" uri="{C3380CC4-5D6E-409C-BE32-E72D297353CC}">
              <c16:uniqueId val="{00000000-C0C0-5F4C-A941-EF2DD296E8F3}"/>
            </c:ext>
          </c:extLst>
        </c:ser>
        <c:dLbls>
          <c:showLegendKey val="0"/>
          <c:showVal val="0"/>
          <c:showCatName val="0"/>
          <c:showSerName val="0"/>
          <c:showPercent val="0"/>
          <c:showBubbleSize val="0"/>
        </c:dLbls>
        <c:axId val="713463551"/>
        <c:axId val="1"/>
      </c:scatterChart>
      <c:valAx>
        <c:axId val="713463551"/>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CR"/>
          </a:p>
        </c:txPr>
        <c:crossAx val="1"/>
        <c:crosses val="autoZero"/>
        <c:crossBetween val="midCat"/>
      </c:valAx>
      <c:valAx>
        <c:axId val="1"/>
        <c:scaling>
          <c:orientation val="minMax"/>
          <c:max val="1"/>
        </c:scaling>
        <c:delete val="0"/>
        <c:axPos val="l"/>
        <c:majorGridlines>
          <c:spPr>
            <a:ln w="3175">
              <a:solidFill>
                <a:srgbClr val="808080"/>
              </a:solidFill>
              <a:prstDash val="solid"/>
            </a:ln>
          </c:spPr>
        </c:majorGridlines>
        <c:numFmt formatCode="0.00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CR"/>
          </a:p>
        </c:txPr>
        <c:crossAx val="713463551"/>
        <c:crosses val="autoZero"/>
        <c:crossBetween val="midCat"/>
      </c:valAx>
      <c:spPr>
        <a:solidFill>
          <a:srgbClr val="FFFFFF"/>
        </a:solidFill>
        <a:ln w="25400">
          <a:noFill/>
        </a:ln>
      </c:spPr>
    </c:plotArea>
    <c:legend>
      <c:legendPos val="b"/>
      <c:overlay val="0"/>
      <c:spPr>
        <a:noFill/>
        <a:ln w="25400">
          <a:noFill/>
        </a:ln>
      </c:spPr>
      <c:txPr>
        <a:bodyPr/>
        <a:lstStyle/>
        <a:p>
          <a:pPr>
            <a:defRPr sz="920" b="0" i="0" u="none" strike="noStrike" baseline="0">
              <a:solidFill>
                <a:srgbClr val="000000"/>
              </a:solidFill>
              <a:latin typeface="Calibri"/>
              <a:ea typeface="Calibri"/>
              <a:cs typeface="Calibri"/>
            </a:defRPr>
          </a:pPr>
          <a:endParaRPr lang="en-C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CR"/>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CR"/>
        </a:p>
      </c:txPr>
    </c:title>
    <c:autoTitleDeleted val="0"/>
    <c:plotArea>
      <c:layout/>
      <c:scatterChart>
        <c:scatterStyle val="smoothMarker"/>
        <c:varyColors val="0"/>
        <c:ser>
          <c:idx val="2"/>
          <c:order val="0"/>
          <c:tx>
            <c:strRef>
              <c:f>'4MA'!$Q$28</c:f>
              <c:strCache>
                <c:ptCount val="1"/>
                <c:pt idx="0">
                  <c:v>AOQ</c:v>
                </c:pt>
              </c:strCache>
            </c:strRef>
          </c:tx>
          <c:spPr>
            <a:ln w="25400">
              <a:solidFill>
                <a:srgbClr val="A2BD90"/>
              </a:solidFill>
              <a:prstDash val="solid"/>
            </a:ln>
          </c:spPr>
          <c:marker>
            <c:symbol val="none"/>
          </c:marker>
          <c:xVal>
            <c:numRef>
              <c:f>'4MA'!$N$29:$N$52</c:f>
              <c:numCache>
                <c:formatCode>General</c:formatCode>
                <c:ptCount val="24"/>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0.25</c:v>
                </c:pt>
                <c:pt idx="23">
                  <c:v>0.28000000000000003</c:v>
                </c:pt>
              </c:numCache>
            </c:numRef>
          </c:xVal>
          <c:yVal>
            <c:numRef>
              <c:f>'4MA'!$Q$29:$Q$52</c:f>
              <c:numCache>
                <c:formatCode>0.0000</c:formatCode>
                <c:ptCount val="24"/>
                <c:pt idx="0">
                  <c:v>0.01</c:v>
                </c:pt>
                <c:pt idx="1">
                  <c:v>0.02</c:v>
                </c:pt>
                <c:pt idx="2">
                  <c:v>2.9909999999999999E-2</c:v>
                </c:pt>
                <c:pt idx="3">
                  <c:v>3.9320000000000001E-2</c:v>
                </c:pt>
                <c:pt idx="4">
                  <c:v>4.7449999999999999E-2</c:v>
                </c:pt>
                <c:pt idx="5">
                  <c:v>5.3219999999999996E-2</c:v>
                </c:pt>
                <c:pt idx="6">
                  <c:v>5.5790000000000006E-2</c:v>
                </c:pt>
                <c:pt idx="7">
                  <c:v>5.4960000000000009E-2</c:v>
                </c:pt>
                <c:pt idx="8">
                  <c:v>5.1209999999999992E-2</c:v>
                </c:pt>
                <c:pt idx="9">
                  <c:v>4.5300000000000007E-2</c:v>
                </c:pt>
                <c:pt idx="10">
                  <c:v>3.8279999999999995E-2</c:v>
                </c:pt>
                <c:pt idx="11">
                  <c:v>3.0960000000000001E-2</c:v>
                </c:pt>
                <c:pt idx="12">
                  <c:v>2.418E-2</c:v>
                </c:pt>
                <c:pt idx="13">
                  <c:v>1.8340000000000002E-2</c:v>
                </c:pt>
                <c:pt idx="14">
                  <c:v>1.35E-2</c:v>
                </c:pt>
                <c:pt idx="15">
                  <c:v>9.5999999999999992E-3</c:v>
                </c:pt>
                <c:pt idx="16">
                  <c:v>6.8000000000000005E-3</c:v>
                </c:pt>
                <c:pt idx="17">
                  <c:v>4.4999999999999997E-3</c:v>
                </c:pt>
                <c:pt idx="18">
                  <c:v>3.0400000000000002E-3</c:v>
                </c:pt>
                <c:pt idx="19">
                  <c:v>2E-3</c:v>
                </c:pt>
                <c:pt idx="20">
                  <c:v>1.2600000000000001E-3</c:v>
                </c:pt>
                <c:pt idx="21">
                  <c:v>6.6E-4</c:v>
                </c:pt>
                <c:pt idx="22">
                  <c:v>2.5000000000000001E-4</c:v>
                </c:pt>
                <c:pt idx="23">
                  <c:v>2.8000000000000003E-4</c:v>
                </c:pt>
              </c:numCache>
            </c:numRef>
          </c:yVal>
          <c:smooth val="1"/>
          <c:extLst>
            <c:ext xmlns:c16="http://schemas.microsoft.com/office/drawing/2014/chart" uri="{C3380CC4-5D6E-409C-BE32-E72D297353CC}">
              <c16:uniqueId val="{00000000-2FE1-8145-B611-871BE1CD77DE}"/>
            </c:ext>
          </c:extLst>
        </c:ser>
        <c:dLbls>
          <c:showLegendKey val="0"/>
          <c:showVal val="0"/>
          <c:showCatName val="0"/>
          <c:showSerName val="0"/>
          <c:showPercent val="0"/>
          <c:showBubbleSize val="0"/>
        </c:dLbls>
        <c:axId val="713536703"/>
        <c:axId val="1"/>
      </c:scatterChart>
      <c:valAx>
        <c:axId val="713536703"/>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CR"/>
          </a:p>
        </c:txPr>
        <c:crossAx val="1"/>
        <c:crosses val="autoZero"/>
        <c:crossBetween val="midCat"/>
      </c:valAx>
      <c:valAx>
        <c:axId val="1"/>
        <c:scaling>
          <c:orientation val="minMax"/>
        </c:scaling>
        <c:delete val="0"/>
        <c:axPos val="l"/>
        <c:majorGridlines>
          <c:spPr>
            <a:ln w="3175">
              <a:solidFill>
                <a:srgbClr val="808080"/>
              </a:solidFill>
              <a:prstDash val="solid"/>
            </a:ln>
          </c:spPr>
        </c:majorGridlines>
        <c:numFmt formatCode="0.000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CR"/>
          </a:p>
        </c:txPr>
        <c:crossAx val="713536703"/>
        <c:crosses val="autoZero"/>
        <c:crossBetween val="midCat"/>
      </c:valAx>
      <c:spPr>
        <a:solidFill>
          <a:srgbClr val="FFFFFF"/>
        </a:solidFill>
        <a:ln w="25400">
          <a:noFill/>
        </a:ln>
      </c:spPr>
    </c:plotArea>
    <c:legend>
      <c:legendPos val="b"/>
      <c:overlay val="0"/>
      <c:spPr>
        <a:noFill/>
        <a:ln w="25400">
          <a:noFill/>
        </a:ln>
      </c:spPr>
      <c:txPr>
        <a:bodyPr/>
        <a:lstStyle/>
        <a:p>
          <a:pPr>
            <a:defRPr sz="920" b="0" i="0" u="none" strike="noStrike" baseline="0">
              <a:solidFill>
                <a:srgbClr val="000000"/>
              </a:solidFill>
              <a:latin typeface="Calibri"/>
              <a:ea typeface="Calibri"/>
              <a:cs typeface="Calibri"/>
            </a:defRPr>
          </a:pPr>
          <a:endParaRPr lang="en-C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CR"/>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2.png"/><Relationship Id="rId4"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3.png"/><Relationship Id="rId4" Type="http://schemas.openxmlformats.org/officeDocument/2006/relationships/image" Target="../media/image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45.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5.png"/></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4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9.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6</xdr:col>
      <xdr:colOff>57150</xdr:colOff>
      <xdr:row>2</xdr:row>
      <xdr:rowOff>12700</xdr:rowOff>
    </xdr:from>
    <xdr:to>
      <xdr:col>11</xdr:col>
      <xdr:colOff>152400</xdr:colOff>
      <xdr:row>29</xdr:row>
      <xdr:rowOff>63500</xdr:rowOff>
    </xdr:to>
    <xdr:graphicFrame macro="">
      <xdr:nvGraphicFramePr>
        <xdr:cNvPr id="2" name="Chart 1">
          <a:extLst>
            <a:ext uri="{FF2B5EF4-FFF2-40B4-BE49-F238E27FC236}">
              <a16:creationId xmlns:a16="http://schemas.microsoft.com/office/drawing/2014/main" id="{ADCC4680-4A74-4B4C-9A8E-B757C3BCE4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463550</xdr:colOff>
      <xdr:row>2</xdr:row>
      <xdr:rowOff>25400</xdr:rowOff>
    </xdr:from>
    <xdr:to>
      <xdr:col>17</xdr:col>
      <xdr:colOff>228600</xdr:colOff>
      <xdr:row>28</xdr:row>
      <xdr:rowOff>139700</xdr:rowOff>
    </xdr:to>
    <xdr:graphicFrame macro="">
      <xdr:nvGraphicFramePr>
        <xdr:cNvPr id="3" name="Chart 2">
          <a:extLst>
            <a:ext uri="{FF2B5EF4-FFF2-40B4-BE49-F238E27FC236}">
              <a16:creationId xmlns:a16="http://schemas.microsoft.com/office/drawing/2014/main" id="{C3033A94-4223-D74E-9B43-393A987DBB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859367</xdr:colOff>
      <xdr:row>3</xdr:row>
      <xdr:rowOff>4233</xdr:rowOff>
    </xdr:from>
    <xdr:to>
      <xdr:col>17</xdr:col>
      <xdr:colOff>457200</xdr:colOff>
      <xdr:row>27</xdr:row>
      <xdr:rowOff>67733</xdr:rowOff>
    </xdr:to>
    <xdr:graphicFrame macro="">
      <xdr:nvGraphicFramePr>
        <xdr:cNvPr id="2" name="Chart 1">
          <a:extLst>
            <a:ext uri="{FF2B5EF4-FFF2-40B4-BE49-F238E27FC236}">
              <a16:creationId xmlns:a16="http://schemas.microsoft.com/office/drawing/2014/main" id="{0D2076BB-A611-DF4A-9C9B-14ECBE7C1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69850</xdr:colOff>
      <xdr:row>34</xdr:row>
      <xdr:rowOff>25400</xdr:rowOff>
    </xdr:from>
    <xdr:to>
      <xdr:col>17</xdr:col>
      <xdr:colOff>63500</xdr:colOff>
      <xdr:row>54</xdr:row>
      <xdr:rowOff>0</xdr:rowOff>
    </xdr:to>
    <xdr:graphicFrame macro="">
      <xdr:nvGraphicFramePr>
        <xdr:cNvPr id="4" name="Chart 3">
          <a:extLst>
            <a:ext uri="{FF2B5EF4-FFF2-40B4-BE49-F238E27FC236}">
              <a16:creationId xmlns:a16="http://schemas.microsoft.com/office/drawing/2014/main" id="{338F1967-8E40-834B-A8A5-2B4AADE1F9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273050</xdr:colOff>
      <xdr:row>34</xdr:row>
      <xdr:rowOff>38100</xdr:rowOff>
    </xdr:from>
    <xdr:to>
      <xdr:col>10</xdr:col>
      <xdr:colOff>647700</xdr:colOff>
      <xdr:row>53</xdr:row>
      <xdr:rowOff>139700</xdr:rowOff>
    </xdr:to>
    <xdr:graphicFrame macro="">
      <xdr:nvGraphicFramePr>
        <xdr:cNvPr id="5" name="Chart 4">
          <a:extLst>
            <a:ext uri="{FF2B5EF4-FFF2-40B4-BE49-F238E27FC236}">
              <a16:creationId xmlns:a16="http://schemas.microsoft.com/office/drawing/2014/main" id="{7A618A64-11E2-5D45-85A5-BE8CEA1973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46080</xdr:colOff>
      <xdr:row>11</xdr:row>
      <xdr:rowOff>44506</xdr:rowOff>
    </xdr:from>
    <xdr:to>
      <xdr:col>5</xdr:col>
      <xdr:colOff>719292</xdr:colOff>
      <xdr:row>29</xdr:row>
      <xdr:rowOff>146106</xdr:rowOff>
    </xdr:to>
    <xdr:graphicFrame macro="">
      <xdr:nvGraphicFramePr>
        <xdr:cNvPr id="5" name="Chart 4">
          <a:extLst>
            <a:ext uri="{FF2B5EF4-FFF2-40B4-BE49-F238E27FC236}">
              <a16:creationId xmlns:a16="http://schemas.microsoft.com/office/drawing/2014/main" id="{970DD17A-38E1-0B4E-81C2-BB951E30DC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349531</xdr:colOff>
      <xdr:row>11</xdr:row>
      <xdr:rowOff>33268</xdr:rowOff>
    </xdr:from>
    <xdr:to>
      <xdr:col>11</xdr:col>
      <xdr:colOff>696814</xdr:colOff>
      <xdr:row>29</xdr:row>
      <xdr:rowOff>168584</xdr:rowOff>
    </xdr:to>
    <xdr:graphicFrame macro="">
      <xdr:nvGraphicFramePr>
        <xdr:cNvPr id="6" name="Chart 5">
          <a:extLst>
            <a:ext uri="{FF2B5EF4-FFF2-40B4-BE49-F238E27FC236}">
              <a16:creationId xmlns:a16="http://schemas.microsoft.com/office/drawing/2014/main" id="{606459E1-3B16-8D43-B2F3-3C1EBEEBDE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67734</xdr:colOff>
      <xdr:row>22</xdr:row>
      <xdr:rowOff>139701</xdr:rowOff>
    </xdr:from>
    <xdr:to>
      <xdr:col>12</xdr:col>
      <xdr:colOff>381000</xdr:colOff>
      <xdr:row>41</xdr:row>
      <xdr:rowOff>165100</xdr:rowOff>
    </xdr:to>
    <xdr:graphicFrame macro="">
      <xdr:nvGraphicFramePr>
        <xdr:cNvPr id="2" name="Chart 1">
          <a:extLst>
            <a:ext uri="{FF2B5EF4-FFF2-40B4-BE49-F238E27FC236}">
              <a16:creationId xmlns:a16="http://schemas.microsoft.com/office/drawing/2014/main" id="{2019ACC9-F112-9E44-8FA9-14AE812F3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533400</xdr:colOff>
      <xdr:row>22</xdr:row>
      <xdr:rowOff>146050</xdr:rowOff>
    </xdr:from>
    <xdr:to>
      <xdr:col>17</xdr:col>
      <xdr:colOff>673100</xdr:colOff>
      <xdr:row>41</xdr:row>
      <xdr:rowOff>152400</xdr:rowOff>
    </xdr:to>
    <xdr:graphicFrame macro="">
      <xdr:nvGraphicFramePr>
        <xdr:cNvPr id="4" name="Chart 3">
          <a:extLst>
            <a:ext uri="{FF2B5EF4-FFF2-40B4-BE49-F238E27FC236}">
              <a16:creationId xmlns:a16="http://schemas.microsoft.com/office/drawing/2014/main" id="{E888260F-F1EC-FC4B-A14D-C15FA25CD4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292100</xdr:colOff>
      <xdr:row>35</xdr:row>
      <xdr:rowOff>6350</xdr:rowOff>
    </xdr:from>
    <xdr:to>
      <xdr:col>12</xdr:col>
      <xdr:colOff>393700</xdr:colOff>
      <xdr:row>56</xdr:row>
      <xdr:rowOff>190500</xdr:rowOff>
    </xdr:to>
    <xdr:graphicFrame macro="">
      <xdr:nvGraphicFramePr>
        <xdr:cNvPr id="3" name="Chart 2">
          <a:extLst>
            <a:ext uri="{FF2B5EF4-FFF2-40B4-BE49-F238E27FC236}">
              <a16:creationId xmlns:a16="http://schemas.microsoft.com/office/drawing/2014/main" id="{878D6042-6F54-B144-BE29-A1D36B00C8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622300</xdr:colOff>
      <xdr:row>35</xdr:row>
      <xdr:rowOff>6350</xdr:rowOff>
    </xdr:from>
    <xdr:to>
      <xdr:col>16</xdr:col>
      <xdr:colOff>381000</xdr:colOff>
      <xdr:row>56</xdr:row>
      <xdr:rowOff>177800</xdr:rowOff>
    </xdr:to>
    <xdr:graphicFrame macro="">
      <xdr:nvGraphicFramePr>
        <xdr:cNvPr id="4" name="Chart 3">
          <a:extLst>
            <a:ext uri="{FF2B5EF4-FFF2-40B4-BE49-F238E27FC236}">
              <a16:creationId xmlns:a16="http://schemas.microsoft.com/office/drawing/2014/main" id="{2EC8CFBD-C59C-DF46-AA9C-E44CF540C8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387575</xdr:colOff>
      <xdr:row>4</xdr:row>
      <xdr:rowOff>146277</xdr:rowOff>
    </xdr:from>
    <xdr:to>
      <xdr:col>17</xdr:col>
      <xdr:colOff>338667</xdr:colOff>
      <xdr:row>23</xdr:row>
      <xdr:rowOff>55034</xdr:rowOff>
    </xdr:to>
    <xdr:graphicFrame macro="">
      <xdr:nvGraphicFramePr>
        <xdr:cNvPr id="3" name="Chart 2">
          <a:extLst>
            <a:ext uri="{FF2B5EF4-FFF2-40B4-BE49-F238E27FC236}">
              <a16:creationId xmlns:a16="http://schemas.microsoft.com/office/drawing/2014/main" id="{B094A498-8394-6744-AAB5-44439FEE3E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90970</xdr:colOff>
      <xdr:row>4</xdr:row>
      <xdr:rowOff>134385</xdr:rowOff>
    </xdr:from>
    <xdr:to>
      <xdr:col>11</xdr:col>
      <xdr:colOff>264808</xdr:colOff>
      <xdr:row>23</xdr:row>
      <xdr:rowOff>78360</xdr:rowOff>
    </xdr:to>
    <xdr:graphicFrame macro="">
      <xdr:nvGraphicFramePr>
        <xdr:cNvPr id="4" name="Chart 3">
          <a:extLst>
            <a:ext uri="{FF2B5EF4-FFF2-40B4-BE49-F238E27FC236}">
              <a16:creationId xmlns:a16="http://schemas.microsoft.com/office/drawing/2014/main" id="{19999A5F-4229-6E40-BB92-7F59BAA059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450850</xdr:colOff>
      <xdr:row>0</xdr:row>
      <xdr:rowOff>107950</xdr:rowOff>
    </xdr:from>
    <xdr:to>
      <xdr:col>17</xdr:col>
      <xdr:colOff>12700</xdr:colOff>
      <xdr:row>21</xdr:row>
      <xdr:rowOff>76200</xdr:rowOff>
    </xdr:to>
    <xdr:graphicFrame macro="">
      <xdr:nvGraphicFramePr>
        <xdr:cNvPr id="3" name="Chart 2">
          <a:extLst>
            <a:ext uri="{FF2B5EF4-FFF2-40B4-BE49-F238E27FC236}">
              <a16:creationId xmlns:a16="http://schemas.microsoft.com/office/drawing/2014/main" id="{DE53F457-C478-B048-82F6-F33EDE8C9C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133350</xdr:colOff>
      <xdr:row>0</xdr:row>
      <xdr:rowOff>120650</xdr:rowOff>
    </xdr:from>
    <xdr:to>
      <xdr:col>22</xdr:col>
      <xdr:colOff>635000</xdr:colOff>
      <xdr:row>21</xdr:row>
      <xdr:rowOff>50800</xdr:rowOff>
    </xdr:to>
    <xdr:graphicFrame macro="">
      <xdr:nvGraphicFramePr>
        <xdr:cNvPr id="4" name="Chart 3">
          <a:extLst>
            <a:ext uri="{FF2B5EF4-FFF2-40B4-BE49-F238E27FC236}">
              <a16:creationId xmlns:a16="http://schemas.microsoft.com/office/drawing/2014/main" id="{67554A2D-6FD8-DE4D-A4BB-60B267D9A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448733</xdr:colOff>
      <xdr:row>6</xdr:row>
      <xdr:rowOff>8466</xdr:rowOff>
    </xdr:from>
    <xdr:to>
      <xdr:col>11</xdr:col>
      <xdr:colOff>635000</xdr:colOff>
      <xdr:row>24</xdr:row>
      <xdr:rowOff>25400</xdr:rowOff>
    </xdr:to>
    <xdr:graphicFrame macro="">
      <xdr:nvGraphicFramePr>
        <xdr:cNvPr id="3" name="Chart 2">
          <a:extLst>
            <a:ext uri="{FF2B5EF4-FFF2-40B4-BE49-F238E27FC236}">
              <a16:creationId xmlns:a16="http://schemas.microsoft.com/office/drawing/2014/main" id="{6B98BF07-A1E6-CF4A-8807-B377329F1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719666</xdr:colOff>
      <xdr:row>6</xdr:row>
      <xdr:rowOff>8466</xdr:rowOff>
    </xdr:from>
    <xdr:to>
      <xdr:col>17</xdr:col>
      <xdr:colOff>317500</xdr:colOff>
      <xdr:row>24</xdr:row>
      <xdr:rowOff>10583</xdr:rowOff>
    </xdr:to>
    <xdr:graphicFrame macro="">
      <xdr:nvGraphicFramePr>
        <xdr:cNvPr id="4" name="Chart 3">
          <a:extLst>
            <a:ext uri="{FF2B5EF4-FFF2-40B4-BE49-F238E27FC236}">
              <a16:creationId xmlns:a16="http://schemas.microsoft.com/office/drawing/2014/main" id="{79239283-AF52-D94A-97F0-1110C47DD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7</xdr:col>
      <xdr:colOff>825499</xdr:colOff>
      <xdr:row>1</xdr:row>
      <xdr:rowOff>12700</xdr:rowOff>
    </xdr:from>
    <xdr:ext cx="10210093" cy="7104046"/>
    <xdr:pic>
      <xdr:nvPicPr>
        <xdr:cNvPr id="2" name="Picture 1">
          <a:extLst>
            <a:ext uri="{FF2B5EF4-FFF2-40B4-BE49-F238E27FC236}">
              <a16:creationId xmlns:a16="http://schemas.microsoft.com/office/drawing/2014/main" id="{367015D7-0933-7D49-AD98-E196EDB65A6C}"/>
            </a:ext>
          </a:extLst>
        </xdr:cNvPr>
        <xdr:cNvPicPr>
          <a:picLocks noChangeAspect="1"/>
        </xdr:cNvPicPr>
      </xdr:nvPicPr>
      <xdr:blipFill>
        <a:blip xmlns:r="http://schemas.openxmlformats.org/officeDocument/2006/relationships" r:embed="rId1"/>
        <a:stretch>
          <a:fillRect/>
        </a:stretch>
      </xdr:blipFill>
      <xdr:spPr>
        <a:xfrm>
          <a:off x="6603999" y="215900"/>
          <a:ext cx="10210093" cy="710404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8</xdr:col>
      <xdr:colOff>228600</xdr:colOff>
      <xdr:row>2</xdr:row>
      <xdr:rowOff>88900</xdr:rowOff>
    </xdr:from>
    <xdr:to>
      <xdr:col>17</xdr:col>
      <xdr:colOff>558800</xdr:colOff>
      <xdr:row>28</xdr:row>
      <xdr:rowOff>63500</xdr:rowOff>
    </xdr:to>
    <xdr:graphicFrame macro="">
      <xdr:nvGraphicFramePr>
        <xdr:cNvPr id="2" name="Chart 1">
          <a:extLst>
            <a:ext uri="{FF2B5EF4-FFF2-40B4-BE49-F238E27FC236}">
              <a16:creationId xmlns:a16="http://schemas.microsoft.com/office/drawing/2014/main" id="{03BDD8AD-8E9E-C541-8A73-783A4060C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419103</xdr:colOff>
      <xdr:row>1</xdr:row>
      <xdr:rowOff>74273</xdr:rowOff>
    </xdr:from>
    <xdr:to>
      <xdr:col>10</xdr:col>
      <xdr:colOff>402168</xdr:colOff>
      <xdr:row>21</xdr:row>
      <xdr:rowOff>84664</xdr:rowOff>
    </xdr:to>
    <xdr:graphicFrame macro="">
      <xdr:nvGraphicFramePr>
        <xdr:cNvPr id="2" name="Chart 2">
          <a:extLst>
            <a:ext uri="{FF2B5EF4-FFF2-40B4-BE49-F238E27FC236}">
              <a16:creationId xmlns:a16="http://schemas.microsoft.com/office/drawing/2014/main" id="{BE69DAA3-C982-2F4F-ABA8-E573B649B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55806</xdr:colOff>
      <xdr:row>28</xdr:row>
      <xdr:rowOff>34636</xdr:rowOff>
    </xdr:from>
    <xdr:to>
      <xdr:col>6</xdr:col>
      <xdr:colOff>2</xdr:colOff>
      <xdr:row>46</xdr:row>
      <xdr:rowOff>143164</xdr:rowOff>
    </xdr:to>
    <xdr:graphicFrame macro="">
      <xdr:nvGraphicFramePr>
        <xdr:cNvPr id="3" name="Chart 3">
          <a:extLst>
            <a:ext uri="{FF2B5EF4-FFF2-40B4-BE49-F238E27FC236}">
              <a16:creationId xmlns:a16="http://schemas.microsoft.com/office/drawing/2014/main" id="{8B395088-6808-8E4E-BB4F-8EA4D5C58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106793</xdr:colOff>
      <xdr:row>28</xdr:row>
      <xdr:rowOff>37520</xdr:rowOff>
    </xdr:from>
    <xdr:to>
      <xdr:col>11</xdr:col>
      <xdr:colOff>665787</xdr:colOff>
      <xdr:row>47</xdr:row>
      <xdr:rowOff>14432</xdr:rowOff>
    </xdr:to>
    <xdr:graphicFrame macro="">
      <xdr:nvGraphicFramePr>
        <xdr:cNvPr id="4" name="Chart 4">
          <a:extLst>
            <a:ext uri="{FF2B5EF4-FFF2-40B4-BE49-F238E27FC236}">
              <a16:creationId xmlns:a16="http://schemas.microsoft.com/office/drawing/2014/main" id="{9BAAE5CB-FCAD-AC4C-8B1A-0DD815F7D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1360631</xdr:colOff>
      <xdr:row>32</xdr:row>
      <xdr:rowOff>74084</xdr:rowOff>
    </xdr:from>
    <xdr:to>
      <xdr:col>2</xdr:col>
      <xdr:colOff>1601931</xdr:colOff>
      <xdr:row>33</xdr:row>
      <xdr:rowOff>162983</xdr:rowOff>
    </xdr:to>
    <xdr:sp macro="" textlink="">
      <xdr:nvSpPr>
        <xdr:cNvPr id="5" name="Oval 5">
          <a:extLst>
            <a:ext uri="{FF2B5EF4-FFF2-40B4-BE49-F238E27FC236}">
              <a16:creationId xmlns:a16="http://schemas.microsoft.com/office/drawing/2014/main" id="{22FFF7CA-6CA4-4E43-A08E-E9CE691893DF}"/>
            </a:ext>
          </a:extLst>
        </xdr:cNvPr>
        <xdr:cNvSpPr>
          <a:spLocks noChangeArrowheads="1"/>
        </xdr:cNvSpPr>
      </xdr:nvSpPr>
      <xdr:spPr bwMode="auto">
        <a:xfrm>
          <a:off x="2143798" y="5566834"/>
          <a:ext cx="241300" cy="258232"/>
        </a:xfrm>
        <a:prstGeom prst="ellipse">
          <a:avLst/>
        </a:prstGeom>
        <a:noFill/>
        <a:ln w="9525">
          <a:solidFill>
            <a:srgbClr val="DD0806"/>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668867</xdr:colOff>
      <xdr:row>0</xdr:row>
      <xdr:rowOff>76201</xdr:rowOff>
    </xdr:from>
    <xdr:to>
      <xdr:col>25</xdr:col>
      <xdr:colOff>266700</xdr:colOff>
      <xdr:row>14</xdr:row>
      <xdr:rowOff>93134</xdr:rowOff>
    </xdr:to>
    <xdr:graphicFrame macro="">
      <xdr:nvGraphicFramePr>
        <xdr:cNvPr id="2" name="Chart 1" title="Gráfica X">
          <a:extLst>
            <a:ext uri="{FF2B5EF4-FFF2-40B4-BE49-F238E27FC236}">
              <a16:creationId xmlns:a16="http://schemas.microsoft.com/office/drawing/2014/main" id="{538E05B5-49E6-4E45-A183-72422A185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673100</xdr:colOff>
      <xdr:row>0</xdr:row>
      <xdr:rowOff>93133</xdr:rowOff>
    </xdr:from>
    <xdr:to>
      <xdr:col>19</xdr:col>
      <xdr:colOff>270933</xdr:colOff>
      <xdr:row>14</xdr:row>
      <xdr:rowOff>110066</xdr:rowOff>
    </xdr:to>
    <xdr:graphicFrame macro="">
      <xdr:nvGraphicFramePr>
        <xdr:cNvPr id="3" name="Chart 2">
          <a:extLst>
            <a:ext uri="{FF2B5EF4-FFF2-40B4-BE49-F238E27FC236}">
              <a16:creationId xmlns:a16="http://schemas.microsoft.com/office/drawing/2014/main" id="{29A2F9A4-C89B-9B49-9F47-18AA7BB3E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21</xdr:row>
      <xdr:rowOff>25400</xdr:rowOff>
    </xdr:from>
    <xdr:to>
      <xdr:col>19</xdr:col>
      <xdr:colOff>444500</xdr:colOff>
      <xdr:row>35</xdr:row>
      <xdr:rowOff>101600</xdr:rowOff>
    </xdr:to>
    <xdr:graphicFrame macro="">
      <xdr:nvGraphicFramePr>
        <xdr:cNvPr id="4" name="Chart 3">
          <a:extLst>
            <a:ext uri="{FF2B5EF4-FFF2-40B4-BE49-F238E27FC236}">
              <a16:creationId xmlns:a16="http://schemas.microsoft.com/office/drawing/2014/main" id="{41009767-2D2A-F44C-98F0-7880C611E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12700</xdr:colOff>
      <xdr:row>21</xdr:row>
      <xdr:rowOff>38100</xdr:rowOff>
    </xdr:from>
    <xdr:to>
      <xdr:col>25</xdr:col>
      <xdr:colOff>457200</xdr:colOff>
      <xdr:row>35</xdr:row>
      <xdr:rowOff>114300</xdr:rowOff>
    </xdr:to>
    <xdr:graphicFrame macro="">
      <xdr:nvGraphicFramePr>
        <xdr:cNvPr id="5" name="Chart 4">
          <a:extLst>
            <a:ext uri="{FF2B5EF4-FFF2-40B4-BE49-F238E27FC236}">
              <a16:creationId xmlns:a16="http://schemas.microsoft.com/office/drawing/2014/main" id="{BADE4F26-00C2-6444-808D-5A0A0E5B4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381000</xdr:colOff>
      <xdr:row>58</xdr:row>
      <xdr:rowOff>76200</xdr:rowOff>
    </xdr:from>
    <xdr:to>
      <xdr:col>7</xdr:col>
      <xdr:colOff>139700</xdr:colOff>
      <xdr:row>80</xdr:row>
      <xdr:rowOff>0</xdr:rowOff>
    </xdr:to>
    <xdr:pic>
      <xdr:nvPicPr>
        <xdr:cNvPr id="2" name="Picture 15">
          <a:extLst>
            <a:ext uri="{FF2B5EF4-FFF2-40B4-BE49-F238E27FC236}">
              <a16:creationId xmlns:a16="http://schemas.microsoft.com/office/drawing/2014/main" id="{D6601302-CED3-1641-9E0B-CC852679C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652000"/>
          <a:ext cx="4089400" cy="355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38100</xdr:colOff>
      <xdr:row>0</xdr:row>
      <xdr:rowOff>50800</xdr:rowOff>
    </xdr:from>
    <xdr:to>
      <xdr:col>15</xdr:col>
      <xdr:colOff>647700</xdr:colOff>
      <xdr:row>23</xdr:row>
      <xdr:rowOff>152400</xdr:rowOff>
    </xdr:to>
    <xdr:graphicFrame macro="">
      <xdr:nvGraphicFramePr>
        <xdr:cNvPr id="3" name="Chart -1023">
          <a:extLst>
            <a:ext uri="{FF2B5EF4-FFF2-40B4-BE49-F238E27FC236}">
              <a16:creationId xmlns:a16="http://schemas.microsoft.com/office/drawing/2014/main" id="{ABA00BCB-3862-784C-ACC2-A6914A939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50800</xdr:colOff>
      <xdr:row>27</xdr:row>
      <xdr:rowOff>25400</xdr:rowOff>
    </xdr:from>
    <xdr:to>
      <xdr:col>15</xdr:col>
      <xdr:colOff>698500</xdr:colOff>
      <xdr:row>49</xdr:row>
      <xdr:rowOff>38100</xdr:rowOff>
    </xdr:to>
    <xdr:graphicFrame macro="">
      <xdr:nvGraphicFramePr>
        <xdr:cNvPr id="4" name="Chart -1022">
          <a:extLst>
            <a:ext uri="{FF2B5EF4-FFF2-40B4-BE49-F238E27FC236}">
              <a16:creationId xmlns:a16="http://schemas.microsoft.com/office/drawing/2014/main" id="{223BB102-E59B-004A-9ED2-A296D3C5A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127000</xdr:colOff>
      <xdr:row>2</xdr:row>
      <xdr:rowOff>12700</xdr:rowOff>
    </xdr:from>
    <xdr:to>
      <xdr:col>30</xdr:col>
      <xdr:colOff>38100</xdr:colOff>
      <xdr:row>26</xdr:row>
      <xdr:rowOff>139700</xdr:rowOff>
    </xdr:to>
    <xdr:graphicFrame macro="">
      <xdr:nvGraphicFramePr>
        <xdr:cNvPr id="5" name="Chart -1021">
          <a:extLst>
            <a:ext uri="{FF2B5EF4-FFF2-40B4-BE49-F238E27FC236}">
              <a16:creationId xmlns:a16="http://schemas.microsoft.com/office/drawing/2014/main" id="{0C556BB9-3EF0-124A-A8D7-03A9170B0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317500</xdr:colOff>
      <xdr:row>13</xdr:row>
      <xdr:rowOff>114300</xdr:rowOff>
    </xdr:from>
    <xdr:to>
      <xdr:col>11</xdr:col>
      <xdr:colOff>609600</xdr:colOff>
      <xdr:row>15</xdr:row>
      <xdr:rowOff>101600</xdr:rowOff>
    </xdr:to>
    <xdr:sp macro="" textlink="">
      <xdr:nvSpPr>
        <xdr:cNvPr id="6" name="Oval -1020">
          <a:extLst>
            <a:ext uri="{FF2B5EF4-FFF2-40B4-BE49-F238E27FC236}">
              <a16:creationId xmlns:a16="http://schemas.microsoft.com/office/drawing/2014/main" id="{686DF28D-055E-EB49-B986-4D6D066DDD3F}"/>
            </a:ext>
          </a:extLst>
        </xdr:cNvPr>
        <xdr:cNvSpPr>
          <a:spLocks noChangeArrowheads="1"/>
        </xdr:cNvSpPr>
      </xdr:nvSpPr>
      <xdr:spPr bwMode="auto">
        <a:xfrm>
          <a:off x="7505700" y="2260600"/>
          <a:ext cx="292100" cy="317500"/>
        </a:xfrm>
        <a:prstGeom prst="ellipse">
          <a:avLst/>
        </a:prstGeom>
        <a:noFill/>
        <a:ln w="19050">
          <a:solidFill>
            <a:srgbClr val="DD2D32"/>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647700</xdr:colOff>
      <xdr:row>13</xdr:row>
      <xdr:rowOff>114300</xdr:rowOff>
    </xdr:from>
    <xdr:to>
      <xdr:col>14</xdr:col>
      <xdr:colOff>88900</xdr:colOff>
      <xdr:row>15</xdr:row>
      <xdr:rowOff>101600</xdr:rowOff>
    </xdr:to>
    <xdr:sp macro="" textlink="">
      <xdr:nvSpPr>
        <xdr:cNvPr id="7" name="Oval -1019">
          <a:extLst>
            <a:ext uri="{FF2B5EF4-FFF2-40B4-BE49-F238E27FC236}">
              <a16:creationId xmlns:a16="http://schemas.microsoft.com/office/drawing/2014/main" id="{85D8F1B8-13BE-F043-82F7-FB12C669A00A}"/>
            </a:ext>
          </a:extLst>
        </xdr:cNvPr>
        <xdr:cNvSpPr>
          <a:spLocks noChangeArrowheads="1"/>
        </xdr:cNvSpPr>
      </xdr:nvSpPr>
      <xdr:spPr bwMode="auto">
        <a:xfrm>
          <a:off x="9512300" y="2260600"/>
          <a:ext cx="279400" cy="317500"/>
        </a:xfrm>
        <a:prstGeom prst="ellipse">
          <a:avLst/>
        </a:prstGeom>
        <a:noFill/>
        <a:ln w="19050">
          <a:solidFill>
            <a:srgbClr val="DD2D32"/>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347133</xdr:colOff>
      <xdr:row>3</xdr:row>
      <xdr:rowOff>165100</xdr:rowOff>
    </xdr:from>
    <xdr:to>
      <xdr:col>12</xdr:col>
      <xdr:colOff>770466</xdr:colOff>
      <xdr:row>20</xdr:row>
      <xdr:rowOff>29633</xdr:rowOff>
    </xdr:to>
    <xdr:graphicFrame macro="">
      <xdr:nvGraphicFramePr>
        <xdr:cNvPr id="2" name="Chart 1">
          <a:extLst>
            <a:ext uri="{FF2B5EF4-FFF2-40B4-BE49-F238E27FC236}">
              <a16:creationId xmlns:a16="http://schemas.microsoft.com/office/drawing/2014/main" id="{BC92E881-CB25-114E-A31E-6D3441F1E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465667</xdr:colOff>
      <xdr:row>24</xdr:row>
      <xdr:rowOff>80433</xdr:rowOff>
    </xdr:from>
    <xdr:to>
      <xdr:col>14</xdr:col>
      <xdr:colOff>0</xdr:colOff>
      <xdr:row>45</xdr:row>
      <xdr:rowOff>93133</xdr:rowOff>
    </xdr:to>
    <xdr:graphicFrame macro="">
      <xdr:nvGraphicFramePr>
        <xdr:cNvPr id="3" name="Chart 2">
          <a:extLst>
            <a:ext uri="{FF2B5EF4-FFF2-40B4-BE49-F238E27FC236}">
              <a16:creationId xmlns:a16="http://schemas.microsoft.com/office/drawing/2014/main" id="{87060748-DD4D-4D4E-B3BC-FF9CCFC38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603250</xdr:colOff>
      <xdr:row>5</xdr:row>
      <xdr:rowOff>38100</xdr:rowOff>
    </xdr:from>
    <xdr:to>
      <xdr:col>15</xdr:col>
      <xdr:colOff>762000</xdr:colOff>
      <xdr:row>26</xdr:row>
      <xdr:rowOff>88900</xdr:rowOff>
    </xdr:to>
    <xdr:graphicFrame macro="">
      <xdr:nvGraphicFramePr>
        <xdr:cNvPr id="2" name="Chart 1">
          <a:extLst>
            <a:ext uri="{FF2B5EF4-FFF2-40B4-BE49-F238E27FC236}">
              <a16:creationId xmlns:a16="http://schemas.microsoft.com/office/drawing/2014/main" id="{0A2F26AE-072D-E949-8A39-F71D40D67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25400</xdr:colOff>
      <xdr:row>7</xdr:row>
      <xdr:rowOff>63500</xdr:rowOff>
    </xdr:from>
    <xdr:to>
      <xdr:col>22</xdr:col>
      <xdr:colOff>279400</xdr:colOff>
      <xdr:row>26</xdr:row>
      <xdr:rowOff>0</xdr:rowOff>
    </xdr:to>
    <xdr:graphicFrame macro="">
      <xdr:nvGraphicFramePr>
        <xdr:cNvPr id="2" name="Chart 1">
          <a:extLst>
            <a:ext uri="{FF2B5EF4-FFF2-40B4-BE49-F238E27FC236}">
              <a16:creationId xmlns:a16="http://schemas.microsoft.com/office/drawing/2014/main" id="{A3861DE8-FA18-8345-B0AD-54A2BD20C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939800</xdr:colOff>
      <xdr:row>27</xdr:row>
      <xdr:rowOff>177800</xdr:rowOff>
    </xdr:from>
    <xdr:to>
      <xdr:col>22</xdr:col>
      <xdr:colOff>342900</xdr:colOff>
      <xdr:row>48</xdr:row>
      <xdr:rowOff>152400</xdr:rowOff>
    </xdr:to>
    <xdr:graphicFrame macro="">
      <xdr:nvGraphicFramePr>
        <xdr:cNvPr id="3" name="Chart 2">
          <a:extLst>
            <a:ext uri="{FF2B5EF4-FFF2-40B4-BE49-F238E27FC236}">
              <a16:creationId xmlns:a16="http://schemas.microsoft.com/office/drawing/2014/main" id="{F1C8ECFF-BB68-7C4D-BC3D-762D97F89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450850</xdr:colOff>
      <xdr:row>1</xdr:row>
      <xdr:rowOff>107950</xdr:rowOff>
    </xdr:from>
    <xdr:to>
      <xdr:col>17</xdr:col>
      <xdr:colOff>520700</xdr:colOff>
      <xdr:row>20</xdr:row>
      <xdr:rowOff>165100</xdr:rowOff>
    </xdr:to>
    <xdr:graphicFrame macro="">
      <xdr:nvGraphicFramePr>
        <xdr:cNvPr id="2" name="Chart 1">
          <a:extLst>
            <a:ext uri="{FF2B5EF4-FFF2-40B4-BE49-F238E27FC236}">
              <a16:creationId xmlns:a16="http://schemas.microsoft.com/office/drawing/2014/main" id="{9B923F85-457B-9648-92FF-6EA6381B5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31750</xdr:colOff>
      <xdr:row>0</xdr:row>
      <xdr:rowOff>158750</xdr:rowOff>
    </xdr:from>
    <xdr:to>
      <xdr:col>30</xdr:col>
      <xdr:colOff>330200</xdr:colOff>
      <xdr:row>21</xdr:row>
      <xdr:rowOff>38100</xdr:rowOff>
    </xdr:to>
    <xdr:graphicFrame macro="">
      <xdr:nvGraphicFramePr>
        <xdr:cNvPr id="3" name="Chart 2">
          <a:extLst>
            <a:ext uri="{FF2B5EF4-FFF2-40B4-BE49-F238E27FC236}">
              <a16:creationId xmlns:a16="http://schemas.microsoft.com/office/drawing/2014/main" id="{F50DBD4A-7D57-1546-955D-8DE6E7701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539750</xdr:colOff>
      <xdr:row>23</xdr:row>
      <xdr:rowOff>69850</xdr:rowOff>
    </xdr:from>
    <xdr:to>
      <xdr:col>17</xdr:col>
      <xdr:colOff>647700</xdr:colOff>
      <xdr:row>42</xdr:row>
      <xdr:rowOff>12700</xdr:rowOff>
    </xdr:to>
    <xdr:graphicFrame macro="">
      <xdr:nvGraphicFramePr>
        <xdr:cNvPr id="4" name="Chart 3">
          <a:extLst>
            <a:ext uri="{FF2B5EF4-FFF2-40B4-BE49-F238E27FC236}">
              <a16:creationId xmlns:a16="http://schemas.microsoft.com/office/drawing/2014/main" id="{4D74C06E-937E-5C4F-AD4C-8075F5512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660400</xdr:colOff>
      <xdr:row>26</xdr:row>
      <xdr:rowOff>165100</xdr:rowOff>
    </xdr:from>
    <xdr:to>
      <xdr:col>13</xdr:col>
      <xdr:colOff>139700</xdr:colOff>
      <xdr:row>28</xdr:row>
      <xdr:rowOff>63500</xdr:rowOff>
    </xdr:to>
    <xdr:sp macro="" textlink="">
      <xdr:nvSpPr>
        <xdr:cNvPr id="5" name="Oval 4">
          <a:extLst>
            <a:ext uri="{FF2B5EF4-FFF2-40B4-BE49-F238E27FC236}">
              <a16:creationId xmlns:a16="http://schemas.microsoft.com/office/drawing/2014/main" id="{A6A4EBF6-9661-FD4D-8FA9-ACAB140F8168}"/>
            </a:ext>
          </a:extLst>
        </xdr:cNvPr>
        <xdr:cNvSpPr/>
      </xdr:nvSpPr>
      <xdr:spPr>
        <a:xfrm>
          <a:off x="9093200" y="5118100"/>
          <a:ext cx="304800" cy="279400"/>
        </a:xfrm>
        <a:prstGeom prst="ellipse">
          <a:avLst/>
        </a:prstGeom>
        <a:noFill/>
        <a:ln w="28575" cmpd="sng">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25400</xdr:colOff>
      <xdr:row>35</xdr:row>
      <xdr:rowOff>101600</xdr:rowOff>
    </xdr:from>
    <xdr:to>
      <xdr:col>13</xdr:col>
      <xdr:colOff>330200</xdr:colOff>
      <xdr:row>37</xdr:row>
      <xdr:rowOff>12700</xdr:rowOff>
    </xdr:to>
    <xdr:sp macro="" textlink="">
      <xdr:nvSpPr>
        <xdr:cNvPr id="6" name="Oval 5">
          <a:extLst>
            <a:ext uri="{FF2B5EF4-FFF2-40B4-BE49-F238E27FC236}">
              <a16:creationId xmlns:a16="http://schemas.microsoft.com/office/drawing/2014/main" id="{91C97AC7-1CC6-CC4C-AD4F-79682BA84B94}"/>
            </a:ext>
          </a:extLst>
        </xdr:cNvPr>
        <xdr:cNvSpPr/>
      </xdr:nvSpPr>
      <xdr:spPr>
        <a:xfrm>
          <a:off x="9283700" y="6781800"/>
          <a:ext cx="304800" cy="292100"/>
        </a:xfrm>
        <a:prstGeom prst="ellipse">
          <a:avLst/>
        </a:prstGeom>
        <a:noFill/>
        <a:ln w="28575" cmpd="sng">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603250</xdr:colOff>
      <xdr:row>23</xdr:row>
      <xdr:rowOff>120650</xdr:rowOff>
    </xdr:from>
    <xdr:to>
      <xdr:col>30</xdr:col>
      <xdr:colOff>355600</xdr:colOff>
      <xdr:row>42</xdr:row>
      <xdr:rowOff>101600</xdr:rowOff>
    </xdr:to>
    <xdr:graphicFrame macro="">
      <xdr:nvGraphicFramePr>
        <xdr:cNvPr id="7" name="Chart 6">
          <a:extLst>
            <a:ext uri="{FF2B5EF4-FFF2-40B4-BE49-F238E27FC236}">
              <a16:creationId xmlns:a16="http://schemas.microsoft.com/office/drawing/2014/main" id="{69FE5353-0706-2A4B-B7E8-2EAC2C27B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63500</xdr:colOff>
      <xdr:row>27</xdr:row>
      <xdr:rowOff>177800</xdr:rowOff>
    </xdr:from>
    <xdr:to>
      <xdr:col>10</xdr:col>
      <xdr:colOff>419100</xdr:colOff>
      <xdr:row>30</xdr:row>
      <xdr:rowOff>38100</xdr:rowOff>
    </xdr:to>
    <xdr:sp macro="" textlink="">
      <xdr:nvSpPr>
        <xdr:cNvPr id="8" name="Rounded Rectangle 7">
          <a:extLst>
            <a:ext uri="{FF2B5EF4-FFF2-40B4-BE49-F238E27FC236}">
              <a16:creationId xmlns:a16="http://schemas.microsoft.com/office/drawing/2014/main" id="{F942FF56-D279-D942-8898-8D87A9E7F0D6}"/>
            </a:ext>
          </a:extLst>
        </xdr:cNvPr>
        <xdr:cNvSpPr/>
      </xdr:nvSpPr>
      <xdr:spPr>
        <a:xfrm>
          <a:off x="5588000" y="5321300"/>
          <a:ext cx="1638300" cy="431800"/>
        </a:xfrm>
        <a:prstGeom prst="roundRect">
          <a:avLst/>
        </a:prstGeom>
        <a:solidFill>
          <a:schemeClr val="bg1"/>
        </a:solidFill>
        <a:ln w="57150" cmpd="sng"/>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en-US" sz="2000" b="1">
              <a:solidFill>
                <a:srgbClr val="FF0000"/>
              </a:solidFill>
            </a:rPr>
            <a:t>Patrón</a:t>
          </a:r>
          <a:r>
            <a:rPr lang="en-US" sz="2000" b="1" baseline="0">
              <a:solidFill>
                <a:srgbClr val="FF0000"/>
              </a:solidFill>
            </a:rPr>
            <a:t> # 5</a:t>
          </a:r>
          <a:endParaRPr lang="en-US" sz="2000" b="1">
            <a:solidFill>
              <a:srgbClr val="FF0000"/>
            </a:solidFill>
          </a:endParaRPr>
        </a:p>
      </xdr:txBody>
    </xdr:sp>
    <xdr:clientData/>
  </xdr:twoCellAnchor>
  <xdr:twoCellAnchor>
    <xdr:from>
      <xdr:col>10</xdr:col>
      <xdr:colOff>419100</xdr:colOff>
      <xdr:row>11</xdr:row>
      <xdr:rowOff>47625</xdr:rowOff>
    </xdr:from>
    <xdr:to>
      <xdr:col>11</xdr:col>
      <xdr:colOff>450850</xdr:colOff>
      <xdr:row>29</xdr:row>
      <xdr:rowOff>12700</xdr:rowOff>
    </xdr:to>
    <xdr:cxnSp macro="">
      <xdr:nvCxnSpPr>
        <xdr:cNvPr id="9" name="Straight Arrow Connector 8">
          <a:extLst>
            <a:ext uri="{FF2B5EF4-FFF2-40B4-BE49-F238E27FC236}">
              <a16:creationId xmlns:a16="http://schemas.microsoft.com/office/drawing/2014/main" id="{91AEEE08-9972-684D-BB61-8DE4154FC921}"/>
            </a:ext>
          </a:extLst>
        </xdr:cNvPr>
        <xdr:cNvCxnSpPr>
          <a:stCxn id="8" idx="3"/>
          <a:endCxn id="2" idx="1"/>
        </xdr:cNvCxnSpPr>
      </xdr:nvCxnSpPr>
      <xdr:spPr>
        <a:xfrm flipV="1">
          <a:off x="7226300" y="2143125"/>
          <a:ext cx="831850" cy="3394075"/>
        </a:xfrm>
        <a:prstGeom prst="straightConnector1">
          <a:avLst/>
        </a:prstGeom>
        <a:ln w="57150" cmpd="sng">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467360</xdr:colOff>
      <xdr:row>1</xdr:row>
      <xdr:rowOff>60960</xdr:rowOff>
    </xdr:from>
    <xdr:to>
      <xdr:col>11</xdr:col>
      <xdr:colOff>647700</xdr:colOff>
      <xdr:row>21</xdr:row>
      <xdr:rowOff>101600</xdr:rowOff>
    </xdr:to>
    <xdr:graphicFrame macro="">
      <xdr:nvGraphicFramePr>
        <xdr:cNvPr id="2" name="Chart 1">
          <a:extLst>
            <a:ext uri="{FF2B5EF4-FFF2-40B4-BE49-F238E27FC236}">
              <a16:creationId xmlns:a16="http://schemas.microsoft.com/office/drawing/2014/main" id="{C83E4919-F800-DD4B-9D47-AB874C689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609600</xdr:colOff>
      <xdr:row>24</xdr:row>
      <xdr:rowOff>40640</xdr:rowOff>
    </xdr:from>
    <xdr:to>
      <xdr:col>11</xdr:col>
      <xdr:colOff>558800</xdr:colOff>
      <xdr:row>45</xdr:row>
      <xdr:rowOff>38100</xdr:rowOff>
    </xdr:to>
    <xdr:graphicFrame macro="">
      <xdr:nvGraphicFramePr>
        <xdr:cNvPr id="3" name="Chart 2">
          <a:extLst>
            <a:ext uri="{FF2B5EF4-FFF2-40B4-BE49-F238E27FC236}">
              <a16:creationId xmlns:a16="http://schemas.microsoft.com/office/drawing/2014/main" id="{2A1DBED5-600A-BC4E-8C72-42BD3B600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381000</xdr:colOff>
      <xdr:row>0</xdr:row>
      <xdr:rowOff>203200</xdr:rowOff>
    </xdr:from>
    <xdr:to>
      <xdr:col>16</xdr:col>
      <xdr:colOff>139700</xdr:colOff>
      <xdr:row>31</xdr:row>
      <xdr:rowOff>88900</xdr:rowOff>
    </xdr:to>
    <xdr:graphicFrame macro="">
      <xdr:nvGraphicFramePr>
        <xdr:cNvPr id="2" name="Chart 1">
          <a:extLst>
            <a:ext uri="{FF2B5EF4-FFF2-40B4-BE49-F238E27FC236}">
              <a16:creationId xmlns:a16="http://schemas.microsoft.com/office/drawing/2014/main" id="{897DBE84-0162-E448-BEDA-62FDC0185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412750</xdr:colOff>
      <xdr:row>11</xdr:row>
      <xdr:rowOff>5292</xdr:rowOff>
    </xdr:from>
    <xdr:to>
      <xdr:col>2</xdr:col>
      <xdr:colOff>518584</xdr:colOff>
      <xdr:row>11</xdr:row>
      <xdr:rowOff>10584</xdr:rowOff>
    </xdr:to>
    <xdr:cxnSp macro="">
      <xdr:nvCxnSpPr>
        <xdr:cNvPr id="2" name="Straight Connector 1">
          <a:extLst>
            <a:ext uri="{FF2B5EF4-FFF2-40B4-BE49-F238E27FC236}">
              <a16:creationId xmlns:a16="http://schemas.microsoft.com/office/drawing/2014/main" id="{C354DBBA-85DB-B442-A089-2070176305B2}"/>
            </a:ext>
          </a:extLst>
        </xdr:cNvPr>
        <xdr:cNvCxnSpPr/>
      </xdr:nvCxnSpPr>
      <xdr:spPr>
        <a:xfrm flipV="1">
          <a:off x="1377950" y="2138892"/>
          <a:ext cx="105834" cy="52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411692</xdr:colOff>
      <xdr:row>10</xdr:row>
      <xdr:rowOff>210608</xdr:rowOff>
    </xdr:from>
    <xdr:to>
      <xdr:col>2</xdr:col>
      <xdr:colOff>517526</xdr:colOff>
      <xdr:row>10</xdr:row>
      <xdr:rowOff>215900</xdr:rowOff>
    </xdr:to>
    <xdr:cxnSp macro="">
      <xdr:nvCxnSpPr>
        <xdr:cNvPr id="3" name="Straight Connector 2">
          <a:extLst>
            <a:ext uri="{FF2B5EF4-FFF2-40B4-BE49-F238E27FC236}">
              <a16:creationId xmlns:a16="http://schemas.microsoft.com/office/drawing/2014/main" id="{86DFADE7-DFF9-C74E-9418-68B4B1D963B7}"/>
            </a:ext>
          </a:extLst>
        </xdr:cNvPr>
        <xdr:cNvCxnSpPr/>
      </xdr:nvCxnSpPr>
      <xdr:spPr>
        <a:xfrm flipV="1">
          <a:off x="1376892" y="2128308"/>
          <a:ext cx="105834" cy="52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111125</xdr:colOff>
      <xdr:row>14</xdr:row>
      <xdr:rowOff>10583</xdr:rowOff>
    </xdr:from>
    <xdr:to>
      <xdr:col>2</xdr:col>
      <xdr:colOff>216959</xdr:colOff>
      <xdr:row>14</xdr:row>
      <xdr:rowOff>15875</xdr:rowOff>
    </xdr:to>
    <xdr:cxnSp macro="">
      <xdr:nvCxnSpPr>
        <xdr:cNvPr id="4" name="Straight Connector 3">
          <a:extLst>
            <a:ext uri="{FF2B5EF4-FFF2-40B4-BE49-F238E27FC236}">
              <a16:creationId xmlns:a16="http://schemas.microsoft.com/office/drawing/2014/main" id="{8515A4D7-D18F-F34A-9B18-9511A190F009}"/>
            </a:ext>
          </a:extLst>
        </xdr:cNvPr>
        <xdr:cNvCxnSpPr/>
      </xdr:nvCxnSpPr>
      <xdr:spPr>
        <a:xfrm flipV="1">
          <a:off x="1076325" y="2779183"/>
          <a:ext cx="105834" cy="52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116417</xdr:colOff>
      <xdr:row>13</xdr:row>
      <xdr:rowOff>169333</xdr:rowOff>
    </xdr:from>
    <xdr:to>
      <xdr:col>2</xdr:col>
      <xdr:colOff>222251</xdr:colOff>
      <xdr:row>13</xdr:row>
      <xdr:rowOff>174625</xdr:rowOff>
    </xdr:to>
    <xdr:cxnSp macro="">
      <xdr:nvCxnSpPr>
        <xdr:cNvPr id="5" name="Straight Connector 4">
          <a:extLst>
            <a:ext uri="{FF2B5EF4-FFF2-40B4-BE49-F238E27FC236}">
              <a16:creationId xmlns:a16="http://schemas.microsoft.com/office/drawing/2014/main" id="{75F89BAA-1CCC-CF45-AD57-CA393A5BA31C}"/>
            </a:ext>
          </a:extLst>
        </xdr:cNvPr>
        <xdr:cNvCxnSpPr/>
      </xdr:nvCxnSpPr>
      <xdr:spPr>
        <a:xfrm flipV="1">
          <a:off x="1081617" y="2734733"/>
          <a:ext cx="105834" cy="52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38100</xdr:colOff>
      <xdr:row>1</xdr:row>
      <xdr:rowOff>66675</xdr:rowOff>
    </xdr:from>
    <xdr:to>
      <xdr:col>9</xdr:col>
      <xdr:colOff>152400</xdr:colOff>
      <xdr:row>8</xdr:row>
      <xdr:rowOff>76200</xdr:rowOff>
    </xdr:to>
    <xdr:pic>
      <xdr:nvPicPr>
        <xdr:cNvPr id="2" name="Imagen 1">
          <a:extLst>
            <a:ext uri="{FF2B5EF4-FFF2-40B4-BE49-F238E27FC236}">
              <a16:creationId xmlns:a16="http://schemas.microsoft.com/office/drawing/2014/main" id="{DC404E84-C28A-5D41-B966-11D99465720E}"/>
            </a:ext>
          </a:extLst>
        </xdr:cNvPr>
        <xdr:cNvPicPr>
          <a:picLocks noChangeAspect="1"/>
        </xdr:cNvPicPr>
      </xdr:nvPicPr>
      <xdr:blipFill>
        <a:blip xmlns:r="http://schemas.openxmlformats.org/officeDocument/2006/relationships" r:embed="rId1"/>
        <a:stretch>
          <a:fillRect/>
        </a:stretch>
      </xdr:blipFill>
      <xdr:spPr>
        <a:xfrm>
          <a:off x="4165600" y="1336675"/>
          <a:ext cx="3416300" cy="1343025"/>
        </a:xfrm>
        <a:prstGeom prst="rect">
          <a:avLst/>
        </a:prstGeom>
      </xdr:spPr>
    </xdr:pic>
    <xdr:clientData/>
  </xdr:twoCellAnchor>
  <xdr:twoCellAnchor editAs="oneCell">
    <xdr:from>
      <xdr:col>5</xdr:col>
      <xdr:colOff>0</xdr:colOff>
      <xdr:row>9</xdr:row>
      <xdr:rowOff>0</xdr:rowOff>
    </xdr:from>
    <xdr:to>
      <xdr:col>9</xdr:col>
      <xdr:colOff>171450</xdr:colOff>
      <xdr:row>13</xdr:row>
      <xdr:rowOff>152400</xdr:rowOff>
    </xdr:to>
    <xdr:pic>
      <xdr:nvPicPr>
        <xdr:cNvPr id="3" name="Imagen 2">
          <a:extLst>
            <a:ext uri="{FF2B5EF4-FFF2-40B4-BE49-F238E27FC236}">
              <a16:creationId xmlns:a16="http://schemas.microsoft.com/office/drawing/2014/main" id="{D84940B6-A705-A248-869D-D5CA19A0F0B8}"/>
            </a:ext>
          </a:extLst>
        </xdr:cNvPr>
        <xdr:cNvPicPr>
          <a:picLocks noChangeAspect="1"/>
        </xdr:cNvPicPr>
      </xdr:nvPicPr>
      <xdr:blipFill>
        <a:blip xmlns:r="http://schemas.openxmlformats.org/officeDocument/2006/relationships" r:embed="rId2"/>
        <a:stretch>
          <a:fillRect/>
        </a:stretch>
      </xdr:blipFill>
      <xdr:spPr>
        <a:xfrm>
          <a:off x="4127500" y="2794000"/>
          <a:ext cx="3473450" cy="914400"/>
        </a:xfrm>
        <a:prstGeom prst="rect">
          <a:avLst/>
        </a:prstGeom>
      </xdr:spPr>
    </xdr:pic>
    <xdr:clientData/>
  </xdr:twoCellAnchor>
  <xdr:twoCellAnchor editAs="oneCell">
    <xdr:from>
      <xdr:col>5</xdr:col>
      <xdr:colOff>123825</xdr:colOff>
      <xdr:row>14</xdr:row>
      <xdr:rowOff>0</xdr:rowOff>
    </xdr:from>
    <xdr:to>
      <xdr:col>8</xdr:col>
      <xdr:colOff>704850</xdr:colOff>
      <xdr:row>20</xdr:row>
      <xdr:rowOff>95250</xdr:rowOff>
    </xdr:to>
    <xdr:pic>
      <xdr:nvPicPr>
        <xdr:cNvPr id="4" name="Imagen 3">
          <a:extLst>
            <a:ext uri="{FF2B5EF4-FFF2-40B4-BE49-F238E27FC236}">
              <a16:creationId xmlns:a16="http://schemas.microsoft.com/office/drawing/2014/main" id="{9E0F0D07-5377-A841-A8C1-DC4097A84DD2}"/>
            </a:ext>
          </a:extLst>
        </xdr:cNvPr>
        <xdr:cNvPicPr>
          <a:picLocks noChangeAspect="1"/>
        </xdr:cNvPicPr>
      </xdr:nvPicPr>
      <xdr:blipFill>
        <a:blip xmlns:r="http://schemas.openxmlformats.org/officeDocument/2006/relationships" r:embed="rId3"/>
        <a:stretch>
          <a:fillRect/>
        </a:stretch>
      </xdr:blipFill>
      <xdr:spPr>
        <a:xfrm>
          <a:off x="4251325" y="3746500"/>
          <a:ext cx="3057525" cy="1276350"/>
        </a:xfrm>
        <a:prstGeom prst="rect">
          <a:avLst/>
        </a:prstGeom>
      </xdr:spPr>
    </xdr:pic>
    <xdr:clientData/>
  </xdr:twoCellAnchor>
  <xdr:twoCellAnchor editAs="oneCell">
    <xdr:from>
      <xdr:col>5</xdr:col>
      <xdr:colOff>0</xdr:colOff>
      <xdr:row>22</xdr:row>
      <xdr:rowOff>0</xdr:rowOff>
    </xdr:from>
    <xdr:to>
      <xdr:col>13</xdr:col>
      <xdr:colOff>171450</xdr:colOff>
      <xdr:row>36</xdr:row>
      <xdr:rowOff>333375</xdr:rowOff>
    </xdr:to>
    <xdr:pic>
      <xdr:nvPicPr>
        <xdr:cNvPr id="5" name="Imagen 5">
          <a:extLst>
            <a:ext uri="{FF2B5EF4-FFF2-40B4-BE49-F238E27FC236}">
              <a16:creationId xmlns:a16="http://schemas.microsoft.com/office/drawing/2014/main" id="{5B55CFBC-14FD-D14A-A829-0C58B0964980}"/>
            </a:ext>
          </a:extLst>
        </xdr:cNvPr>
        <xdr:cNvPicPr>
          <a:picLocks noChangeAspect="1"/>
        </xdr:cNvPicPr>
      </xdr:nvPicPr>
      <xdr:blipFill>
        <a:blip xmlns:r="http://schemas.openxmlformats.org/officeDocument/2006/relationships" r:embed="rId4"/>
        <a:stretch>
          <a:fillRect/>
        </a:stretch>
      </xdr:blipFill>
      <xdr:spPr>
        <a:xfrm>
          <a:off x="4127500" y="5308600"/>
          <a:ext cx="6775450" cy="610552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0.50604</cdr:x>
      <cdr:y>0.19561</cdr:y>
    </cdr:from>
    <cdr:to>
      <cdr:x>0.56189</cdr:x>
      <cdr:y>0.25297</cdr:y>
    </cdr:to>
    <cdr:sp macro="" textlink="">
      <cdr:nvSpPr>
        <cdr:cNvPr id="6145" name="Oval 1"/>
        <cdr:cNvSpPr>
          <a:spLocks xmlns:a="http://schemas.openxmlformats.org/drawingml/2006/main" noChangeArrowheads="1"/>
        </cdr:cNvSpPr>
      </cdr:nvSpPr>
      <cdr:spPr bwMode="auto">
        <a:xfrm xmlns:a="http://schemas.openxmlformats.org/drawingml/2006/main">
          <a:off x="1577474" y="596220"/>
          <a:ext cx="174100" cy="174833"/>
        </a:xfrm>
        <a:prstGeom xmlns:a="http://schemas.openxmlformats.org/drawingml/2006/main" prst="ellipse">
          <a:avLst/>
        </a:prstGeom>
        <a:noFill xmlns:a="http://schemas.openxmlformats.org/drawingml/2006/main"/>
        <a:ln xmlns:a="http://schemas.openxmlformats.org/drawingml/2006/main" w="9525">
          <a:solidFill>
            <a:srgbClr val="DD0806"/>
          </a:solidFill>
          <a:round/>
          <a:headEnd/>
          <a:tailEnd/>
        </a:ln>
      </cdr:spPr>
    </cdr:sp>
  </cdr:relSizeAnchor>
</c:userShapes>
</file>

<file path=xl/drawings/drawing30.xml><?xml version="1.0" encoding="utf-8"?>
<xdr:wsDr xmlns:xdr="http://schemas.openxmlformats.org/drawingml/2006/spreadsheetDrawing" xmlns:a="http://schemas.openxmlformats.org/drawingml/2006/main">
  <xdr:twoCellAnchor editAs="oneCell">
    <xdr:from>
      <xdr:col>5</xdr:col>
      <xdr:colOff>19050</xdr:colOff>
      <xdr:row>6</xdr:row>
      <xdr:rowOff>47625</xdr:rowOff>
    </xdr:from>
    <xdr:to>
      <xdr:col>10</xdr:col>
      <xdr:colOff>133350</xdr:colOff>
      <xdr:row>13</xdr:row>
      <xdr:rowOff>57150</xdr:rowOff>
    </xdr:to>
    <xdr:pic>
      <xdr:nvPicPr>
        <xdr:cNvPr id="2" name="Imagen 1">
          <a:extLst>
            <a:ext uri="{FF2B5EF4-FFF2-40B4-BE49-F238E27FC236}">
              <a16:creationId xmlns:a16="http://schemas.microsoft.com/office/drawing/2014/main" id="{C211970A-77FA-2F40-81F0-08B8C58096AE}"/>
            </a:ext>
          </a:extLst>
        </xdr:cNvPr>
        <xdr:cNvPicPr>
          <a:picLocks noChangeAspect="1"/>
        </xdr:cNvPicPr>
      </xdr:nvPicPr>
      <xdr:blipFill>
        <a:blip xmlns:r="http://schemas.openxmlformats.org/officeDocument/2006/relationships" r:embed="rId1"/>
        <a:stretch>
          <a:fillRect/>
        </a:stretch>
      </xdr:blipFill>
      <xdr:spPr>
        <a:xfrm>
          <a:off x="4146550" y="1203325"/>
          <a:ext cx="3416300" cy="1343025"/>
        </a:xfrm>
        <a:prstGeom prst="rect">
          <a:avLst/>
        </a:prstGeom>
      </xdr:spPr>
    </xdr:pic>
    <xdr:clientData/>
  </xdr:twoCellAnchor>
  <xdr:twoCellAnchor editAs="oneCell">
    <xdr:from>
      <xdr:col>5</xdr:col>
      <xdr:colOff>0</xdr:colOff>
      <xdr:row>14</xdr:row>
      <xdr:rowOff>0</xdr:rowOff>
    </xdr:from>
    <xdr:to>
      <xdr:col>10</xdr:col>
      <xdr:colOff>266700</xdr:colOff>
      <xdr:row>18</xdr:row>
      <xdr:rowOff>152400</xdr:rowOff>
    </xdr:to>
    <xdr:pic>
      <xdr:nvPicPr>
        <xdr:cNvPr id="3" name="Imagen 5">
          <a:extLst>
            <a:ext uri="{FF2B5EF4-FFF2-40B4-BE49-F238E27FC236}">
              <a16:creationId xmlns:a16="http://schemas.microsoft.com/office/drawing/2014/main" id="{829804AD-E877-6A43-83D3-3BB2C9AFE11A}"/>
            </a:ext>
          </a:extLst>
        </xdr:cNvPr>
        <xdr:cNvPicPr>
          <a:picLocks noChangeAspect="1"/>
        </xdr:cNvPicPr>
      </xdr:nvPicPr>
      <xdr:blipFill>
        <a:blip xmlns:r="http://schemas.openxmlformats.org/officeDocument/2006/relationships" r:embed="rId2"/>
        <a:stretch>
          <a:fillRect/>
        </a:stretch>
      </xdr:blipFill>
      <xdr:spPr>
        <a:xfrm>
          <a:off x="4127500" y="2679700"/>
          <a:ext cx="3568700" cy="914400"/>
        </a:xfrm>
        <a:prstGeom prst="rect">
          <a:avLst/>
        </a:prstGeom>
      </xdr:spPr>
    </xdr:pic>
    <xdr:clientData/>
  </xdr:twoCellAnchor>
  <xdr:twoCellAnchor editAs="oneCell">
    <xdr:from>
      <xdr:col>5</xdr:col>
      <xdr:colOff>0</xdr:colOff>
      <xdr:row>20</xdr:row>
      <xdr:rowOff>0</xdr:rowOff>
    </xdr:from>
    <xdr:to>
      <xdr:col>8</xdr:col>
      <xdr:colOff>676275</xdr:colOff>
      <xdr:row>26</xdr:row>
      <xdr:rowOff>123825</xdr:rowOff>
    </xdr:to>
    <xdr:pic>
      <xdr:nvPicPr>
        <xdr:cNvPr id="4" name="Imagen 6">
          <a:extLst>
            <a:ext uri="{FF2B5EF4-FFF2-40B4-BE49-F238E27FC236}">
              <a16:creationId xmlns:a16="http://schemas.microsoft.com/office/drawing/2014/main" id="{1E8E85DC-128D-AB42-9834-C04D40D6589E}"/>
            </a:ext>
          </a:extLst>
        </xdr:cNvPr>
        <xdr:cNvPicPr>
          <a:picLocks noChangeAspect="1"/>
        </xdr:cNvPicPr>
      </xdr:nvPicPr>
      <xdr:blipFill>
        <a:blip xmlns:r="http://schemas.openxmlformats.org/officeDocument/2006/relationships" r:embed="rId3"/>
        <a:stretch>
          <a:fillRect/>
        </a:stretch>
      </xdr:blipFill>
      <xdr:spPr>
        <a:xfrm>
          <a:off x="4127500" y="3835400"/>
          <a:ext cx="3152775" cy="1279525"/>
        </a:xfrm>
        <a:prstGeom prst="rect">
          <a:avLst/>
        </a:prstGeom>
      </xdr:spPr>
    </xdr:pic>
    <xdr:clientData/>
  </xdr:twoCellAnchor>
  <xdr:twoCellAnchor editAs="oneCell">
    <xdr:from>
      <xdr:col>5</xdr:col>
      <xdr:colOff>0</xdr:colOff>
      <xdr:row>28</xdr:row>
      <xdr:rowOff>0</xdr:rowOff>
    </xdr:from>
    <xdr:to>
      <xdr:col>14</xdr:col>
      <xdr:colOff>171450</xdr:colOff>
      <xdr:row>53</xdr:row>
      <xdr:rowOff>53975</xdr:rowOff>
    </xdr:to>
    <xdr:pic>
      <xdr:nvPicPr>
        <xdr:cNvPr id="5" name="Imagen 7">
          <a:extLst>
            <a:ext uri="{FF2B5EF4-FFF2-40B4-BE49-F238E27FC236}">
              <a16:creationId xmlns:a16="http://schemas.microsoft.com/office/drawing/2014/main" id="{EA22A9E6-3D7D-E145-8D74-C4EE690990FF}"/>
            </a:ext>
          </a:extLst>
        </xdr:cNvPr>
        <xdr:cNvPicPr>
          <a:picLocks noChangeAspect="1"/>
        </xdr:cNvPicPr>
      </xdr:nvPicPr>
      <xdr:blipFill>
        <a:blip xmlns:r="http://schemas.openxmlformats.org/officeDocument/2006/relationships" r:embed="rId4"/>
        <a:stretch>
          <a:fillRect/>
        </a:stretch>
      </xdr:blipFill>
      <xdr:spPr>
        <a:xfrm>
          <a:off x="4127500" y="5372100"/>
          <a:ext cx="6775450" cy="61118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460375</xdr:colOff>
      <xdr:row>27</xdr:row>
      <xdr:rowOff>107950</xdr:rowOff>
    </xdr:from>
    <xdr:to>
      <xdr:col>10</xdr:col>
      <xdr:colOff>612775</xdr:colOff>
      <xdr:row>46</xdr:row>
      <xdr:rowOff>146050</xdr:rowOff>
    </xdr:to>
    <xdr:pic>
      <xdr:nvPicPr>
        <xdr:cNvPr id="3" name="Imagen 3">
          <a:extLst>
            <a:ext uri="{FF2B5EF4-FFF2-40B4-BE49-F238E27FC236}">
              <a16:creationId xmlns:a16="http://schemas.microsoft.com/office/drawing/2014/main" id="{2CF8304C-2A6E-8240-8456-B3653CE972B7}"/>
            </a:ext>
          </a:extLst>
        </xdr:cNvPr>
        <xdr:cNvPicPr>
          <a:picLocks noChangeAspect="1"/>
        </xdr:cNvPicPr>
      </xdr:nvPicPr>
      <xdr:blipFill>
        <a:blip xmlns:r="http://schemas.openxmlformats.org/officeDocument/2006/relationships" r:embed="rId1"/>
        <a:stretch>
          <a:fillRect/>
        </a:stretch>
      </xdr:blipFill>
      <xdr:spPr>
        <a:xfrm>
          <a:off x="3063875" y="5616575"/>
          <a:ext cx="5930900" cy="3657600"/>
        </a:xfrm>
        <a:prstGeom prst="rect">
          <a:avLst/>
        </a:prstGeom>
      </xdr:spPr>
    </xdr:pic>
    <xdr:clientData/>
  </xdr:twoCellAnchor>
  <xdr:twoCellAnchor editAs="oneCell">
    <xdr:from>
      <xdr:col>3</xdr:col>
      <xdr:colOff>476250</xdr:colOff>
      <xdr:row>6</xdr:row>
      <xdr:rowOff>174625</xdr:rowOff>
    </xdr:from>
    <xdr:to>
      <xdr:col>10</xdr:col>
      <xdr:colOff>689747</xdr:colOff>
      <xdr:row>26</xdr:row>
      <xdr:rowOff>111125</xdr:rowOff>
    </xdr:to>
    <xdr:pic>
      <xdr:nvPicPr>
        <xdr:cNvPr id="5" name="Picture 4">
          <a:extLst>
            <a:ext uri="{FF2B5EF4-FFF2-40B4-BE49-F238E27FC236}">
              <a16:creationId xmlns:a16="http://schemas.microsoft.com/office/drawing/2014/main" id="{C08759FA-F2B3-494D-8C11-D892EE0D3671}"/>
            </a:ext>
          </a:extLst>
        </xdr:cNvPr>
        <xdr:cNvPicPr>
          <a:picLocks noChangeAspect="1"/>
        </xdr:cNvPicPr>
      </xdr:nvPicPr>
      <xdr:blipFill>
        <a:blip xmlns:r="http://schemas.openxmlformats.org/officeDocument/2006/relationships" r:embed="rId2"/>
        <a:stretch>
          <a:fillRect/>
        </a:stretch>
      </xdr:blipFill>
      <xdr:spPr>
        <a:xfrm>
          <a:off x="3079750" y="1349375"/>
          <a:ext cx="5991997" cy="40798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324555</xdr:colOff>
      <xdr:row>24</xdr:row>
      <xdr:rowOff>83844</xdr:rowOff>
    </xdr:from>
    <xdr:to>
      <xdr:col>12</xdr:col>
      <xdr:colOff>115710</xdr:colOff>
      <xdr:row>49</xdr:row>
      <xdr:rowOff>136879</xdr:rowOff>
    </xdr:to>
    <xdr:pic>
      <xdr:nvPicPr>
        <xdr:cNvPr id="4" name="Picture 3">
          <a:extLst>
            <a:ext uri="{FF2B5EF4-FFF2-40B4-BE49-F238E27FC236}">
              <a16:creationId xmlns:a16="http://schemas.microsoft.com/office/drawing/2014/main" id="{2B3DB7DE-CF48-9E4A-B893-CA9EBF0C4CD1}"/>
            </a:ext>
          </a:extLst>
        </xdr:cNvPr>
        <xdr:cNvPicPr>
          <a:picLocks noChangeAspect="1"/>
        </xdr:cNvPicPr>
      </xdr:nvPicPr>
      <xdr:blipFill>
        <a:blip xmlns:r="http://schemas.openxmlformats.org/officeDocument/2006/relationships" r:embed="rId1"/>
        <a:stretch>
          <a:fillRect/>
        </a:stretch>
      </xdr:blipFill>
      <xdr:spPr>
        <a:xfrm>
          <a:off x="3725333" y="5065066"/>
          <a:ext cx="7284155" cy="4991924"/>
        </a:xfrm>
        <a:prstGeom prst="rect">
          <a:avLst/>
        </a:prstGeom>
      </xdr:spPr>
    </xdr:pic>
    <xdr:clientData/>
  </xdr:twoCellAnchor>
  <xdr:twoCellAnchor editAs="oneCell">
    <xdr:from>
      <xdr:col>3</xdr:col>
      <xdr:colOff>266700</xdr:colOff>
      <xdr:row>6</xdr:row>
      <xdr:rowOff>177800</xdr:rowOff>
    </xdr:from>
    <xdr:to>
      <xdr:col>10</xdr:col>
      <xdr:colOff>671577</xdr:colOff>
      <xdr:row>23</xdr:row>
      <xdr:rowOff>127000</xdr:rowOff>
    </xdr:to>
    <xdr:pic>
      <xdr:nvPicPr>
        <xdr:cNvPr id="5" name="Picture 4">
          <a:extLst>
            <a:ext uri="{FF2B5EF4-FFF2-40B4-BE49-F238E27FC236}">
              <a16:creationId xmlns:a16="http://schemas.microsoft.com/office/drawing/2014/main" id="{0814E610-69B4-554F-B616-521482E073E3}"/>
            </a:ext>
          </a:extLst>
        </xdr:cNvPr>
        <xdr:cNvPicPr>
          <a:picLocks noChangeAspect="1"/>
        </xdr:cNvPicPr>
      </xdr:nvPicPr>
      <xdr:blipFill>
        <a:blip xmlns:r="http://schemas.openxmlformats.org/officeDocument/2006/relationships" r:embed="rId2"/>
        <a:stretch>
          <a:fillRect/>
        </a:stretch>
      </xdr:blipFill>
      <xdr:spPr>
        <a:xfrm>
          <a:off x="3670300" y="1346200"/>
          <a:ext cx="6183377" cy="34544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787400</xdr:colOff>
      <xdr:row>0</xdr:row>
      <xdr:rowOff>0</xdr:rowOff>
    </xdr:from>
    <xdr:to>
      <xdr:col>13</xdr:col>
      <xdr:colOff>812800</xdr:colOff>
      <xdr:row>39</xdr:row>
      <xdr:rowOff>148166</xdr:rowOff>
    </xdr:to>
    <xdr:pic>
      <xdr:nvPicPr>
        <xdr:cNvPr id="2" name="Picture 1">
          <a:extLst>
            <a:ext uri="{FF2B5EF4-FFF2-40B4-BE49-F238E27FC236}">
              <a16:creationId xmlns:a16="http://schemas.microsoft.com/office/drawing/2014/main" id="{7E2CB375-C456-C841-8FA5-28BDF88A2396}"/>
            </a:ext>
          </a:extLst>
        </xdr:cNvPr>
        <xdr:cNvPicPr>
          <a:picLocks noChangeAspect="1"/>
        </xdr:cNvPicPr>
      </xdr:nvPicPr>
      <xdr:blipFill>
        <a:blip xmlns:r="http://schemas.openxmlformats.org/officeDocument/2006/relationships" r:embed="rId1"/>
        <a:stretch>
          <a:fillRect/>
        </a:stretch>
      </xdr:blipFill>
      <xdr:spPr>
        <a:xfrm>
          <a:off x="787400" y="0"/>
          <a:ext cx="7454900" cy="8661400"/>
        </a:xfrm>
        <a:prstGeom prst="rect">
          <a:avLst/>
        </a:prstGeom>
      </xdr:spPr>
    </xdr:pic>
    <xdr:clientData/>
  </xdr:twoCellAnchor>
  <xdr:twoCellAnchor editAs="oneCell">
    <xdr:from>
      <xdr:col>4</xdr:col>
      <xdr:colOff>770011</xdr:colOff>
      <xdr:row>40</xdr:row>
      <xdr:rowOff>3</xdr:rowOff>
    </xdr:from>
    <xdr:to>
      <xdr:col>14</xdr:col>
      <xdr:colOff>-1</xdr:colOff>
      <xdr:row>51</xdr:row>
      <xdr:rowOff>127910</xdr:rowOff>
    </xdr:to>
    <xdr:pic>
      <xdr:nvPicPr>
        <xdr:cNvPr id="3" name="Picture 2">
          <a:extLst>
            <a:ext uri="{FF2B5EF4-FFF2-40B4-BE49-F238E27FC236}">
              <a16:creationId xmlns:a16="http://schemas.microsoft.com/office/drawing/2014/main" id="{16BF2FE6-6FCD-8D40-86E6-10962ED220CE}"/>
            </a:ext>
          </a:extLst>
        </xdr:cNvPr>
        <xdr:cNvPicPr>
          <a:picLocks noChangeAspect="1"/>
        </xdr:cNvPicPr>
      </xdr:nvPicPr>
      <xdr:blipFill>
        <a:blip xmlns:r="http://schemas.openxmlformats.org/officeDocument/2006/relationships" r:embed="rId2"/>
        <a:stretch>
          <a:fillRect/>
        </a:stretch>
      </xdr:blipFill>
      <xdr:spPr>
        <a:xfrm>
          <a:off x="770011" y="8686803"/>
          <a:ext cx="7527322" cy="236310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290285</xdr:colOff>
      <xdr:row>1</xdr:row>
      <xdr:rowOff>18144</xdr:rowOff>
    </xdr:from>
    <xdr:to>
      <xdr:col>14</xdr:col>
      <xdr:colOff>551543</xdr:colOff>
      <xdr:row>39</xdr:row>
      <xdr:rowOff>68104</xdr:rowOff>
    </xdr:to>
    <xdr:pic>
      <xdr:nvPicPr>
        <xdr:cNvPr id="2" name="Picture 1">
          <a:extLst>
            <a:ext uri="{FF2B5EF4-FFF2-40B4-BE49-F238E27FC236}">
              <a16:creationId xmlns:a16="http://schemas.microsoft.com/office/drawing/2014/main" id="{3B4A5288-3932-C147-B842-EDE8CAC2EB13}"/>
            </a:ext>
          </a:extLst>
        </xdr:cNvPr>
        <xdr:cNvPicPr>
          <a:picLocks noChangeAspect="1"/>
        </xdr:cNvPicPr>
      </xdr:nvPicPr>
      <xdr:blipFill>
        <a:blip xmlns:r="http://schemas.openxmlformats.org/officeDocument/2006/relationships" r:embed="rId1"/>
        <a:stretch>
          <a:fillRect/>
        </a:stretch>
      </xdr:blipFill>
      <xdr:spPr>
        <a:xfrm>
          <a:off x="4027714" y="217715"/>
          <a:ext cx="7772400" cy="7942103"/>
        </a:xfrm>
        <a:prstGeom prst="rect">
          <a:avLst/>
        </a:prstGeom>
      </xdr:spPr>
    </xdr:pic>
    <xdr:clientData/>
  </xdr:twoCellAnchor>
  <xdr:twoCellAnchor editAs="oneCell">
    <xdr:from>
      <xdr:col>5</xdr:col>
      <xdr:colOff>308429</xdr:colOff>
      <xdr:row>39</xdr:row>
      <xdr:rowOff>54427</xdr:rowOff>
    </xdr:from>
    <xdr:to>
      <xdr:col>14</xdr:col>
      <xdr:colOff>569687</xdr:colOff>
      <xdr:row>52</xdr:row>
      <xdr:rowOff>156305</xdr:rowOff>
    </xdr:to>
    <xdr:pic>
      <xdr:nvPicPr>
        <xdr:cNvPr id="3" name="Picture 2">
          <a:extLst>
            <a:ext uri="{FF2B5EF4-FFF2-40B4-BE49-F238E27FC236}">
              <a16:creationId xmlns:a16="http://schemas.microsoft.com/office/drawing/2014/main" id="{C35E820F-D307-A049-907C-4468E62D329F}"/>
            </a:ext>
          </a:extLst>
        </xdr:cNvPr>
        <xdr:cNvPicPr>
          <a:picLocks noChangeAspect="1"/>
        </xdr:cNvPicPr>
      </xdr:nvPicPr>
      <xdr:blipFill>
        <a:blip xmlns:r="http://schemas.openxmlformats.org/officeDocument/2006/relationships" r:embed="rId2"/>
        <a:stretch>
          <a:fillRect/>
        </a:stretch>
      </xdr:blipFill>
      <xdr:spPr>
        <a:xfrm>
          <a:off x="4045858" y="8146141"/>
          <a:ext cx="7772400" cy="269630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296333</xdr:colOff>
      <xdr:row>0</xdr:row>
      <xdr:rowOff>98778</xdr:rowOff>
    </xdr:from>
    <xdr:to>
      <xdr:col>13</xdr:col>
      <xdr:colOff>575733</xdr:colOff>
      <xdr:row>48</xdr:row>
      <xdr:rowOff>155928</xdr:rowOff>
    </xdr:to>
    <xdr:pic>
      <xdr:nvPicPr>
        <xdr:cNvPr id="2" name="Picture 1">
          <a:extLst>
            <a:ext uri="{FF2B5EF4-FFF2-40B4-BE49-F238E27FC236}">
              <a16:creationId xmlns:a16="http://schemas.microsoft.com/office/drawing/2014/main" id="{D2BFAC50-B0C1-E246-BB95-52552E1DB03B}"/>
            </a:ext>
          </a:extLst>
        </xdr:cNvPr>
        <xdr:cNvPicPr>
          <a:picLocks noChangeAspect="1"/>
        </xdr:cNvPicPr>
      </xdr:nvPicPr>
      <xdr:blipFill>
        <a:blip xmlns:r="http://schemas.openxmlformats.org/officeDocument/2006/relationships" r:embed="rId1"/>
        <a:stretch>
          <a:fillRect/>
        </a:stretch>
      </xdr:blipFill>
      <xdr:spPr>
        <a:xfrm>
          <a:off x="3132666" y="98778"/>
          <a:ext cx="7772400" cy="8661400"/>
        </a:xfrm>
        <a:prstGeom prst="rect">
          <a:avLst/>
        </a:prstGeom>
      </xdr:spPr>
    </xdr:pic>
    <xdr:clientData/>
  </xdr:twoCellAnchor>
  <xdr:twoCellAnchor editAs="oneCell">
    <xdr:from>
      <xdr:col>4</xdr:col>
      <xdr:colOff>269875</xdr:colOff>
      <xdr:row>48</xdr:row>
      <xdr:rowOff>79375</xdr:rowOff>
    </xdr:from>
    <xdr:to>
      <xdr:col>13</xdr:col>
      <xdr:colOff>612775</xdr:colOff>
      <xdr:row>64</xdr:row>
      <xdr:rowOff>73055</xdr:rowOff>
    </xdr:to>
    <xdr:pic>
      <xdr:nvPicPr>
        <xdr:cNvPr id="3" name="Picture 2">
          <a:extLst>
            <a:ext uri="{FF2B5EF4-FFF2-40B4-BE49-F238E27FC236}">
              <a16:creationId xmlns:a16="http://schemas.microsoft.com/office/drawing/2014/main" id="{30FDFF3E-94F4-1A43-80F2-DD39134D3E9F}"/>
            </a:ext>
          </a:extLst>
        </xdr:cNvPr>
        <xdr:cNvPicPr>
          <a:picLocks noChangeAspect="1"/>
        </xdr:cNvPicPr>
      </xdr:nvPicPr>
      <xdr:blipFill>
        <a:blip xmlns:r="http://schemas.openxmlformats.org/officeDocument/2006/relationships" r:embed="rId2"/>
        <a:stretch>
          <a:fillRect/>
        </a:stretch>
      </xdr:blipFill>
      <xdr:spPr>
        <a:xfrm>
          <a:off x="3095625" y="8143875"/>
          <a:ext cx="7772400" cy="25336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222250</xdr:colOff>
      <xdr:row>0</xdr:row>
      <xdr:rowOff>190500</xdr:rowOff>
    </xdr:from>
    <xdr:to>
      <xdr:col>12</xdr:col>
      <xdr:colOff>590550</xdr:colOff>
      <xdr:row>50</xdr:row>
      <xdr:rowOff>38100</xdr:rowOff>
    </xdr:to>
    <xdr:pic>
      <xdr:nvPicPr>
        <xdr:cNvPr id="2" name="Picture 1">
          <a:extLst>
            <a:ext uri="{FF2B5EF4-FFF2-40B4-BE49-F238E27FC236}">
              <a16:creationId xmlns:a16="http://schemas.microsoft.com/office/drawing/2014/main" id="{B6CEC9A4-6B22-8547-A9DD-F6E018EE0B77}"/>
            </a:ext>
          </a:extLst>
        </xdr:cNvPr>
        <xdr:cNvPicPr>
          <a:picLocks noChangeAspect="1"/>
        </xdr:cNvPicPr>
      </xdr:nvPicPr>
      <xdr:blipFill>
        <a:blip xmlns:r="http://schemas.openxmlformats.org/officeDocument/2006/relationships" r:embed="rId1"/>
        <a:stretch>
          <a:fillRect/>
        </a:stretch>
      </xdr:blipFill>
      <xdr:spPr>
        <a:xfrm>
          <a:off x="2857500" y="190500"/>
          <a:ext cx="7162800" cy="8610600"/>
        </a:xfrm>
        <a:prstGeom prst="rect">
          <a:avLst/>
        </a:prstGeom>
      </xdr:spPr>
    </xdr:pic>
    <xdr:clientData/>
  </xdr:twoCellAnchor>
  <xdr:twoCellAnchor editAs="oneCell">
    <xdr:from>
      <xdr:col>3</xdr:col>
      <xdr:colOff>206375</xdr:colOff>
      <xdr:row>50</xdr:row>
      <xdr:rowOff>82191</xdr:rowOff>
    </xdr:from>
    <xdr:to>
      <xdr:col>12</xdr:col>
      <xdr:colOff>619125</xdr:colOff>
      <xdr:row>64</xdr:row>
      <xdr:rowOff>122563</xdr:rowOff>
    </xdr:to>
    <xdr:pic>
      <xdr:nvPicPr>
        <xdr:cNvPr id="3" name="Picture 2">
          <a:extLst>
            <a:ext uri="{FF2B5EF4-FFF2-40B4-BE49-F238E27FC236}">
              <a16:creationId xmlns:a16="http://schemas.microsoft.com/office/drawing/2014/main" id="{34F233E5-BED6-3F4F-BC7C-7F60487E1C7D}"/>
            </a:ext>
          </a:extLst>
        </xdr:cNvPr>
        <xdr:cNvPicPr>
          <a:picLocks noChangeAspect="1"/>
        </xdr:cNvPicPr>
      </xdr:nvPicPr>
      <xdr:blipFill>
        <a:blip xmlns:r="http://schemas.openxmlformats.org/officeDocument/2006/relationships" r:embed="rId2"/>
        <a:stretch>
          <a:fillRect/>
        </a:stretch>
      </xdr:blipFill>
      <xdr:spPr>
        <a:xfrm>
          <a:off x="2841625" y="8845191"/>
          <a:ext cx="7207250" cy="226287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47625</xdr:colOff>
      <xdr:row>0</xdr:row>
      <xdr:rowOff>142875</xdr:rowOff>
    </xdr:from>
    <xdr:to>
      <xdr:col>11</xdr:col>
      <xdr:colOff>809625</xdr:colOff>
      <xdr:row>52</xdr:row>
      <xdr:rowOff>28575</xdr:rowOff>
    </xdr:to>
    <xdr:pic>
      <xdr:nvPicPr>
        <xdr:cNvPr id="2" name="Picture 1">
          <a:extLst>
            <a:ext uri="{FF2B5EF4-FFF2-40B4-BE49-F238E27FC236}">
              <a16:creationId xmlns:a16="http://schemas.microsoft.com/office/drawing/2014/main" id="{95618E87-099A-C242-9970-470977FAF9EC}"/>
            </a:ext>
          </a:extLst>
        </xdr:cNvPr>
        <xdr:cNvPicPr>
          <a:picLocks noChangeAspect="1"/>
        </xdr:cNvPicPr>
      </xdr:nvPicPr>
      <xdr:blipFill>
        <a:blip xmlns:r="http://schemas.openxmlformats.org/officeDocument/2006/relationships" r:embed="rId1"/>
        <a:stretch>
          <a:fillRect/>
        </a:stretch>
      </xdr:blipFill>
      <xdr:spPr>
        <a:xfrm>
          <a:off x="2762250" y="142875"/>
          <a:ext cx="7366000" cy="8585200"/>
        </a:xfrm>
        <a:prstGeom prst="rect">
          <a:avLst/>
        </a:prstGeom>
      </xdr:spPr>
    </xdr:pic>
    <xdr:clientData/>
  </xdr:twoCellAnchor>
  <xdr:twoCellAnchor editAs="oneCell">
    <xdr:from>
      <xdr:col>3</xdr:col>
      <xdr:colOff>0</xdr:colOff>
      <xdr:row>52</xdr:row>
      <xdr:rowOff>46644</xdr:rowOff>
    </xdr:from>
    <xdr:to>
      <xdr:col>12</xdr:col>
      <xdr:colOff>0</xdr:colOff>
      <xdr:row>67</xdr:row>
      <xdr:rowOff>51839</xdr:rowOff>
    </xdr:to>
    <xdr:pic>
      <xdr:nvPicPr>
        <xdr:cNvPr id="3" name="Picture 2">
          <a:extLst>
            <a:ext uri="{FF2B5EF4-FFF2-40B4-BE49-F238E27FC236}">
              <a16:creationId xmlns:a16="http://schemas.microsoft.com/office/drawing/2014/main" id="{B0B07768-8F0E-644D-81B6-A7D729DBB7C4}"/>
            </a:ext>
          </a:extLst>
        </xdr:cNvPr>
        <xdr:cNvPicPr>
          <a:picLocks noChangeAspect="1"/>
        </xdr:cNvPicPr>
      </xdr:nvPicPr>
      <xdr:blipFill>
        <a:blip xmlns:r="http://schemas.openxmlformats.org/officeDocument/2006/relationships" r:embed="rId2"/>
        <a:stretch>
          <a:fillRect/>
        </a:stretch>
      </xdr:blipFill>
      <xdr:spPr>
        <a:xfrm>
          <a:off x="2714625" y="8746144"/>
          <a:ext cx="7429500" cy="238644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42333</xdr:colOff>
      <xdr:row>0</xdr:row>
      <xdr:rowOff>42334</xdr:rowOff>
    </xdr:from>
    <xdr:to>
      <xdr:col>8</xdr:col>
      <xdr:colOff>71047</xdr:colOff>
      <xdr:row>35</xdr:row>
      <xdr:rowOff>14111</xdr:rowOff>
    </xdr:to>
    <xdr:pic>
      <xdr:nvPicPr>
        <xdr:cNvPr id="2" name="Picture 1">
          <a:extLst>
            <a:ext uri="{FF2B5EF4-FFF2-40B4-BE49-F238E27FC236}">
              <a16:creationId xmlns:a16="http://schemas.microsoft.com/office/drawing/2014/main" id="{5B1C77C0-9784-A444-93E0-1645DB933448}"/>
            </a:ext>
          </a:extLst>
        </xdr:cNvPr>
        <xdr:cNvPicPr>
          <a:picLocks noChangeAspect="1"/>
        </xdr:cNvPicPr>
      </xdr:nvPicPr>
      <xdr:blipFill>
        <a:blip xmlns:r="http://schemas.openxmlformats.org/officeDocument/2006/relationships" r:embed="rId1"/>
        <a:stretch>
          <a:fillRect/>
        </a:stretch>
      </xdr:blipFill>
      <xdr:spPr>
        <a:xfrm>
          <a:off x="42333" y="42334"/>
          <a:ext cx="6152936" cy="6872110"/>
        </a:xfrm>
        <a:prstGeom prst="rect">
          <a:avLst/>
        </a:prstGeom>
      </xdr:spPr>
    </xdr:pic>
    <xdr:clientData/>
  </xdr:twoCellAnchor>
  <xdr:twoCellAnchor editAs="oneCell">
    <xdr:from>
      <xdr:col>0</xdr:col>
      <xdr:colOff>28223</xdr:colOff>
      <xdr:row>35</xdr:row>
      <xdr:rowOff>6698</xdr:rowOff>
    </xdr:from>
    <xdr:to>
      <xdr:col>8</xdr:col>
      <xdr:colOff>70556</xdr:colOff>
      <xdr:row>46</xdr:row>
      <xdr:rowOff>120490</xdr:rowOff>
    </xdr:to>
    <xdr:pic>
      <xdr:nvPicPr>
        <xdr:cNvPr id="3" name="Picture 2">
          <a:extLst>
            <a:ext uri="{FF2B5EF4-FFF2-40B4-BE49-F238E27FC236}">
              <a16:creationId xmlns:a16="http://schemas.microsoft.com/office/drawing/2014/main" id="{902C2FE5-381B-4F43-B4F1-5E4712284639}"/>
            </a:ext>
          </a:extLst>
        </xdr:cNvPr>
        <xdr:cNvPicPr>
          <a:picLocks noChangeAspect="1"/>
        </xdr:cNvPicPr>
      </xdr:nvPicPr>
      <xdr:blipFill>
        <a:blip xmlns:r="http://schemas.openxmlformats.org/officeDocument/2006/relationships" r:embed="rId2"/>
        <a:stretch>
          <a:fillRect/>
        </a:stretch>
      </xdr:blipFill>
      <xdr:spPr>
        <a:xfrm>
          <a:off x="28223" y="6907031"/>
          <a:ext cx="6166555" cy="197645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206375</xdr:colOff>
      <xdr:row>8</xdr:row>
      <xdr:rowOff>190501</xdr:rowOff>
    </xdr:from>
    <xdr:to>
      <xdr:col>13</xdr:col>
      <xdr:colOff>395018</xdr:colOff>
      <xdr:row>35</xdr:row>
      <xdr:rowOff>95251</xdr:rowOff>
    </xdr:to>
    <xdr:pic>
      <xdr:nvPicPr>
        <xdr:cNvPr id="2" name="Picture 1">
          <a:extLst>
            <a:ext uri="{FF2B5EF4-FFF2-40B4-BE49-F238E27FC236}">
              <a16:creationId xmlns:a16="http://schemas.microsoft.com/office/drawing/2014/main" id="{9D12CAC6-BAD2-CF48-8BDB-B57A4EBA878B}"/>
            </a:ext>
          </a:extLst>
        </xdr:cNvPr>
        <xdr:cNvPicPr>
          <a:picLocks noChangeAspect="1"/>
        </xdr:cNvPicPr>
      </xdr:nvPicPr>
      <xdr:blipFill>
        <a:blip xmlns:r="http://schemas.openxmlformats.org/officeDocument/2006/relationships" r:embed="rId1"/>
        <a:stretch>
          <a:fillRect/>
        </a:stretch>
      </xdr:blipFill>
      <xdr:spPr>
        <a:xfrm>
          <a:off x="3968750" y="1841501"/>
          <a:ext cx="6792643" cy="5778500"/>
        </a:xfrm>
        <a:prstGeom prst="rect">
          <a:avLst/>
        </a:prstGeom>
      </xdr:spPr>
    </xdr:pic>
    <xdr:clientData/>
  </xdr:twoCellAnchor>
  <xdr:twoCellAnchor editAs="oneCell">
    <xdr:from>
      <xdr:col>5</xdr:col>
      <xdr:colOff>142875</xdr:colOff>
      <xdr:row>34</xdr:row>
      <xdr:rowOff>460374</xdr:rowOff>
    </xdr:from>
    <xdr:to>
      <xdr:col>13</xdr:col>
      <xdr:colOff>454485</xdr:colOff>
      <xdr:row>70</xdr:row>
      <xdr:rowOff>174624</xdr:rowOff>
    </xdr:to>
    <xdr:pic>
      <xdr:nvPicPr>
        <xdr:cNvPr id="3" name="Picture 2">
          <a:extLst>
            <a:ext uri="{FF2B5EF4-FFF2-40B4-BE49-F238E27FC236}">
              <a16:creationId xmlns:a16="http://schemas.microsoft.com/office/drawing/2014/main" id="{1AD35DE3-749A-E540-8DA5-79C1F6818E3F}"/>
            </a:ext>
          </a:extLst>
        </xdr:cNvPr>
        <xdr:cNvPicPr>
          <a:picLocks noChangeAspect="1"/>
        </xdr:cNvPicPr>
      </xdr:nvPicPr>
      <xdr:blipFill>
        <a:blip xmlns:r="http://schemas.openxmlformats.org/officeDocument/2006/relationships" r:embed="rId2"/>
        <a:stretch>
          <a:fillRect/>
        </a:stretch>
      </xdr:blipFill>
      <xdr:spPr>
        <a:xfrm>
          <a:off x="3905250" y="7508874"/>
          <a:ext cx="6915610" cy="7413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57150</xdr:colOff>
      <xdr:row>8</xdr:row>
      <xdr:rowOff>76200</xdr:rowOff>
    </xdr:from>
    <xdr:to>
      <xdr:col>12</xdr:col>
      <xdr:colOff>723900</xdr:colOff>
      <xdr:row>29</xdr:row>
      <xdr:rowOff>38100</xdr:rowOff>
    </xdr:to>
    <xdr:graphicFrame macro="">
      <xdr:nvGraphicFramePr>
        <xdr:cNvPr id="3" name="Chart 2">
          <a:extLst>
            <a:ext uri="{FF2B5EF4-FFF2-40B4-BE49-F238E27FC236}">
              <a16:creationId xmlns:a16="http://schemas.microsoft.com/office/drawing/2014/main" id="{8362A8BE-0FF6-2C47-ABB4-B5B87D1E2F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69850</xdr:colOff>
      <xdr:row>29</xdr:row>
      <xdr:rowOff>152400</xdr:rowOff>
    </xdr:from>
    <xdr:to>
      <xdr:col>12</xdr:col>
      <xdr:colOff>774700</xdr:colOff>
      <xdr:row>48</xdr:row>
      <xdr:rowOff>114300</xdr:rowOff>
    </xdr:to>
    <xdr:graphicFrame macro="">
      <xdr:nvGraphicFramePr>
        <xdr:cNvPr id="4" name="Chart 3">
          <a:extLst>
            <a:ext uri="{FF2B5EF4-FFF2-40B4-BE49-F238E27FC236}">
              <a16:creationId xmlns:a16="http://schemas.microsoft.com/office/drawing/2014/main" id="{8C02CF9E-EC07-F146-ABD1-1540F4C1D7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381000</xdr:colOff>
      <xdr:row>0</xdr:row>
      <xdr:rowOff>79375</xdr:rowOff>
    </xdr:from>
    <xdr:to>
      <xdr:col>15</xdr:col>
      <xdr:colOff>723900</xdr:colOff>
      <xdr:row>31</xdr:row>
      <xdr:rowOff>68873</xdr:rowOff>
    </xdr:to>
    <xdr:pic>
      <xdr:nvPicPr>
        <xdr:cNvPr id="3" name="Picture 2">
          <a:extLst>
            <a:ext uri="{FF2B5EF4-FFF2-40B4-BE49-F238E27FC236}">
              <a16:creationId xmlns:a16="http://schemas.microsoft.com/office/drawing/2014/main" id="{4CF5E74E-9B9B-E844-8F9E-7EAAE02BB2ED}"/>
            </a:ext>
          </a:extLst>
        </xdr:cNvPr>
        <xdr:cNvPicPr>
          <a:picLocks noChangeAspect="1"/>
        </xdr:cNvPicPr>
      </xdr:nvPicPr>
      <xdr:blipFill>
        <a:blip xmlns:r="http://schemas.openxmlformats.org/officeDocument/2006/relationships" r:embed="rId1"/>
        <a:stretch>
          <a:fillRect/>
        </a:stretch>
      </xdr:blipFill>
      <xdr:spPr>
        <a:xfrm>
          <a:off x="5746750" y="79375"/>
          <a:ext cx="7772400" cy="6688748"/>
        </a:xfrm>
        <a:prstGeom prst="rect">
          <a:avLst/>
        </a:prstGeom>
      </xdr:spPr>
    </xdr:pic>
    <xdr:clientData/>
  </xdr:twoCellAnchor>
  <xdr:twoCellAnchor editAs="oneCell">
    <xdr:from>
      <xdr:col>6</xdr:col>
      <xdr:colOff>396874</xdr:colOff>
      <xdr:row>31</xdr:row>
      <xdr:rowOff>31749</xdr:rowOff>
    </xdr:from>
    <xdr:to>
      <xdr:col>15</xdr:col>
      <xdr:colOff>698499</xdr:colOff>
      <xdr:row>68</xdr:row>
      <xdr:rowOff>47705</xdr:rowOff>
    </xdr:to>
    <xdr:pic>
      <xdr:nvPicPr>
        <xdr:cNvPr id="5" name="Picture 4">
          <a:extLst>
            <a:ext uri="{FF2B5EF4-FFF2-40B4-BE49-F238E27FC236}">
              <a16:creationId xmlns:a16="http://schemas.microsoft.com/office/drawing/2014/main" id="{5E64D1D3-EEA0-9547-AEDD-A840A007C397}"/>
            </a:ext>
          </a:extLst>
        </xdr:cNvPr>
        <xdr:cNvPicPr>
          <a:picLocks noChangeAspect="1"/>
        </xdr:cNvPicPr>
      </xdr:nvPicPr>
      <xdr:blipFill>
        <a:blip xmlns:r="http://schemas.openxmlformats.org/officeDocument/2006/relationships" r:embed="rId2"/>
        <a:stretch>
          <a:fillRect/>
        </a:stretch>
      </xdr:blipFill>
      <xdr:spPr>
        <a:xfrm>
          <a:off x="5762624" y="6730999"/>
          <a:ext cx="7731125" cy="76518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31750</xdr:colOff>
      <xdr:row>0</xdr:row>
      <xdr:rowOff>79375</xdr:rowOff>
    </xdr:from>
    <xdr:to>
      <xdr:col>15</xdr:col>
      <xdr:colOff>374650</xdr:colOff>
      <xdr:row>33</xdr:row>
      <xdr:rowOff>25973</xdr:rowOff>
    </xdr:to>
    <xdr:pic>
      <xdr:nvPicPr>
        <xdr:cNvPr id="2" name="Picture 1">
          <a:extLst>
            <a:ext uri="{FF2B5EF4-FFF2-40B4-BE49-F238E27FC236}">
              <a16:creationId xmlns:a16="http://schemas.microsoft.com/office/drawing/2014/main" id="{A278895F-5A41-2D40-9586-29C50FAF614A}"/>
            </a:ext>
          </a:extLst>
        </xdr:cNvPr>
        <xdr:cNvPicPr>
          <a:picLocks noChangeAspect="1"/>
        </xdr:cNvPicPr>
      </xdr:nvPicPr>
      <xdr:blipFill>
        <a:blip xmlns:r="http://schemas.openxmlformats.org/officeDocument/2006/relationships" r:embed="rId1"/>
        <a:stretch>
          <a:fillRect/>
        </a:stretch>
      </xdr:blipFill>
      <xdr:spPr>
        <a:xfrm>
          <a:off x="6000750" y="79375"/>
          <a:ext cx="7772400" cy="6756973"/>
        </a:xfrm>
        <a:prstGeom prst="rect">
          <a:avLst/>
        </a:prstGeom>
      </xdr:spPr>
    </xdr:pic>
    <xdr:clientData/>
  </xdr:twoCellAnchor>
  <xdr:twoCellAnchor editAs="oneCell">
    <xdr:from>
      <xdr:col>6</xdr:col>
      <xdr:colOff>15875</xdr:colOff>
      <xdr:row>32</xdr:row>
      <xdr:rowOff>174625</xdr:rowOff>
    </xdr:from>
    <xdr:to>
      <xdr:col>14</xdr:col>
      <xdr:colOff>803275</xdr:colOff>
      <xdr:row>67</xdr:row>
      <xdr:rowOff>69850</xdr:rowOff>
    </xdr:to>
    <xdr:pic>
      <xdr:nvPicPr>
        <xdr:cNvPr id="3" name="Picture 2">
          <a:extLst>
            <a:ext uri="{FF2B5EF4-FFF2-40B4-BE49-F238E27FC236}">
              <a16:creationId xmlns:a16="http://schemas.microsoft.com/office/drawing/2014/main" id="{A838A4B9-C859-9345-8405-F724BEBD2D2E}"/>
            </a:ext>
          </a:extLst>
        </xdr:cNvPr>
        <xdr:cNvPicPr>
          <a:picLocks noChangeAspect="1"/>
        </xdr:cNvPicPr>
      </xdr:nvPicPr>
      <xdr:blipFill>
        <a:blip xmlns:r="http://schemas.openxmlformats.org/officeDocument/2006/relationships" r:embed="rId2"/>
        <a:stretch>
          <a:fillRect/>
        </a:stretch>
      </xdr:blipFill>
      <xdr:spPr>
        <a:xfrm>
          <a:off x="5984875" y="6778625"/>
          <a:ext cx="7391400" cy="74041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142875</xdr:colOff>
      <xdr:row>1</xdr:row>
      <xdr:rowOff>63500</xdr:rowOff>
    </xdr:from>
    <xdr:to>
      <xdr:col>15</xdr:col>
      <xdr:colOff>485775</xdr:colOff>
      <xdr:row>33</xdr:row>
      <xdr:rowOff>200598</xdr:rowOff>
    </xdr:to>
    <xdr:pic>
      <xdr:nvPicPr>
        <xdr:cNvPr id="2" name="Picture 1">
          <a:extLst>
            <a:ext uri="{FF2B5EF4-FFF2-40B4-BE49-F238E27FC236}">
              <a16:creationId xmlns:a16="http://schemas.microsoft.com/office/drawing/2014/main" id="{803AF164-15C4-7E4C-A839-D644A2AC98AC}"/>
            </a:ext>
          </a:extLst>
        </xdr:cNvPr>
        <xdr:cNvPicPr>
          <a:picLocks noChangeAspect="1"/>
        </xdr:cNvPicPr>
      </xdr:nvPicPr>
      <xdr:blipFill>
        <a:blip xmlns:r="http://schemas.openxmlformats.org/officeDocument/2006/relationships" r:embed="rId1"/>
        <a:stretch>
          <a:fillRect/>
        </a:stretch>
      </xdr:blipFill>
      <xdr:spPr>
        <a:xfrm>
          <a:off x="5127625" y="269875"/>
          <a:ext cx="7772400" cy="6756973"/>
        </a:xfrm>
        <a:prstGeom prst="rect">
          <a:avLst/>
        </a:prstGeom>
      </xdr:spPr>
    </xdr:pic>
    <xdr:clientData/>
  </xdr:twoCellAnchor>
  <xdr:twoCellAnchor editAs="oneCell">
    <xdr:from>
      <xdr:col>6</xdr:col>
      <xdr:colOff>127000</xdr:colOff>
      <xdr:row>33</xdr:row>
      <xdr:rowOff>190500</xdr:rowOff>
    </xdr:from>
    <xdr:to>
      <xdr:col>15</xdr:col>
      <xdr:colOff>12700</xdr:colOff>
      <xdr:row>59</xdr:row>
      <xdr:rowOff>190500</xdr:rowOff>
    </xdr:to>
    <xdr:pic>
      <xdr:nvPicPr>
        <xdr:cNvPr id="3" name="Picture 2">
          <a:extLst>
            <a:ext uri="{FF2B5EF4-FFF2-40B4-BE49-F238E27FC236}">
              <a16:creationId xmlns:a16="http://schemas.microsoft.com/office/drawing/2014/main" id="{7DB4A201-A7C7-C848-9D87-7DA5B530D1D7}"/>
            </a:ext>
          </a:extLst>
        </xdr:cNvPr>
        <xdr:cNvPicPr>
          <a:picLocks noChangeAspect="1"/>
        </xdr:cNvPicPr>
      </xdr:nvPicPr>
      <xdr:blipFill>
        <a:blip xmlns:r="http://schemas.openxmlformats.org/officeDocument/2006/relationships" r:embed="rId2"/>
        <a:stretch>
          <a:fillRect/>
        </a:stretch>
      </xdr:blipFill>
      <xdr:spPr>
        <a:xfrm>
          <a:off x="5111750" y="7000875"/>
          <a:ext cx="7315200" cy="5651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165100</xdr:colOff>
      <xdr:row>0</xdr:row>
      <xdr:rowOff>177800</xdr:rowOff>
    </xdr:from>
    <xdr:to>
      <xdr:col>15</xdr:col>
      <xdr:colOff>318825</xdr:colOff>
      <xdr:row>27</xdr:row>
      <xdr:rowOff>177800</xdr:rowOff>
    </xdr:to>
    <xdr:pic>
      <xdr:nvPicPr>
        <xdr:cNvPr id="2" name="Picture 1">
          <a:extLst>
            <a:ext uri="{FF2B5EF4-FFF2-40B4-BE49-F238E27FC236}">
              <a16:creationId xmlns:a16="http://schemas.microsoft.com/office/drawing/2014/main" id="{7190DC0E-28D6-DC48-9CA0-D652D94F54E6}"/>
            </a:ext>
          </a:extLst>
        </xdr:cNvPr>
        <xdr:cNvPicPr>
          <a:picLocks noChangeAspect="1"/>
        </xdr:cNvPicPr>
      </xdr:nvPicPr>
      <xdr:blipFill>
        <a:blip xmlns:r="http://schemas.openxmlformats.org/officeDocument/2006/relationships" r:embed="rId1"/>
        <a:stretch>
          <a:fillRect/>
        </a:stretch>
      </xdr:blipFill>
      <xdr:spPr>
        <a:xfrm>
          <a:off x="6108700" y="177800"/>
          <a:ext cx="6757725" cy="5778500"/>
        </a:xfrm>
        <a:prstGeom prst="rect">
          <a:avLst/>
        </a:prstGeom>
      </xdr:spPr>
    </xdr:pic>
    <xdr:clientData/>
  </xdr:twoCellAnchor>
  <xdr:twoCellAnchor editAs="oneCell">
    <xdr:from>
      <xdr:col>7</xdr:col>
      <xdr:colOff>127000</xdr:colOff>
      <xdr:row>29</xdr:row>
      <xdr:rowOff>76200</xdr:rowOff>
    </xdr:from>
    <xdr:to>
      <xdr:col>15</xdr:col>
      <xdr:colOff>127630</xdr:colOff>
      <xdr:row>57</xdr:row>
      <xdr:rowOff>38100</xdr:rowOff>
    </xdr:to>
    <xdr:pic>
      <xdr:nvPicPr>
        <xdr:cNvPr id="4" name="Picture 3">
          <a:extLst>
            <a:ext uri="{FF2B5EF4-FFF2-40B4-BE49-F238E27FC236}">
              <a16:creationId xmlns:a16="http://schemas.microsoft.com/office/drawing/2014/main" id="{C4975867-A4DA-8845-8C54-FEF210D0D1BF}"/>
            </a:ext>
          </a:extLst>
        </xdr:cNvPr>
        <xdr:cNvPicPr>
          <a:picLocks noChangeAspect="1"/>
        </xdr:cNvPicPr>
      </xdr:nvPicPr>
      <xdr:blipFill>
        <a:blip xmlns:r="http://schemas.openxmlformats.org/officeDocument/2006/relationships" r:embed="rId2"/>
        <a:stretch>
          <a:fillRect/>
        </a:stretch>
      </xdr:blipFill>
      <xdr:spPr>
        <a:xfrm>
          <a:off x="6070600" y="5969000"/>
          <a:ext cx="6604630" cy="5651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5</xdr:col>
      <xdr:colOff>304800</xdr:colOff>
      <xdr:row>1</xdr:row>
      <xdr:rowOff>50801</xdr:rowOff>
    </xdr:from>
    <xdr:to>
      <xdr:col>13</xdr:col>
      <xdr:colOff>549674</xdr:colOff>
      <xdr:row>28</xdr:row>
      <xdr:rowOff>101601</xdr:rowOff>
    </xdr:to>
    <xdr:pic>
      <xdr:nvPicPr>
        <xdr:cNvPr id="2" name="Picture 1">
          <a:extLst>
            <a:ext uri="{FF2B5EF4-FFF2-40B4-BE49-F238E27FC236}">
              <a16:creationId xmlns:a16="http://schemas.microsoft.com/office/drawing/2014/main" id="{DC2BBD4D-9172-1A4E-979C-EBD5450E2182}"/>
            </a:ext>
          </a:extLst>
        </xdr:cNvPr>
        <xdr:cNvPicPr>
          <a:picLocks noChangeAspect="1"/>
        </xdr:cNvPicPr>
      </xdr:nvPicPr>
      <xdr:blipFill>
        <a:blip xmlns:r="http://schemas.openxmlformats.org/officeDocument/2006/relationships" r:embed="rId1"/>
        <a:stretch>
          <a:fillRect/>
        </a:stretch>
      </xdr:blipFill>
      <xdr:spPr>
        <a:xfrm>
          <a:off x="4432300" y="254001"/>
          <a:ext cx="6848874" cy="5829300"/>
        </a:xfrm>
        <a:prstGeom prst="rect">
          <a:avLst/>
        </a:prstGeom>
      </xdr:spPr>
    </xdr:pic>
    <xdr:clientData/>
  </xdr:twoCellAnchor>
  <xdr:twoCellAnchor editAs="oneCell">
    <xdr:from>
      <xdr:col>5</xdr:col>
      <xdr:colOff>292100</xdr:colOff>
      <xdr:row>29</xdr:row>
      <xdr:rowOff>177800</xdr:rowOff>
    </xdr:from>
    <xdr:to>
      <xdr:col>13</xdr:col>
      <xdr:colOff>608053</xdr:colOff>
      <xdr:row>52</xdr:row>
      <xdr:rowOff>63500</xdr:rowOff>
    </xdr:to>
    <xdr:pic>
      <xdr:nvPicPr>
        <xdr:cNvPr id="3" name="Picture 2">
          <a:extLst>
            <a:ext uri="{FF2B5EF4-FFF2-40B4-BE49-F238E27FC236}">
              <a16:creationId xmlns:a16="http://schemas.microsoft.com/office/drawing/2014/main" id="{E633B91F-FAF8-BD48-A5EE-CA7717200D4F}"/>
            </a:ext>
          </a:extLst>
        </xdr:cNvPr>
        <xdr:cNvPicPr>
          <a:picLocks noChangeAspect="1"/>
        </xdr:cNvPicPr>
      </xdr:nvPicPr>
      <xdr:blipFill>
        <a:blip xmlns:r="http://schemas.openxmlformats.org/officeDocument/2006/relationships" r:embed="rId2"/>
        <a:stretch>
          <a:fillRect/>
        </a:stretch>
      </xdr:blipFill>
      <xdr:spPr>
        <a:xfrm>
          <a:off x="4419600" y="6070600"/>
          <a:ext cx="6919953" cy="45593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88900</xdr:colOff>
      <xdr:row>1</xdr:row>
      <xdr:rowOff>0</xdr:rowOff>
    </xdr:from>
    <xdr:to>
      <xdr:col>15</xdr:col>
      <xdr:colOff>162129</xdr:colOff>
      <xdr:row>27</xdr:row>
      <xdr:rowOff>114300</xdr:rowOff>
    </xdr:to>
    <xdr:pic>
      <xdr:nvPicPr>
        <xdr:cNvPr id="2" name="Picture 1">
          <a:extLst>
            <a:ext uri="{FF2B5EF4-FFF2-40B4-BE49-F238E27FC236}">
              <a16:creationId xmlns:a16="http://schemas.microsoft.com/office/drawing/2014/main" id="{19C6E9D8-7AE5-2944-94AF-3D2F35604CAD}"/>
            </a:ext>
          </a:extLst>
        </xdr:cNvPr>
        <xdr:cNvPicPr>
          <a:picLocks noChangeAspect="1"/>
        </xdr:cNvPicPr>
      </xdr:nvPicPr>
      <xdr:blipFill>
        <a:blip xmlns:r="http://schemas.openxmlformats.org/officeDocument/2006/relationships" r:embed="rId1"/>
        <a:stretch>
          <a:fillRect/>
        </a:stretch>
      </xdr:blipFill>
      <xdr:spPr>
        <a:xfrm>
          <a:off x="5867400" y="203200"/>
          <a:ext cx="6677229" cy="5689600"/>
        </a:xfrm>
        <a:prstGeom prst="rect">
          <a:avLst/>
        </a:prstGeom>
      </xdr:spPr>
    </xdr:pic>
    <xdr:clientData/>
  </xdr:twoCellAnchor>
  <xdr:twoCellAnchor editAs="oneCell">
    <xdr:from>
      <xdr:col>7</xdr:col>
      <xdr:colOff>50800</xdr:colOff>
      <xdr:row>28</xdr:row>
      <xdr:rowOff>168202</xdr:rowOff>
    </xdr:from>
    <xdr:to>
      <xdr:col>15</xdr:col>
      <xdr:colOff>50800</xdr:colOff>
      <xdr:row>56</xdr:row>
      <xdr:rowOff>95187</xdr:rowOff>
    </xdr:to>
    <xdr:pic>
      <xdr:nvPicPr>
        <xdr:cNvPr id="3" name="Picture 2">
          <a:extLst>
            <a:ext uri="{FF2B5EF4-FFF2-40B4-BE49-F238E27FC236}">
              <a16:creationId xmlns:a16="http://schemas.microsoft.com/office/drawing/2014/main" id="{3CE0CAD4-F0C9-E84D-8A42-30C3F5CC8685}"/>
            </a:ext>
          </a:extLst>
        </xdr:cNvPr>
        <xdr:cNvPicPr>
          <a:picLocks noChangeAspect="1"/>
        </xdr:cNvPicPr>
      </xdr:nvPicPr>
      <xdr:blipFill>
        <a:blip xmlns:r="http://schemas.openxmlformats.org/officeDocument/2006/relationships" r:embed="rId2"/>
        <a:stretch>
          <a:fillRect/>
        </a:stretch>
      </xdr:blipFill>
      <xdr:spPr>
        <a:xfrm>
          <a:off x="5829300" y="5857802"/>
          <a:ext cx="6604000" cy="56165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215900</xdr:colOff>
      <xdr:row>0</xdr:row>
      <xdr:rowOff>0</xdr:rowOff>
    </xdr:from>
    <xdr:to>
      <xdr:col>13</xdr:col>
      <xdr:colOff>342900</xdr:colOff>
      <xdr:row>26</xdr:row>
      <xdr:rowOff>124251</xdr:rowOff>
    </xdr:to>
    <xdr:pic>
      <xdr:nvPicPr>
        <xdr:cNvPr id="2" name="Picture 1">
          <a:extLst>
            <a:ext uri="{FF2B5EF4-FFF2-40B4-BE49-F238E27FC236}">
              <a16:creationId xmlns:a16="http://schemas.microsoft.com/office/drawing/2014/main" id="{9A1B3B00-2702-4F4F-83B1-EA341F6FDEFE}"/>
            </a:ext>
          </a:extLst>
        </xdr:cNvPr>
        <xdr:cNvPicPr>
          <a:picLocks noChangeAspect="1"/>
        </xdr:cNvPicPr>
      </xdr:nvPicPr>
      <xdr:blipFill>
        <a:blip xmlns:r="http://schemas.openxmlformats.org/officeDocument/2006/relationships" r:embed="rId1"/>
        <a:stretch>
          <a:fillRect/>
        </a:stretch>
      </xdr:blipFill>
      <xdr:spPr>
        <a:xfrm>
          <a:off x="4343400" y="0"/>
          <a:ext cx="6731000" cy="5699551"/>
        </a:xfrm>
        <a:prstGeom prst="rect">
          <a:avLst/>
        </a:prstGeom>
      </xdr:spPr>
    </xdr:pic>
    <xdr:clientData/>
  </xdr:twoCellAnchor>
  <xdr:twoCellAnchor editAs="oneCell">
    <xdr:from>
      <xdr:col>5</xdr:col>
      <xdr:colOff>254000</xdr:colOff>
      <xdr:row>28</xdr:row>
      <xdr:rowOff>27992</xdr:rowOff>
    </xdr:from>
    <xdr:to>
      <xdr:col>13</xdr:col>
      <xdr:colOff>12700</xdr:colOff>
      <xdr:row>48</xdr:row>
      <xdr:rowOff>45531</xdr:rowOff>
    </xdr:to>
    <xdr:pic>
      <xdr:nvPicPr>
        <xdr:cNvPr id="3" name="Picture 2">
          <a:extLst>
            <a:ext uri="{FF2B5EF4-FFF2-40B4-BE49-F238E27FC236}">
              <a16:creationId xmlns:a16="http://schemas.microsoft.com/office/drawing/2014/main" id="{476F051E-7A47-704A-B5FB-C0396D7591B1}"/>
            </a:ext>
          </a:extLst>
        </xdr:cNvPr>
        <xdr:cNvPicPr>
          <a:picLocks noChangeAspect="1"/>
        </xdr:cNvPicPr>
      </xdr:nvPicPr>
      <xdr:blipFill>
        <a:blip xmlns:r="http://schemas.openxmlformats.org/officeDocument/2006/relationships" r:embed="rId2"/>
        <a:stretch>
          <a:fillRect/>
        </a:stretch>
      </xdr:blipFill>
      <xdr:spPr>
        <a:xfrm>
          <a:off x="4381500" y="5717592"/>
          <a:ext cx="6362700" cy="408153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396875</xdr:colOff>
      <xdr:row>1</xdr:row>
      <xdr:rowOff>63500</xdr:rowOff>
    </xdr:from>
    <xdr:to>
      <xdr:col>16</xdr:col>
      <xdr:colOff>739775</xdr:colOff>
      <xdr:row>32</xdr:row>
      <xdr:rowOff>44044</xdr:rowOff>
    </xdr:to>
    <xdr:pic>
      <xdr:nvPicPr>
        <xdr:cNvPr id="3" name="Picture 2">
          <a:extLst>
            <a:ext uri="{FF2B5EF4-FFF2-40B4-BE49-F238E27FC236}">
              <a16:creationId xmlns:a16="http://schemas.microsoft.com/office/drawing/2014/main" id="{B38001EF-3506-1C4E-AA26-D7EB383FEEEF}"/>
            </a:ext>
          </a:extLst>
        </xdr:cNvPr>
        <xdr:cNvPicPr>
          <a:picLocks noChangeAspect="1"/>
        </xdr:cNvPicPr>
      </xdr:nvPicPr>
      <xdr:blipFill>
        <a:blip xmlns:r="http://schemas.openxmlformats.org/officeDocument/2006/relationships" r:embed="rId1"/>
        <a:stretch>
          <a:fillRect/>
        </a:stretch>
      </xdr:blipFill>
      <xdr:spPr>
        <a:xfrm>
          <a:off x="6175375" y="269875"/>
          <a:ext cx="7772400" cy="6679794"/>
        </a:xfrm>
        <a:prstGeom prst="rect">
          <a:avLst/>
        </a:prstGeom>
      </xdr:spPr>
    </xdr:pic>
    <xdr:clientData/>
  </xdr:twoCellAnchor>
  <xdr:twoCellAnchor editAs="oneCell">
    <xdr:from>
      <xdr:col>7</xdr:col>
      <xdr:colOff>444500</xdr:colOff>
      <xdr:row>31</xdr:row>
      <xdr:rowOff>174625</xdr:rowOff>
    </xdr:from>
    <xdr:to>
      <xdr:col>16</xdr:col>
      <xdr:colOff>584200</xdr:colOff>
      <xdr:row>72</xdr:row>
      <xdr:rowOff>95250</xdr:rowOff>
    </xdr:to>
    <xdr:pic>
      <xdr:nvPicPr>
        <xdr:cNvPr id="4" name="Picture 3">
          <a:extLst>
            <a:ext uri="{FF2B5EF4-FFF2-40B4-BE49-F238E27FC236}">
              <a16:creationId xmlns:a16="http://schemas.microsoft.com/office/drawing/2014/main" id="{4CA4B914-AC6C-E542-BF8E-3CAD848A55AC}"/>
            </a:ext>
          </a:extLst>
        </xdr:cNvPr>
        <xdr:cNvPicPr>
          <a:picLocks noChangeAspect="1"/>
        </xdr:cNvPicPr>
      </xdr:nvPicPr>
      <xdr:blipFill>
        <a:blip xmlns:r="http://schemas.openxmlformats.org/officeDocument/2006/relationships" r:embed="rId2"/>
        <a:stretch>
          <a:fillRect/>
        </a:stretch>
      </xdr:blipFill>
      <xdr:spPr>
        <a:xfrm>
          <a:off x="6223000" y="6873875"/>
          <a:ext cx="7569200" cy="8382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746125</xdr:colOff>
      <xdr:row>1</xdr:row>
      <xdr:rowOff>0</xdr:rowOff>
    </xdr:from>
    <xdr:to>
      <xdr:col>12</xdr:col>
      <xdr:colOff>136525</xdr:colOff>
      <xdr:row>22</xdr:row>
      <xdr:rowOff>158750</xdr:rowOff>
    </xdr:to>
    <xdr:pic>
      <xdr:nvPicPr>
        <xdr:cNvPr id="3" name="Picture 2">
          <a:extLst>
            <a:ext uri="{FF2B5EF4-FFF2-40B4-BE49-F238E27FC236}">
              <a16:creationId xmlns:a16="http://schemas.microsoft.com/office/drawing/2014/main" id="{C5F6D58E-4066-7A41-A48F-889E0640FA72}"/>
            </a:ext>
          </a:extLst>
        </xdr:cNvPr>
        <xdr:cNvPicPr>
          <a:picLocks noChangeAspect="1"/>
        </xdr:cNvPicPr>
      </xdr:nvPicPr>
      <xdr:blipFill>
        <a:blip xmlns:r="http://schemas.openxmlformats.org/officeDocument/2006/relationships" r:embed="rId1"/>
        <a:stretch>
          <a:fillRect/>
        </a:stretch>
      </xdr:blipFill>
      <xdr:spPr>
        <a:xfrm>
          <a:off x="3635375" y="206375"/>
          <a:ext cx="6819900" cy="4762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47625</xdr:colOff>
      <xdr:row>0</xdr:row>
      <xdr:rowOff>174625</xdr:rowOff>
    </xdr:from>
    <xdr:to>
      <xdr:col>10</xdr:col>
      <xdr:colOff>365125</xdr:colOff>
      <xdr:row>25</xdr:row>
      <xdr:rowOff>31750</xdr:rowOff>
    </xdr:to>
    <xdr:pic>
      <xdr:nvPicPr>
        <xdr:cNvPr id="3" name="Picture 2">
          <a:extLst>
            <a:ext uri="{FF2B5EF4-FFF2-40B4-BE49-F238E27FC236}">
              <a16:creationId xmlns:a16="http://schemas.microsoft.com/office/drawing/2014/main" id="{D3286A96-58AE-7D46-B386-B78884F3A4CA}"/>
            </a:ext>
          </a:extLst>
        </xdr:cNvPr>
        <xdr:cNvPicPr>
          <a:picLocks noChangeAspect="1"/>
        </xdr:cNvPicPr>
      </xdr:nvPicPr>
      <xdr:blipFill>
        <a:blip xmlns:r="http://schemas.openxmlformats.org/officeDocument/2006/relationships" r:embed="rId1"/>
        <a:stretch>
          <a:fillRect/>
        </a:stretch>
      </xdr:blipFill>
      <xdr:spPr>
        <a:xfrm>
          <a:off x="1698625" y="174625"/>
          <a:ext cx="6921500" cy="5016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363220</xdr:colOff>
      <xdr:row>11</xdr:row>
      <xdr:rowOff>106680</xdr:rowOff>
    </xdr:from>
    <xdr:to>
      <xdr:col>11</xdr:col>
      <xdr:colOff>670560</xdr:colOff>
      <xdr:row>25</xdr:row>
      <xdr:rowOff>101600</xdr:rowOff>
    </xdr:to>
    <xdr:graphicFrame macro="">
      <xdr:nvGraphicFramePr>
        <xdr:cNvPr id="2" name="Chart 3">
          <a:extLst>
            <a:ext uri="{FF2B5EF4-FFF2-40B4-BE49-F238E27FC236}">
              <a16:creationId xmlns:a16="http://schemas.microsoft.com/office/drawing/2014/main" id="{E7E73D40-133F-8A44-A7A0-B9D237C82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779780</xdr:colOff>
      <xdr:row>11</xdr:row>
      <xdr:rowOff>109220</xdr:rowOff>
    </xdr:from>
    <xdr:to>
      <xdr:col>17</xdr:col>
      <xdr:colOff>91440</xdr:colOff>
      <xdr:row>25</xdr:row>
      <xdr:rowOff>91440</xdr:rowOff>
    </xdr:to>
    <xdr:graphicFrame macro="">
      <xdr:nvGraphicFramePr>
        <xdr:cNvPr id="3" name="Chart 5">
          <a:extLst>
            <a:ext uri="{FF2B5EF4-FFF2-40B4-BE49-F238E27FC236}">
              <a16:creationId xmlns:a16="http://schemas.microsoft.com/office/drawing/2014/main" id="{5694EF3A-A0D5-7348-A432-A111ADE84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63500</xdr:colOff>
      <xdr:row>0</xdr:row>
      <xdr:rowOff>111125</xdr:rowOff>
    </xdr:from>
    <xdr:to>
      <xdr:col>8</xdr:col>
      <xdr:colOff>520700</xdr:colOff>
      <xdr:row>22</xdr:row>
      <xdr:rowOff>53975</xdr:rowOff>
    </xdr:to>
    <xdr:pic>
      <xdr:nvPicPr>
        <xdr:cNvPr id="3" name="Picture 2">
          <a:extLst>
            <a:ext uri="{FF2B5EF4-FFF2-40B4-BE49-F238E27FC236}">
              <a16:creationId xmlns:a16="http://schemas.microsoft.com/office/drawing/2014/main" id="{D7FCFD06-9284-2449-843F-6A8FD82881ED}"/>
            </a:ext>
          </a:extLst>
        </xdr:cNvPr>
        <xdr:cNvPicPr>
          <a:picLocks noChangeAspect="1"/>
        </xdr:cNvPicPr>
      </xdr:nvPicPr>
      <xdr:blipFill>
        <a:blip xmlns:r="http://schemas.openxmlformats.org/officeDocument/2006/relationships" r:embed="rId1"/>
        <a:stretch>
          <a:fillRect/>
        </a:stretch>
      </xdr:blipFill>
      <xdr:spPr>
        <a:xfrm>
          <a:off x="1714500" y="111125"/>
          <a:ext cx="5410200" cy="44831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206375</xdr:colOff>
      <xdr:row>1</xdr:row>
      <xdr:rowOff>47625</xdr:rowOff>
    </xdr:from>
    <xdr:to>
      <xdr:col>9</xdr:col>
      <xdr:colOff>803275</xdr:colOff>
      <xdr:row>22</xdr:row>
      <xdr:rowOff>95250</xdr:rowOff>
    </xdr:to>
    <xdr:pic>
      <xdr:nvPicPr>
        <xdr:cNvPr id="3" name="Picture 2">
          <a:extLst>
            <a:ext uri="{FF2B5EF4-FFF2-40B4-BE49-F238E27FC236}">
              <a16:creationId xmlns:a16="http://schemas.microsoft.com/office/drawing/2014/main" id="{43F1708C-12C5-A74B-98FC-7E6B875762BD}"/>
            </a:ext>
          </a:extLst>
        </xdr:cNvPr>
        <xdr:cNvPicPr>
          <a:picLocks noChangeAspect="1"/>
        </xdr:cNvPicPr>
      </xdr:nvPicPr>
      <xdr:blipFill>
        <a:blip xmlns:r="http://schemas.openxmlformats.org/officeDocument/2006/relationships" r:embed="rId1"/>
        <a:stretch>
          <a:fillRect/>
        </a:stretch>
      </xdr:blipFill>
      <xdr:spPr>
        <a:xfrm>
          <a:off x="2682875" y="254000"/>
          <a:ext cx="5549900" cy="4381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111125</xdr:colOff>
      <xdr:row>0</xdr:row>
      <xdr:rowOff>174625</xdr:rowOff>
    </xdr:from>
    <xdr:to>
      <xdr:col>11</xdr:col>
      <xdr:colOff>606425</xdr:colOff>
      <xdr:row>33</xdr:row>
      <xdr:rowOff>184150</xdr:rowOff>
    </xdr:to>
    <xdr:pic>
      <xdr:nvPicPr>
        <xdr:cNvPr id="3" name="Picture 2">
          <a:extLst>
            <a:ext uri="{FF2B5EF4-FFF2-40B4-BE49-F238E27FC236}">
              <a16:creationId xmlns:a16="http://schemas.microsoft.com/office/drawing/2014/main" id="{FD5C0613-6683-684B-A1A3-F1490A1C35C1}"/>
            </a:ext>
          </a:extLst>
        </xdr:cNvPr>
        <xdr:cNvPicPr>
          <a:picLocks noChangeAspect="1"/>
        </xdr:cNvPicPr>
      </xdr:nvPicPr>
      <xdr:blipFill>
        <a:blip xmlns:r="http://schemas.openxmlformats.org/officeDocument/2006/relationships" r:embed="rId1"/>
        <a:stretch>
          <a:fillRect/>
        </a:stretch>
      </xdr:blipFill>
      <xdr:spPr>
        <a:xfrm>
          <a:off x="4333875" y="174625"/>
          <a:ext cx="5448300" cy="71374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165100</xdr:colOff>
      <xdr:row>0</xdr:row>
      <xdr:rowOff>177800</xdr:rowOff>
    </xdr:from>
    <xdr:to>
      <xdr:col>8</xdr:col>
      <xdr:colOff>520700</xdr:colOff>
      <xdr:row>21</xdr:row>
      <xdr:rowOff>127000</xdr:rowOff>
    </xdr:to>
    <xdr:pic>
      <xdr:nvPicPr>
        <xdr:cNvPr id="4" name="Picture 3">
          <a:extLst>
            <a:ext uri="{FF2B5EF4-FFF2-40B4-BE49-F238E27FC236}">
              <a16:creationId xmlns:a16="http://schemas.microsoft.com/office/drawing/2014/main" id="{B5A2271C-AA0A-5443-A3F6-60B15C5E4EED}"/>
            </a:ext>
          </a:extLst>
        </xdr:cNvPr>
        <xdr:cNvPicPr>
          <a:picLocks noChangeAspect="1"/>
        </xdr:cNvPicPr>
      </xdr:nvPicPr>
      <xdr:blipFill>
        <a:blip xmlns:r="http://schemas.openxmlformats.org/officeDocument/2006/relationships" r:embed="rId1"/>
        <a:stretch>
          <a:fillRect/>
        </a:stretch>
      </xdr:blipFill>
      <xdr:spPr>
        <a:xfrm>
          <a:off x="1816100" y="177800"/>
          <a:ext cx="5308600" cy="44831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355600</xdr:colOff>
      <xdr:row>1</xdr:row>
      <xdr:rowOff>152400</xdr:rowOff>
    </xdr:from>
    <xdr:to>
      <xdr:col>9</xdr:col>
      <xdr:colOff>266700</xdr:colOff>
      <xdr:row>22</xdr:row>
      <xdr:rowOff>38100</xdr:rowOff>
    </xdr:to>
    <xdr:pic>
      <xdr:nvPicPr>
        <xdr:cNvPr id="2" name="Picture 1">
          <a:extLst>
            <a:ext uri="{FF2B5EF4-FFF2-40B4-BE49-F238E27FC236}">
              <a16:creationId xmlns:a16="http://schemas.microsoft.com/office/drawing/2014/main" id="{8D8C4F3D-83D2-7A46-8454-DC75D0203D27}"/>
            </a:ext>
          </a:extLst>
        </xdr:cNvPr>
        <xdr:cNvPicPr>
          <a:picLocks noChangeAspect="1"/>
        </xdr:cNvPicPr>
      </xdr:nvPicPr>
      <xdr:blipFill>
        <a:blip xmlns:r="http://schemas.openxmlformats.org/officeDocument/2006/relationships" r:embed="rId1"/>
        <a:stretch>
          <a:fillRect/>
        </a:stretch>
      </xdr:blipFill>
      <xdr:spPr>
        <a:xfrm>
          <a:off x="2006600" y="355600"/>
          <a:ext cx="5689600" cy="44196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190500</xdr:colOff>
      <xdr:row>0</xdr:row>
      <xdr:rowOff>190500</xdr:rowOff>
    </xdr:from>
    <xdr:to>
      <xdr:col>8</xdr:col>
      <xdr:colOff>622300</xdr:colOff>
      <xdr:row>26</xdr:row>
      <xdr:rowOff>152400</xdr:rowOff>
    </xdr:to>
    <xdr:pic>
      <xdr:nvPicPr>
        <xdr:cNvPr id="2" name="Picture 1">
          <a:extLst>
            <a:ext uri="{FF2B5EF4-FFF2-40B4-BE49-F238E27FC236}">
              <a16:creationId xmlns:a16="http://schemas.microsoft.com/office/drawing/2014/main" id="{6FD63B37-DC44-E741-AD68-C0FF2DE0EBC3}"/>
            </a:ext>
          </a:extLst>
        </xdr:cNvPr>
        <xdr:cNvPicPr>
          <a:picLocks noChangeAspect="1"/>
        </xdr:cNvPicPr>
      </xdr:nvPicPr>
      <xdr:blipFill>
        <a:blip xmlns:r="http://schemas.openxmlformats.org/officeDocument/2006/relationships" r:embed="rId1"/>
        <a:stretch>
          <a:fillRect/>
        </a:stretch>
      </xdr:blipFill>
      <xdr:spPr>
        <a:xfrm>
          <a:off x="2667000" y="190500"/>
          <a:ext cx="4559300" cy="703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121228</xdr:colOff>
      <xdr:row>25</xdr:row>
      <xdr:rowOff>117764</xdr:rowOff>
    </xdr:from>
    <xdr:to>
      <xdr:col>18</xdr:col>
      <xdr:colOff>554181</xdr:colOff>
      <xdr:row>56</xdr:row>
      <xdr:rowOff>138547</xdr:rowOff>
    </xdr:to>
    <xdr:graphicFrame macro="">
      <xdr:nvGraphicFramePr>
        <xdr:cNvPr id="2" name="Chart 1">
          <a:extLst>
            <a:ext uri="{FF2B5EF4-FFF2-40B4-BE49-F238E27FC236}">
              <a16:creationId xmlns:a16="http://schemas.microsoft.com/office/drawing/2014/main" id="{C4DBD534-1CD1-434E-AD61-1A1F34E90A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132772</xdr:colOff>
      <xdr:row>25</xdr:row>
      <xdr:rowOff>106218</xdr:rowOff>
    </xdr:from>
    <xdr:to>
      <xdr:col>12</xdr:col>
      <xdr:colOff>819727</xdr:colOff>
      <xdr:row>57</xdr:row>
      <xdr:rowOff>23091</xdr:rowOff>
    </xdr:to>
    <xdr:graphicFrame macro="">
      <xdr:nvGraphicFramePr>
        <xdr:cNvPr id="3" name="Chart 2">
          <a:extLst>
            <a:ext uri="{FF2B5EF4-FFF2-40B4-BE49-F238E27FC236}">
              <a16:creationId xmlns:a16="http://schemas.microsoft.com/office/drawing/2014/main" id="{D6760FB0-4696-5F44-BF02-6D8D83B217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101600</xdr:colOff>
      <xdr:row>2</xdr:row>
      <xdr:rowOff>84667</xdr:rowOff>
    </xdr:from>
    <xdr:to>
      <xdr:col>10</xdr:col>
      <xdr:colOff>609600</xdr:colOff>
      <xdr:row>27</xdr:row>
      <xdr:rowOff>101600</xdr:rowOff>
    </xdr:to>
    <xdr:graphicFrame macro="">
      <xdr:nvGraphicFramePr>
        <xdr:cNvPr id="2" name="Chart 1">
          <a:extLst>
            <a:ext uri="{FF2B5EF4-FFF2-40B4-BE49-F238E27FC236}">
              <a16:creationId xmlns:a16="http://schemas.microsoft.com/office/drawing/2014/main" id="{C4D31801-E46A-574F-916C-6D8523FB3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711200</xdr:colOff>
      <xdr:row>2</xdr:row>
      <xdr:rowOff>101599</xdr:rowOff>
    </xdr:from>
    <xdr:to>
      <xdr:col>15</xdr:col>
      <xdr:colOff>440266</xdr:colOff>
      <xdr:row>27</xdr:row>
      <xdr:rowOff>143933</xdr:rowOff>
    </xdr:to>
    <xdr:graphicFrame macro="">
      <xdr:nvGraphicFramePr>
        <xdr:cNvPr id="3" name="Chart 2">
          <a:extLst>
            <a:ext uri="{FF2B5EF4-FFF2-40B4-BE49-F238E27FC236}">
              <a16:creationId xmlns:a16="http://schemas.microsoft.com/office/drawing/2014/main" id="{98F4037D-5483-1547-94CD-B3F59832B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317500</xdr:colOff>
      <xdr:row>35</xdr:row>
      <xdr:rowOff>25400</xdr:rowOff>
    </xdr:from>
    <xdr:to>
      <xdr:col>17</xdr:col>
      <xdr:colOff>863600</xdr:colOff>
      <xdr:row>64</xdr:row>
      <xdr:rowOff>63500</xdr:rowOff>
    </xdr:to>
    <xdr:graphicFrame macro="">
      <xdr:nvGraphicFramePr>
        <xdr:cNvPr id="3" name="Chart 2">
          <a:extLst>
            <a:ext uri="{FF2B5EF4-FFF2-40B4-BE49-F238E27FC236}">
              <a16:creationId xmlns:a16="http://schemas.microsoft.com/office/drawing/2014/main" id="{E010B95E-7D83-2B45-A30A-580CB7BB99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114300</xdr:colOff>
      <xdr:row>35</xdr:row>
      <xdr:rowOff>12700</xdr:rowOff>
    </xdr:from>
    <xdr:to>
      <xdr:col>12</xdr:col>
      <xdr:colOff>215900</xdr:colOff>
      <xdr:row>64</xdr:row>
      <xdr:rowOff>114300</xdr:rowOff>
    </xdr:to>
    <xdr:graphicFrame macro="">
      <xdr:nvGraphicFramePr>
        <xdr:cNvPr id="4" name="Chart 3">
          <a:extLst>
            <a:ext uri="{FF2B5EF4-FFF2-40B4-BE49-F238E27FC236}">
              <a16:creationId xmlns:a16="http://schemas.microsoft.com/office/drawing/2014/main" id="{9777D035-A690-6B44-A696-76F6A2D72A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440267</xdr:colOff>
      <xdr:row>47</xdr:row>
      <xdr:rowOff>25399</xdr:rowOff>
    </xdr:from>
    <xdr:to>
      <xdr:col>10</xdr:col>
      <xdr:colOff>228601</xdr:colOff>
      <xdr:row>63</xdr:row>
      <xdr:rowOff>59266</xdr:rowOff>
    </xdr:to>
    <xdr:graphicFrame macro="">
      <xdr:nvGraphicFramePr>
        <xdr:cNvPr id="2" name="Chart 1">
          <a:extLst>
            <a:ext uri="{FF2B5EF4-FFF2-40B4-BE49-F238E27FC236}">
              <a16:creationId xmlns:a16="http://schemas.microsoft.com/office/drawing/2014/main" id="{23E155D0-083B-5A4F-AE77-BEBA7C190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rique/Library/Containers/com.apple.mail/Data/Library/Mail%20Downloads/A6A9FF43-18AD-4C68-B06F-6ED63AB68955/Tercer%20Parcial%20b-II-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nrique/Documents/UCR/Profesor/Exa&#769;menes/Solucio&#769;n%20de%20Exa&#769;menes/Gerencia%20de%20Operaciones/Hasta%202019/Tercer%20Parcial%20b-II-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ra pregunta"/>
      <sheetName val="Segunda pregunta"/>
      <sheetName val="Tercera pregunta"/>
      <sheetName val="Cuarta pregunta"/>
    </sheetNames>
    <sheetDataSet>
      <sheetData sheetId="0">
        <row r="5">
          <cell r="E5" t="str">
            <v>hour</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ra pregunta"/>
      <sheetName val="Segunda pregunta"/>
      <sheetName val="Tercera pregunta"/>
      <sheetName val="Cuarta pregunta"/>
    </sheetNames>
    <sheetDataSet>
      <sheetData sheetId="0">
        <row r="5">
          <cell r="E5" t="str">
            <v>hour</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9078D-629E-A040-8CEA-743EF393F2D1}">
  <dimension ref="A1:O37"/>
  <sheetViews>
    <sheetView tabSelected="1" zoomScaleNormal="100" workbookViewId="0">
      <selection activeCell="F42" sqref="F42"/>
    </sheetView>
  </sheetViews>
  <sheetFormatPr baseColWidth="10" defaultRowHeight="13"/>
  <cols>
    <col min="1" max="1" width="10.83203125" style="1"/>
    <col min="2" max="2" width="11.6640625" style="1" bestFit="1" customWidth="1"/>
    <col min="3" max="16384" width="10.83203125" style="1"/>
  </cols>
  <sheetData>
    <row r="1" spans="1:6">
      <c r="A1" s="1" t="s">
        <v>0</v>
      </c>
      <c r="B1" s="1">
        <v>0.02</v>
      </c>
      <c r="C1" s="1" t="s">
        <v>1</v>
      </c>
      <c r="D1" s="1">
        <v>0.08</v>
      </c>
      <c r="E1" s="2" t="s">
        <v>2</v>
      </c>
      <c r="F1" s="1">
        <f>D1/B1</f>
        <v>4</v>
      </c>
    </row>
    <row r="2" spans="1:6">
      <c r="A2" s="1" t="s">
        <v>3</v>
      </c>
      <c r="B2" s="1">
        <v>0.05</v>
      </c>
      <c r="C2" s="1" t="s">
        <v>4</v>
      </c>
      <c r="D2" s="1">
        <v>0.1</v>
      </c>
    </row>
    <row r="4" spans="1:6">
      <c r="A4" s="3" t="s">
        <v>5</v>
      </c>
      <c r="B4" s="3" t="s">
        <v>6</v>
      </c>
      <c r="C4" s="3" t="s">
        <v>7</v>
      </c>
      <c r="D4" s="3" t="s">
        <v>8</v>
      </c>
      <c r="E4" s="3"/>
    </row>
    <row r="5" spans="1:6">
      <c r="A5" s="4">
        <v>1</v>
      </c>
      <c r="B5" s="5">
        <v>0.36</v>
      </c>
      <c r="C5" s="5">
        <v>3.9</v>
      </c>
      <c r="D5" s="5">
        <f>C5/B5</f>
        <v>10.833333333333334</v>
      </c>
    </row>
    <row r="6" spans="1:6">
      <c r="A6" s="4">
        <v>2</v>
      </c>
      <c r="B6" s="5">
        <v>0.8</v>
      </c>
      <c r="C6" s="5">
        <v>5.35</v>
      </c>
      <c r="D6" s="5">
        <f t="shared" ref="D6:D11" si="0">C6/B6</f>
        <v>6.6874999999999991</v>
      </c>
    </row>
    <row r="7" spans="1:6">
      <c r="A7" s="4">
        <v>3</v>
      </c>
      <c r="B7" s="5">
        <v>1.35</v>
      </c>
      <c r="C7" s="5">
        <v>6.7</v>
      </c>
      <c r="D7" s="5">
        <f t="shared" si="0"/>
        <v>4.9629629629629628</v>
      </c>
    </row>
    <row r="8" spans="1:6">
      <c r="A8" s="4">
        <v>4</v>
      </c>
      <c r="B8" s="5">
        <v>1.97</v>
      </c>
      <c r="C8" s="5">
        <v>8</v>
      </c>
      <c r="D8" s="5">
        <f t="shared" si="0"/>
        <v>4.0609137055837561</v>
      </c>
    </row>
    <row r="9" spans="1:6">
      <c r="A9" s="6">
        <v>5</v>
      </c>
      <c r="B9" s="7">
        <v>2.6</v>
      </c>
      <c r="C9" s="7">
        <v>9.3000000000000007</v>
      </c>
      <c r="D9" s="7">
        <f t="shared" si="0"/>
        <v>3.5769230769230771</v>
      </c>
    </row>
    <row r="10" spans="1:6">
      <c r="A10" s="4">
        <v>6</v>
      </c>
      <c r="B10" s="5">
        <v>3.3</v>
      </c>
      <c r="C10" s="5">
        <v>10.5</v>
      </c>
      <c r="D10" s="5">
        <f t="shared" si="0"/>
        <v>3.1818181818181821</v>
      </c>
    </row>
    <row r="11" spans="1:6" ht="14" thickBot="1">
      <c r="A11" s="4">
        <v>7</v>
      </c>
      <c r="B11" s="5">
        <v>4</v>
      </c>
      <c r="C11" s="5">
        <v>11.8</v>
      </c>
      <c r="D11" s="5">
        <f t="shared" si="0"/>
        <v>2.95</v>
      </c>
    </row>
    <row r="12" spans="1:6">
      <c r="A12" s="378" t="s">
        <v>9</v>
      </c>
      <c r="B12" s="379" t="s">
        <v>10</v>
      </c>
      <c r="C12" s="380">
        <f>B9/B1</f>
        <v>130</v>
      </c>
      <c r="D12" s="448" t="s">
        <v>793</v>
      </c>
    </row>
    <row r="13" spans="1:6">
      <c r="A13" s="373" t="s">
        <v>11</v>
      </c>
      <c r="B13" s="8" t="s">
        <v>12</v>
      </c>
      <c r="C13" s="382">
        <f>D1*C12/100</f>
        <v>0.10400000000000001</v>
      </c>
      <c r="D13" s="448"/>
    </row>
    <row r="14" spans="1:6" ht="14" thickBot="1">
      <c r="A14" s="375" t="s">
        <v>13</v>
      </c>
      <c r="B14" s="376"/>
      <c r="C14" s="377"/>
      <c r="D14" s="448"/>
    </row>
    <row r="16" spans="1:6">
      <c r="A16" s="8" t="s">
        <v>14</v>
      </c>
      <c r="B16" s="9">
        <v>130</v>
      </c>
      <c r="C16" s="10"/>
      <c r="D16" s="10"/>
    </row>
    <row r="17" spans="1:15">
      <c r="A17" s="8" t="s">
        <v>15</v>
      </c>
      <c r="B17" s="9">
        <v>5</v>
      </c>
      <c r="C17" s="10"/>
      <c r="D17" s="10"/>
    </row>
    <row r="18" spans="1:15">
      <c r="A18" s="3" t="s">
        <v>16</v>
      </c>
      <c r="B18" s="3" t="s">
        <v>17</v>
      </c>
      <c r="C18" s="3" t="s">
        <v>18</v>
      </c>
      <c r="D18" s="3" t="s">
        <v>19</v>
      </c>
    </row>
    <row r="19" spans="1:15">
      <c r="A19" s="4">
        <v>0.01</v>
      </c>
      <c r="B19" s="4">
        <f>A19*$B$16</f>
        <v>1.3</v>
      </c>
      <c r="C19" s="11">
        <v>0.998</v>
      </c>
      <c r="D19" s="12">
        <f>A19*C19</f>
        <v>9.980000000000001E-3</v>
      </c>
    </row>
    <row r="20" spans="1:15">
      <c r="A20" s="4">
        <v>0.02</v>
      </c>
      <c r="B20" s="4">
        <f t="shared" ref="B20:B26" si="1">A20*$B$16</f>
        <v>2.6</v>
      </c>
      <c r="C20" s="11">
        <v>0.95099999999999996</v>
      </c>
      <c r="D20" s="12">
        <f t="shared" ref="D20:D26" si="2">A20*C20</f>
        <v>1.9019999999999999E-2</v>
      </c>
    </row>
    <row r="21" spans="1:15">
      <c r="A21" s="4">
        <v>0.03</v>
      </c>
      <c r="B21" s="4">
        <f t="shared" si="1"/>
        <v>3.9</v>
      </c>
      <c r="C21" s="11">
        <v>0.8</v>
      </c>
      <c r="D21" s="12">
        <f t="shared" si="2"/>
        <v>2.4E-2</v>
      </c>
    </row>
    <row r="22" spans="1:15">
      <c r="A22" s="4">
        <v>0.04</v>
      </c>
      <c r="B22" s="4">
        <f t="shared" si="1"/>
        <v>5.2</v>
      </c>
      <c r="C22" s="11">
        <v>0.58099999999999996</v>
      </c>
      <c r="D22" s="12">
        <f t="shared" si="2"/>
        <v>2.324E-2</v>
      </c>
    </row>
    <row r="23" spans="1:15">
      <c r="A23" s="4">
        <v>0.05</v>
      </c>
      <c r="B23" s="4">
        <f t="shared" si="1"/>
        <v>6.5</v>
      </c>
      <c r="C23" s="11">
        <v>0.36899999999999999</v>
      </c>
      <c r="D23" s="12">
        <f t="shared" si="2"/>
        <v>1.8450000000000001E-2</v>
      </c>
    </row>
    <row r="24" spans="1:15">
      <c r="A24" s="4">
        <v>0.06</v>
      </c>
      <c r="B24" s="4">
        <f t="shared" si="1"/>
        <v>7.8</v>
      </c>
      <c r="C24" s="11">
        <v>0.21</v>
      </c>
      <c r="D24" s="12">
        <f t="shared" si="2"/>
        <v>1.2599999999999998E-2</v>
      </c>
    </row>
    <row r="25" spans="1:15">
      <c r="A25" s="4">
        <v>7.0000000000000007E-2</v>
      </c>
      <c r="B25" s="4">
        <f t="shared" si="1"/>
        <v>9.1000000000000014</v>
      </c>
      <c r="C25" s="11">
        <v>0.11</v>
      </c>
      <c r="D25" s="12">
        <f t="shared" si="2"/>
        <v>7.7000000000000011E-3</v>
      </c>
    </row>
    <row r="26" spans="1:15">
      <c r="A26" s="4">
        <v>0.08</v>
      </c>
      <c r="B26" s="4">
        <f t="shared" si="1"/>
        <v>10.4</v>
      </c>
      <c r="C26" s="11">
        <v>5.2999999999999999E-2</v>
      </c>
      <c r="D26" s="12">
        <f t="shared" si="2"/>
        <v>4.2399999999999998E-3</v>
      </c>
    </row>
    <row r="28" spans="1:15">
      <c r="A28" s="4" t="s">
        <v>16</v>
      </c>
      <c r="B28" s="4" t="s">
        <v>18</v>
      </c>
      <c r="C28" s="4" t="s">
        <v>16</v>
      </c>
      <c r="D28" s="4" t="s">
        <v>45</v>
      </c>
    </row>
    <row r="29" spans="1:15">
      <c r="A29" s="4">
        <v>0</v>
      </c>
      <c r="B29" s="4">
        <v>1</v>
      </c>
      <c r="C29" s="4">
        <v>0.01</v>
      </c>
      <c r="D29" s="1">
        <v>9.980000000000001E-3</v>
      </c>
    </row>
    <row r="30" spans="1:15">
      <c r="A30" s="4">
        <v>0.01</v>
      </c>
      <c r="B30" s="11">
        <v>0.998</v>
      </c>
      <c r="C30" s="4">
        <v>0.02</v>
      </c>
      <c r="D30" s="1">
        <v>1.9019999999999999E-2</v>
      </c>
    </row>
    <row r="31" spans="1:15">
      <c r="A31" s="4">
        <v>0.02</v>
      </c>
      <c r="B31" s="11">
        <v>0.95099999999999996</v>
      </c>
      <c r="C31" s="4">
        <v>0.03</v>
      </c>
      <c r="D31" s="1">
        <v>2.4E-2</v>
      </c>
      <c r="I31" s="298" t="s">
        <v>793</v>
      </c>
      <c r="O31" s="298" t="s">
        <v>793</v>
      </c>
    </row>
    <row r="32" spans="1:15">
      <c r="A32" s="4">
        <v>0.03</v>
      </c>
      <c r="B32" s="11">
        <v>0.8</v>
      </c>
      <c r="C32" s="4">
        <v>0.04</v>
      </c>
      <c r="D32" s="1">
        <v>2.324E-2</v>
      </c>
    </row>
    <row r="33" spans="1:4">
      <c r="A33" s="4">
        <v>0.04</v>
      </c>
      <c r="B33" s="11">
        <v>0.58099999999999996</v>
      </c>
      <c r="C33" s="4">
        <v>0.05</v>
      </c>
      <c r="D33" s="1">
        <v>1.8450000000000001E-2</v>
      </c>
    </row>
    <row r="34" spans="1:4">
      <c r="A34" s="4">
        <v>0.05</v>
      </c>
      <c r="B34" s="11">
        <v>0.36899999999999999</v>
      </c>
      <c r="C34" s="4">
        <v>0.06</v>
      </c>
      <c r="D34" s="1">
        <v>1.2599999999999998E-2</v>
      </c>
    </row>
    <row r="35" spans="1:4">
      <c r="A35" s="4">
        <v>0.06</v>
      </c>
      <c r="B35" s="11">
        <v>0.21</v>
      </c>
      <c r="C35" s="4">
        <v>7.0000000000000007E-2</v>
      </c>
      <c r="D35" s="1">
        <v>7.7000000000000011E-3</v>
      </c>
    </row>
    <row r="36" spans="1:4">
      <c r="A36" s="4">
        <v>7.0000000000000007E-2</v>
      </c>
      <c r="B36" s="11">
        <v>0.11</v>
      </c>
      <c r="C36" s="4">
        <v>0.08</v>
      </c>
      <c r="D36" s="1">
        <v>4.2399999999999998E-3</v>
      </c>
    </row>
    <row r="37" spans="1:4">
      <c r="A37" s="4">
        <v>0.08</v>
      </c>
      <c r="B37" s="11">
        <v>5.2999999999999999E-2</v>
      </c>
    </row>
  </sheetData>
  <mergeCells count="1">
    <mergeCell ref="D12:D14"/>
  </mergeCells>
  <pageMargins left="0.75" right="0.75" top="1" bottom="1" header="0.5" footer="0.5"/>
  <pageSetup paperSize="0" orientation="landscape" horizontalDpi="4294967292" verticalDpi="4294967292"/>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CCD01-BD6E-3446-BA17-79008B9FCCB8}">
  <dimension ref="A2:AB42"/>
  <sheetViews>
    <sheetView zoomScaleNormal="100" zoomScalePageLayoutView="125" workbookViewId="0">
      <selection activeCell="O27" sqref="O27"/>
    </sheetView>
  </sheetViews>
  <sheetFormatPr baseColWidth="10" defaultRowHeight="16"/>
  <cols>
    <col min="2" max="2" width="18.83203125" bestFit="1" customWidth="1"/>
    <col min="10" max="10" width="2.83203125" customWidth="1"/>
    <col min="11" max="11" width="3.6640625" customWidth="1"/>
    <col min="12" max="13" width="18.83203125" bestFit="1" customWidth="1"/>
    <col min="15" max="15" width="7.1640625" customWidth="1"/>
    <col min="16" max="16" width="8.33203125" bestFit="1" customWidth="1"/>
    <col min="17" max="17" width="12.33203125" customWidth="1"/>
    <col min="18" max="18" width="20.1640625" customWidth="1"/>
    <col min="19" max="28" width="7.1640625" customWidth="1"/>
  </cols>
  <sheetData>
    <row r="2" spans="1:28" ht="21">
      <c r="A2" s="63" t="s">
        <v>157</v>
      </c>
      <c r="L2" s="63" t="s">
        <v>158</v>
      </c>
    </row>
    <row r="3" spans="1:28" ht="15" customHeight="1">
      <c r="A3" s="63"/>
      <c r="B3" t="s">
        <v>159</v>
      </c>
      <c r="C3" s="64" t="s">
        <v>160</v>
      </c>
      <c r="L3" s="63"/>
    </row>
    <row r="4" spans="1:28" ht="14" customHeight="1">
      <c r="A4" s="63"/>
      <c r="B4" t="s">
        <v>161</v>
      </c>
      <c r="C4" s="64">
        <f>125-2</f>
        <v>123</v>
      </c>
      <c r="L4" s="63"/>
    </row>
    <row r="6" spans="1:28">
      <c r="B6" s="472" t="s">
        <v>162</v>
      </c>
      <c r="C6" s="473"/>
      <c r="D6" s="474"/>
      <c r="L6" s="472" t="s">
        <v>162</v>
      </c>
      <c r="M6" s="473"/>
      <c r="N6" s="474"/>
      <c r="R6" s="475" t="s">
        <v>163</v>
      </c>
      <c r="S6" s="476"/>
      <c r="T6" s="476"/>
      <c r="U6" s="476"/>
      <c r="V6" s="476"/>
      <c r="W6" s="476"/>
      <c r="X6" s="476"/>
      <c r="Y6" s="476"/>
      <c r="Z6" s="476"/>
      <c r="AA6" s="476"/>
      <c r="AB6" s="477"/>
    </row>
    <row r="7" spans="1:28">
      <c r="B7" s="65" t="s">
        <v>164</v>
      </c>
      <c r="C7" s="66" t="s">
        <v>165</v>
      </c>
      <c r="D7" s="66" t="s">
        <v>165</v>
      </c>
      <c r="L7" s="65" t="s">
        <v>164</v>
      </c>
      <c r="M7" s="66" t="s">
        <v>166</v>
      </c>
      <c r="N7" s="66" t="s">
        <v>166</v>
      </c>
      <c r="R7" s="67" t="s">
        <v>167</v>
      </c>
      <c r="S7" s="67">
        <v>1</v>
      </c>
      <c r="T7" s="67">
        <v>2</v>
      </c>
      <c r="U7" s="67">
        <v>3</v>
      </c>
      <c r="V7" s="67">
        <v>4</v>
      </c>
      <c r="W7" s="67">
        <v>5</v>
      </c>
      <c r="X7" s="67">
        <v>6</v>
      </c>
      <c r="Y7" s="67">
        <v>7</v>
      </c>
      <c r="Z7" s="67">
        <v>8</v>
      </c>
      <c r="AA7" s="67">
        <v>9</v>
      </c>
      <c r="AB7" s="67">
        <v>10</v>
      </c>
    </row>
    <row r="8" spans="1:28" ht="17">
      <c r="B8" s="65" t="s">
        <v>47</v>
      </c>
      <c r="C8" s="68">
        <v>3000</v>
      </c>
      <c r="D8" s="68">
        <v>3000</v>
      </c>
      <c r="L8" s="65" t="s">
        <v>47</v>
      </c>
      <c r="M8" s="68">
        <v>3000</v>
      </c>
      <c r="N8" s="68">
        <v>3000</v>
      </c>
      <c r="R8" s="69" t="s">
        <v>168</v>
      </c>
      <c r="S8" s="70">
        <v>19</v>
      </c>
      <c r="T8" s="70">
        <v>17</v>
      </c>
      <c r="U8" s="70">
        <v>15</v>
      </c>
      <c r="V8" s="70">
        <v>24</v>
      </c>
      <c r="W8" s="70">
        <v>25</v>
      </c>
      <c r="X8" s="70">
        <v>15</v>
      </c>
      <c r="Y8" s="70">
        <v>13</v>
      </c>
      <c r="Z8" s="70">
        <v>16</v>
      </c>
      <c r="AA8" s="70">
        <v>10</v>
      </c>
      <c r="AB8" s="70">
        <v>9</v>
      </c>
    </row>
    <row r="9" spans="1:28">
      <c r="B9" s="65" t="s">
        <v>0</v>
      </c>
      <c r="C9" s="71">
        <v>2.5000000000000001E-3</v>
      </c>
      <c r="D9" s="71">
        <v>2.5000000000000001E-3</v>
      </c>
      <c r="L9" s="65" t="s">
        <v>0</v>
      </c>
      <c r="M9" s="72">
        <v>0.1</v>
      </c>
      <c r="N9" s="72">
        <v>0.1</v>
      </c>
    </row>
    <row r="10" spans="1:28">
      <c r="B10" s="65" t="s">
        <v>169</v>
      </c>
      <c r="C10" s="68" t="s">
        <v>170</v>
      </c>
      <c r="D10" s="68" t="s">
        <v>171</v>
      </c>
      <c r="J10" s="73"/>
      <c r="K10" s="73"/>
      <c r="L10" s="65" t="s">
        <v>169</v>
      </c>
      <c r="M10" s="68" t="s">
        <v>170</v>
      </c>
      <c r="N10" s="68" t="s">
        <v>171</v>
      </c>
    </row>
    <row r="11" spans="1:28">
      <c r="B11" s="65" t="s">
        <v>172</v>
      </c>
      <c r="C11" s="68" t="s">
        <v>173</v>
      </c>
      <c r="D11" s="68" t="s">
        <v>173</v>
      </c>
      <c r="J11" s="73"/>
      <c r="K11" s="73"/>
      <c r="L11" s="65" t="s">
        <v>172</v>
      </c>
      <c r="M11" s="68" t="s">
        <v>174</v>
      </c>
      <c r="N11" s="68" t="s">
        <v>174</v>
      </c>
    </row>
    <row r="12" spans="1:28">
      <c r="B12" s="65" t="s">
        <v>175</v>
      </c>
      <c r="C12" s="68" t="s">
        <v>176</v>
      </c>
      <c r="D12" s="68" t="s">
        <v>176</v>
      </c>
      <c r="J12" s="64"/>
      <c r="K12" s="64"/>
      <c r="L12" s="65" t="s">
        <v>175</v>
      </c>
      <c r="M12" s="68" t="s">
        <v>176</v>
      </c>
      <c r="N12" s="68" t="s">
        <v>176</v>
      </c>
    </row>
    <row r="13" spans="1:28">
      <c r="B13" s="65" t="s">
        <v>177</v>
      </c>
      <c r="C13" s="68" t="s">
        <v>178</v>
      </c>
      <c r="D13" s="68" t="s">
        <v>178</v>
      </c>
      <c r="J13" s="64"/>
      <c r="K13" s="64"/>
      <c r="L13" s="65" t="s">
        <v>177</v>
      </c>
      <c r="M13" s="68" t="s">
        <v>179</v>
      </c>
      <c r="N13" s="68" t="s">
        <v>179</v>
      </c>
    </row>
    <row r="14" spans="1:28">
      <c r="B14" s="65" t="s">
        <v>101</v>
      </c>
      <c r="C14" s="68">
        <v>40</v>
      </c>
      <c r="D14" s="68">
        <v>40</v>
      </c>
      <c r="J14" s="64"/>
      <c r="K14" s="64"/>
      <c r="L14" s="65" t="s">
        <v>101</v>
      </c>
      <c r="M14" s="68">
        <v>125</v>
      </c>
      <c r="N14" s="68">
        <v>125</v>
      </c>
    </row>
    <row r="15" spans="1:28">
      <c r="B15" s="65" t="s">
        <v>180</v>
      </c>
      <c r="C15" s="68">
        <v>0.873</v>
      </c>
      <c r="D15" s="68">
        <v>0.56599999999999995</v>
      </c>
      <c r="J15" s="64"/>
      <c r="K15" s="64"/>
      <c r="L15" s="65" t="s">
        <v>181</v>
      </c>
      <c r="M15" s="68">
        <v>21</v>
      </c>
      <c r="N15" s="68">
        <v>18</v>
      </c>
    </row>
    <row r="16" spans="1:28">
      <c r="C16" s="64"/>
      <c r="D16" s="64"/>
      <c r="J16" s="64"/>
      <c r="K16" s="64"/>
      <c r="L16" s="65" t="s">
        <v>182</v>
      </c>
      <c r="M16" s="68">
        <v>22</v>
      </c>
      <c r="N16" s="68">
        <v>19</v>
      </c>
    </row>
    <row r="17" spans="2:18">
      <c r="J17" s="64"/>
      <c r="K17" s="64"/>
    </row>
    <row r="18" spans="2:18">
      <c r="J18" s="64"/>
      <c r="K18" s="64"/>
    </row>
    <row r="19" spans="2:18">
      <c r="B19" s="478" t="s">
        <v>183</v>
      </c>
      <c r="C19" s="478"/>
      <c r="D19" s="478"/>
      <c r="E19" s="478"/>
      <c r="F19" s="478"/>
      <c r="G19" s="478"/>
      <c r="J19" s="64"/>
      <c r="K19" s="64"/>
      <c r="L19" s="67" t="s">
        <v>167</v>
      </c>
      <c r="M19" s="74" t="s">
        <v>184</v>
      </c>
      <c r="N19" s="74" t="s">
        <v>181</v>
      </c>
      <c r="O19" s="74" t="s">
        <v>182</v>
      </c>
      <c r="P19" s="74" t="s">
        <v>185</v>
      </c>
      <c r="Q19" s="74" t="s">
        <v>186</v>
      </c>
    </row>
    <row r="20" spans="2:18">
      <c r="B20" s="67" t="s">
        <v>167</v>
      </c>
      <c r="C20" s="67" t="s">
        <v>187</v>
      </c>
      <c r="D20" s="67" t="s">
        <v>188</v>
      </c>
      <c r="E20" s="67" t="s">
        <v>189</v>
      </c>
      <c r="F20" s="67" t="s">
        <v>190</v>
      </c>
      <c r="G20" s="67" t="s">
        <v>191</v>
      </c>
      <c r="H20" s="73" t="s">
        <v>192</v>
      </c>
      <c r="I20" s="73" t="s">
        <v>193</v>
      </c>
      <c r="J20" s="64"/>
      <c r="K20" s="64"/>
      <c r="L20" s="68">
        <v>1</v>
      </c>
      <c r="M20" s="75">
        <v>19</v>
      </c>
      <c r="N20" s="68">
        <v>21</v>
      </c>
      <c r="O20" s="68">
        <v>22</v>
      </c>
      <c r="P20" s="68" t="s">
        <v>194</v>
      </c>
      <c r="Q20" s="68" t="s">
        <v>170</v>
      </c>
    </row>
    <row r="21" spans="2:18">
      <c r="B21" s="68">
        <v>1</v>
      </c>
      <c r="C21" s="76">
        <v>128.20069671538658</v>
      </c>
      <c r="D21" s="76">
        <v>127.799286575173</v>
      </c>
      <c r="E21" s="76">
        <v>130.48726871379768</v>
      </c>
      <c r="F21" s="76">
        <v>126.423615241132</v>
      </c>
      <c r="G21" s="76">
        <v>127.71528575062985</v>
      </c>
      <c r="H21" s="77">
        <f t="shared" ref="H21:H30" si="0">AVERAGE(C21:G21)</f>
        <v>128.12523059922381</v>
      </c>
      <c r="I21" s="77">
        <f t="shared" ref="I21:I30" si="1">_xlfn.STDEV.S(C21:G21)</f>
        <v>1.4794178164049401</v>
      </c>
      <c r="J21" s="64"/>
      <c r="K21" s="64"/>
      <c r="L21" s="68">
        <f t="shared" ref="L21:L29" si="2">L20+1</f>
        <v>2</v>
      </c>
      <c r="M21" s="78">
        <v>17</v>
      </c>
      <c r="N21" s="68">
        <v>21</v>
      </c>
      <c r="O21" s="68">
        <v>22</v>
      </c>
      <c r="P21" s="68" t="s">
        <v>194</v>
      </c>
      <c r="Q21" s="68" t="s">
        <v>170</v>
      </c>
    </row>
    <row r="22" spans="2:18">
      <c r="B22" s="68">
        <v>2</v>
      </c>
      <c r="C22" s="76">
        <v>127.726069078547</v>
      </c>
      <c r="D22" s="76">
        <v>125.53193912713323</v>
      </c>
      <c r="E22" s="76">
        <v>126.8199176692</v>
      </c>
      <c r="F22" s="76">
        <v>129.37256017499021</v>
      </c>
      <c r="G22" s="76">
        <v>126.90989556661199</v>
      </c>
      <c r="H22" s="77">
        <f t="shared" si="0"/>
        <v>127.27207632329649</v>
      </c>
      <c r="I22" s="77">
        <f t="shared" si="1"/>
        <v>1.4126076634635583</v>
      </c>
      <c r="L22" s="68">
        <f t="shared" si="2"/>
        <v>3</v>
      </c>
      <c r="M22" s="78">
        <v>15</v>
      </c>
      <c r="N22" s="68">
        <v>21</v>
      </c>
      <c r="O22" s="68">
        <v>22</v>
      </c>
      <c r="P22" s="68" t="s">
        <v>194</v>
      </c>
      <c r="Q22" s="68" t="s">
        <v>170</v>
      </c>
    </row>
    <row r="23" spans="2:18">
      <c r="B23" s="68">
        <v>3</v>
      </c>
      <c r="C23" s="76">
        <v>127.33472360883025</v>
      </c>
      <c r="D23" s="76">
        <v>128.52263055497315</v>
      </c>
      <c r="E23" s="76">
        <v>125.253215274715</v>
      </c>
      <c r="F23" s="76">
        <v>126.26344571576919</v>
      </c>
      <c r="G23" s="76">
        <v>127.94086999524734</v>
      </c>
      <c r="H23" s="77">
        <f t="shared" si="0"/>
        <v>127.06297702990699</v>
      </c>
      <c r="I23" s="77">
        <f t="shared" si="1"/>
        <v>1.3124041496268515</v>
      </c>
      <c r="L23" s="68">
        <f t="shared" si="2"/>
        <v>4</v>
      </c>
      <c r="M23" s="78">
        <v>24</v>
      </c>
      <c r="N23" s="68">
        <v>21</v>
      </c>
      <c r="O23" s="68">
        <v>22</v>
      </c>
      <c r="P23" s="68" t="s">
        <v>195</v>
      </c>
      <c r="Q23" s="68" t="s">
        <v>170</v>
      </c>
    </row>
    <row r="24" spans="2:18">
      <c r="B24" s="68">
        <v>4</v>
      </c>
      <c r="C24" s="76">
        <v>125.560967130994</v>
      </c>
      <c r="D24" s="76">
        <v>127.98823034527599</v>
      </c>
      <c r="E24" s="76">
        <v>126.414311110333</v>
      </c>
      <c r="F24" s="76">
        <v>125.40665089120699</v>
      </c>
      <c r="G24" s="76">
        <v>128.02989530307201</v>
      </c>
      <c r="H24" s="77">
        <f t="shared" si="0"/>
        <v>126.6800109561764</v>
      </c>
      <c r="I24" s="77">
        <f t="shared" si="1"/>
        <v>1.2725886084894888</v>
      </c>
      <c r="L24" s="68">
        <f t="shared" si="2"/>
        <v>5</v>
      </c>
      <c r="M24" s="78">
        <v>25</v>
      </c>
      <c r="N24" s="68">
        <v>21</v>
      </c>
      <c r="O24" s="68">
        <v>22</v>
      </c>
      <c r="P24" s="68" t="s">
        <v>195</v>
      </c>
      <c r="Q24" s="68" t="s">
        <v>170</v>
      </c>
    </row>
    <row r="25" spans="2:18">
      <c r="B25" s="68">
        <v>5</v>
      </c>
      <c r="C25" s="76">
        <v>128.87766431736236</v>
      </c>
      <c r="D25" s="76">
        <v>125.56161821298883</v>
      </c>
      <c r="E25" s="76">
        <v>127.86474869931408</v>
      </c>
      <c r="F25" s="76">
        <v>130.539463927562</v>
      </c>
      <c r="G25" s="76">
        <v>127.04532694219961</v>
      </c>
      <c r="H25" s="77">
        <f t="shared" si="0"/>
        <v>127.97776441988537</v>
      </c>
      <c r="I25" s="77">
        <f t="shared" si="1"/>
        <v>1.8769722220307048</v>
      </c>
      <c r="L25" s="68">
        <f t="shared" si="2"/>
        <v>6</v>
      </c>
      <c r="M25" s="78">
        <v>15</v>
      </c>
      <c r="N25" s="68">
        <v>18</v>
      </c>
      <c r="O25" s="68">
        <v>19</v>
      </c>
      <c r="P25" s="68" t="s">
        <v>194</v>
      </c>
      <c r="Q25" s="68" t="s">
        <v>196</v>
      </c>
    </row>
    <row r="26" spans="2:18">
      <c r="B26" s="68">
        <v>6</v>
      </c>
      <c r="C26" s="76">
        <v>126.02822310104966</v>
      </c>
      <c r="D26" s="76">
        <v>129.33975697483402</v>
      </c>
      <c r="E26" s="76">
        <v>130.385395631194</v>
      </c>
      <c r="F26" s="76">
        <v>126.85869180818554</v>
      </c>
      <c r="G26" s="76">
        <v>127.17118168216257</v>
      </c>
      <c r="H26" s="77">
        <f t="shared" si="0"/>
        <v>127.95664983948515</v>
      </c>
      <c r="I26" s="77">
        <f t="shared" si="1"/>
        <v>1.8270942243609376</v>
      </c>
      <c r="L26" s="68">
        <f t="shared" si="2"/>
        <v>7</v>
      </c>
      <c r="M26" s="78">
        <v>13</v>
      </c>
      <c r="N26" s="68">
        <v>18</v>
      </c>
      <c r="O26" s="68">
        <v>19</v>
      </c>
      <c r="P26" s="68" t="s">
        <v>194</v>
      </c>
      <c r="Q26" s="68" t="s">
        <v>196</v>
      </c>
    </row>
    <row r="27" spans="2:18">
      <c r="B27" s="68">
        <v>7</v>
      </c>
      <c r="C27" s="76">
        <v>126.671777322888</v>
      </c>
      <c r="D27" s="76">
        <v>125.41068529349286</v>
      </c>
      <c r="E27" s="76">
        <v>125.36449036491101</v>
      </c>
      <c r="F27" s="76">
        <v>128.40542000633999</v>
      </c>
      <c r="G27" s="76">
        <v>127.484342096257</v>
      </c>
      <c r="H27" s="77">
        <f t="shared" si="0"/>
        <v>126.66734301677778</v>
      </c>
      <c r="I27" s="77">
        <f t="shared" si="1"/>
        <v>1.31956739564091</v>
      </c>
      <c r="L27" s="68">
        <f t="shared" si="2"/>
        <v>8</v>
      </c>
      <c r="M27" s="78">
        <v>16</v>
      </c>
      <c r="N27" s="68">
        <v>18</v>
      </c>
      <c r="O27" s="68">
        <v>19</v>
      </c>
      <c r="P27" s="68" t="s">
        <v>194</v>
      </c>
      <c r="Q27" s="68" t="s">
        <v>196</v>
      </c>
    </row>
    <row r="28" spans="2:18">
      <c r="B28" s="68">
        <v>8</v>
      </c>
      <c r="C28" s="76">
        <v>126.39990743769158</v>
      </c>
      <c r="D28" s="76">
        <v>132.60253283765633</v>
      </c>
      <c r="E28" s="76">
        <v>128.46288698488206</v>
      </c>
      <c r="F28" s="76">
        <v>123.81064764445182</v>
      </c>
      <c r="G28" s="76">
        <v>124.75033757032361</v>
      </c>
      <c r="H28" s="77">
        <f t="shared" si="0"/>
        <v>127.20526249500108</v>
      </c>
      <c r="I28" s="77">
        <f t="shared" si="1"/>
        <v>3.4968131794163857</v>
      </c>
      <c r="L28" s="68">
        <f t="shared" si="2"/>
        <v>9</v>
      </c>
      <c r="M28" s="78">
        <v>10</v>
      </c>
      <c r="N28" s="68">
        <v>18</v>
      </c>
      <c r="O28" s="68">
        <v>19</v>
      </c>
      <c r="P28" s="68" t="s">
        <v>194</v>
      </c>
      <c r="Q28" s="68" t="s">
        <v>196</v>
      </c>
    </row>
    <row r="29" spans="2:18">
      <c r="B29" s="68">
        <v>9</v>
      </c>
      <c r="C29" s="76">
        <v>134.7014192356728</v>
      </c>
      <c r="D29" s="76">
        <v>130.97983512812061</v>
      </c>
      <c r="E29" s="76">
        <v>125.61571041037678</v>
      </c>
      <c r="F29" s="76">
        <v>126.20654317975277</v>
      </c>
      <c r="G29" s="76">
        <v>129.07119228434749</v>
      </c>
      <c r="H29" s="77">
        <f t="shared" si="0"/>
        <v>129.31494004765409</v>
      </c>
      <c r="I29" s="77">
        <f t="shared" si="1"/>
        <v>3.7145618059781591</v>
      </c>
      <c r="L29" s="68">
        <f t="shared" si="2"/>
        <v>10</v>
      </c>
      <c r="M29" s="78">
        <v>9</v>
      </c>
      <c r="N29" s="68">
        <v>18</v>
      </c>
      <c r="O29" s="68">
        <v>19</v>
      </c>
      <c r="P29" s="68" t="s">
        <v>194</v>
      </c>
      <c r="Q29" s="68" t="s">
        <v>196</v>
      </c>
    </row>
    <row r="30" spans="2:18">
      <c r="B30" s="68">
        <v>10</v>
      </c>
      <c r="C30" s="76">
        <v>126.697614056349</v>
      </c>
      <c r="D30" s="76">
        <v>125.149928827246</v>
      </c>
      <c r="E30" s="76">
        <v>126.8763826170034</v>
      </c>
      <c r="F30" s="76">
        <v>128.90622131412965</v>
      </c>
      <c r="G30" s="76">
        <v>126.9539841155638</v>
      </c>
      <c r="H30" s="77">
        <f t="shared" si="0"/>
        <v>126.91682618605837</v>
      </c>
      <c r="I30" s="77">
        <f t="shared" si="1"/>
        <v>1.3351675554014406</v>
      </c>
    </row>
    <row r="31" spans="2:18">
      <c r="L31" t="s">
        <v>197</v>
      </c>
      <c r="O31" s="64"/>
      <c r="P31" s="64"/>
      <c r="Q31" s="64"/>
      <c r="R31" s="64"/>
    </row>
    <row r="32" spans="2:18">
      <c r="D32" s="64" t="s">
        <v>198</v>
      </c>
      <c r="L32" t="s">
        <v>199</v>
      </c>
      <c r="O32" s="64"/>
      <c r="P32" s="64"/>
      <c r="Q32" s="64"/>
      <c r="R32" s="64"/>
    </row>
    <row r="33" spans="2:7">
      <c r="B33" t="s">
        <v>200</v>
      </c>
      <c r="C33" s="79">
        <f t="shared" ref="C33:C42" si="3">(H21-$C$4)/I21</f>
        <v>3.4643564126315449</v>
      </c>
      <c r="D33" s="80">
        <v>8.9999999999999993E-3</v>
      </c>
      <c r="E33" s="64" t="s">
        <v>194</v>
      </c>
      <c r="F33" s="64" t="s">
        <v>170</v>
      </c>
    </row>
    <row r="34" spans="2:7">
      <c r="B34" t="s">
        <v>201</v>
      </c>
      <c r="C34" s="79">
        <f t="shared" si="3"/>
        <v>3.0242482989380282</v>
      </c>
      <c r="D34" s="80">
        <v>7.2999999999999995E-2</v>
      </c>
      <c r="E34" s="64" t="s">
        <v>194</v>
      </c>
      <c r="F34" s="64" t="s">
        <v>170</v>
      </c>
    </row>
    <row r="35" spans="2:7">
      <c r="B35" t="s">
        <v>202</v>
      </c>
      <c r="C35" s="79">
        <f t="shared" si="3"/>
        <v>3.0958276313452622</v>
      </c>
      <c r="D35" s="80">
        <v>4.7E-2</v>
      </c>
      <c r="E35" s="64" t="s">
        <v>194</v>
      </c>
      <c r="F35" s="64" t="s">
        <v>170</v>
      </c>
    </row>
    <row r="36" spans="2:7">
      <c r="B36" t="s">
        <v>203</v>
      </c>
      <c r="C36" s="79">
        <f t="shared" si="3"/>
        <v>2.891752237625659</v>
      </c>
      <c r="D36" s="80">
        <v>0.11</v>
      </c>
      <c r="E36" s="64" t="s">
        <v>194</v>
      </c>
      <c r="F36" s="64" t="s">
        <v>170</v>
      </c>
    </row>
    <row r="37" spans="2:7">
      <c r="B37" t="s">
        <v>204</v>
      </c>
      <c r="C37" s="79">
        <f t="shared" si="3"/>
        <v>2.6520181606629794</v>
      </c>
      <c r="D37" s="80">
        <v>0.28199999999999997</v>
      </c>
      <c r="E37" s="64" t="s">
        <v>194</v>
      </c>
      <c r="F37" s="64" t="s">
        <v>170</v>
      </c>
    </row>
    <row r="38" spans="2:7">
      <c r="B38" t="s">
        <v>205</v>
      </c>
      <c r="C38" s="79">
        <f t="shared" si="3"/>
        <v>2.7128594537694619</v>
      </c>
      <c r="D38" s="80">
        <v>0.23599999999999999</v>
      </c>
      <c r="E38" s="81" t="s">
        <v>194</v>
      </c>
      <c r="F38" s="64" t="s">
        <v>170</v>
      </c>
    </row>
    <row r="39" spans="2:7">
      <c r="B39" t="s">
        <v>206</v>
      </c>
      <c r="C39" s="79">
        <f t="shared" si="3"/>
        <v>2.7792009933653752</v>
      </c>
      <c r="D39" s="80">
        <v>0.16200000000000001</v>
      </c>
      <c r="E39" s="81" t="s">
        <v>194</v>
      </c>
      <c r="F39" s="64" t="s">
        <v>170</v>
      </c>
    </row>
    <row r="40" spans="2:7">
      <c r="B40" t="s">
        <v>207</v>
      </c>
      <c r="C40" s="79">
        <f t="shared" si="3"/>
        <v>1.2025985602419096</v>
      </c>
      <c r="D40" s="77">
        <v>11.44</v>
      </c>
      <c r="E40" s="64" t="s">
        <v>195</v>
      </c>
      <c r="F40" s="64" t="s">
        <v>170</v>
      </c>
    </row>
    <row r="41" spans="2:7">
      <c r="B41" t="s">
        <v>208</v>
      </c>
      <c r="C41" s="79">
        <f t="shared" si="3"/>
        <v>1.7000497979306528</v>
      </c>
      <c r="D41" s="77">
        <v>4.25</v>
      </c>
      <c r="E41" s="64" t="s">
        <v>195</v>
      </c>
      <c r="F41" s="64" t="s">
        <v>170</v>
      </c>
    </row>
    <row r="42" spans="2:7">
      <c r="B42" t="s">
        <v>209</v>
      </c>
      <c r="C42" s="79">
        <f t="shared" si="3"/>
        <v>2.9335840061517318</v>
      </c>
      <c r="D42" s="80">
        <v>0.09</v>
      </c>
      <c r="E42" s="64" t="s">
        <v>194</v>
      </c>
      <c r="F42" s="82" t="s">
        <v>196</v>
      </c>
      <c r="G42" t="s">
        <v>210</v>
      </c>
    </row>
  </sheetData>
  <mergeCells count="4">
    <mergeCell ref="B6:D6"/>
    <mergeCell ref="L6:N6"/>
    <mergeCell ref="R6:AB6"/>
    <mergeCell ref="B19:G19"/>
  </mergeCells>
  <pageMargins left="0.75" right="0.75" top="1" bottom="1" header="0.5" footer="0.5"/>
  <pageSetup paperSize="9" orientation="portrait" horizontalDpi="4294967292" verticalDpi="4294967292"/>
  <ignoredErrors>
    <ignoredError sqref="H21:H30 I21:I30"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3DBEF-DE8F-AB46-AA6C-6AA8929C61EC}">
  <dimension ref="A1:K26"/>
  <sheetViews>
    <sheetView zoomScale="120" zoomScaleNormal="120" zoomScalePageLayoutView="150" workbookViewId="0">
      <selection activeCell="E23" sqref="E23"/>
    </sheetView>
  </sheetViews>
  <sheetFormatPr baseColWidth="10" defaultRowHeight="13"/>
  <cols>
    <col min="1" max="3" width="10.83203125" style="44"/>
    <col min="4" max="4" width="5.33203125" style="44" customWidth="1"/>
    <col min="5" max="5" width="7.5" style="44" customWidth="1"/>
    <col min="6" max="6" width="6" style="44" customWidth="1"/>
    <col min="7" max="7" width="10.6640625" style="44" customWidth="1"/>
    <col min="8" max="8" width="3" style="44" customWidth="1"/>
    <col min="9" max="9" width="5" style="44" customWidth="1"/>
    <col min="10" max="10" width="4" style="44" customWidth="1"/>
    <col min="11" max="11" width="7.1640625" style="44" customWidth="1"/>
    <col min="12" max="16384" width="10.83203125" style="44"/>
  </cols>
  <sheetData>
    <row r="1" spans="1:11">
      <c r="A1" s="59" t="s">
        <v>211</v>
      </c>
    </row>
    <row r="3" spans="1:11">
      <c r="B3" s="44" t="s">
        <v>47</v>
      </c>
      <c r="C3" s="44">
        <v>500</v>
      </c>
    </row>
    <row r="4" spans="1:11">
      <c r="B4" s="44" t="s">
        <v>101</v>
      </c>
      <c r="C4" s="44">
        <v>20</v>
      </c>
    </row>
    <row r="5" spans="1:11">
      <c r="B5" s="44" t="s">
        <v>5</v>
      </c>
      <c r="C5" s="44">
        <v>0</v>
      </c>
    </row>
    <row r="6" spans="1:11">
      <c r="B6" s="44" t="s">
        <v>0</v>
      </c>
      <c r="C6" s="53">
        <v>0.01</v>
      </c>
    </row>
    <row r="7" spans="1:11">
      <c r="B7" s="44" t="s">
        <v>55</v>
      </c>
      <c r="C7" s="53">
        <v>0.1</v>
      </c>
    </row>
    <row r="10" spans="1:11">
      <c r="B10" s="44" t="s">
        <v>212</v>
      </c>
      <c r="C10" s="44" t="s">
        <v>16</v>
      </c>
      <c r="D10" s="44" t="s">
        <v>17</v>
      </c>
      <c r="E10" s="44" t="s">
        <v>213</v>
      </c>
      <c r="G10" s="44" t="s">
        <v>214</v>
      </c>
      <c r="I10" s="44" t="s">
        <v>16</v>
      </c>
      <c r="J10" s="44" t="s">
        <v>17</v>
      </c>
      <c r="K10" s="44" t="s">
        <v>215</v>
      </c>
    </row>
    <row r="11" spans="1:11">
      <c r="C11" s="44">
        <v>0.01</v>
      </c>
      <c r="D11" s="44">
        <f>C11*20</f>
        <v>0.2</v>
      </c>
      <c r="E11" s="62">
        <f>POISSON(0,D11,TRUE)</f>
        <v>0.81873075307798182</v>
      </c>
      <c r="G11" s="44" t="s">
        <v>216</v>
      </c>
      <c r="H11" s="44" t="s">
        <v>217</v>
      </c>
      <c r="I11" s="44">
        <v>0.01</v>
      </c>
      <c r="J11" s="44">
        <f>I11*50</f>
        <v>0.5</v>
      </c>
      <c r="K11" s="62">
        <f>POISSON(1,J11,TRUE)</f>
        <v>0.90979598956895014</v>
      </c>
    </row>
    <row r="12" spans="1:11">
      <c r="C12" s="44">
        <v>0.02</v>
      </c>
      <c r="D12" s="44">
        <f t="shared" ref="D12:D20" si="0">C12*20</f>
        <v>0.4</v>
      </c>
      <c r="E12" s="62">
        <f t="shared" ref="E12:E20" si="1">POISSON(0,D12,TRUE)</f>
        <v>0.67032004603563933</v>
      </c>
      <c r="G12" s="44" t="s">
        <v>101</v>
      </c>
      <c r="H12" s="44">
        <v>50</v>
      </c>
      <c r="I12" s="44">
        <v>0.02</v>
      </c>
      <c r="J12" s="44">
        <f t="shared" ref="J12:J20" si="2">I12*50</f>
        <v>1</v>
      </c>
      <c r="K12" s="62">
        <f t="shared" ref="K12:K20" si="3">POISSON(1,J12,TRUE)</f>
        <v>0.73575888234288478</v>
      </c>
    </row>
    <row r="13" spans="1:11">
      <c r="C13" s="44">
        <v>0.03</v>
      </c>
      <c r="D13" s="44">
        <f t="shared" si="0"/>
        <v>0.6</v>
      </c>
      <c r="E13" s="62">
        <f t="shared" si="1"/>
        <v>0.54881163609402639</v>
      </c>
      <c r="G13" s="44" t="s">
        <v>5</v>
      </c>
      <c r="H13" s="44">
        <v>1</v>
      </c>
      <c r="I13" s="44">
        <v>0.03</v>
      </c>
      <c r="J13" s="44">
        <f t="shared" si="2"/>
        <v>1.5</v>
      </c>
      <c r="K13" s="62">
        <f t="shared" si="3"/>
        <v>0.55782540037107464</v>
      </c>
    </row>
    <row r="14" spans="1:11">
      <c r="C14" s="44">
        <v>0.04</v>
      </c>
      <c r="D14" s="44">
        <f t="shared" si="0"/>
        <v>0.8</v>
      </c>
      <c r="E14" s="62">
        <f t="shared" si="1"/>
        <v>0.44932896411722156</v>
      </c>
      <c r="I14" s="44">
        <v>0.04</v>
      </c>
      <c r="J14" s="44">
        <f t="shared" si="2"/>
        <v>2</v>
      </c>
      <c r="K14" s="62">
        <f t="shared" si="3"/>
        <v>0.40600584970983811</v>
      </c>
    </row>
    <row r="15" spans="1:11">
      <c r="C15" s="44">
        <v>0.05</v>
      </c>
      <c r="D15" s="44">
        <f t="shared" si="0"/>
        <v>1</v>
      </c>
      <c r="E15" s="62">
        <f t="shared" si="1"/>
        <v>0.36787944117144233</v>
      </c>
      <c r="I15" s="44">
        <v>0.05</v>
      </c>
      <c r="J15" s="44">
        <f t="shared" si="2"/>
        <v>2.5</v>
      </c>
      <c r="K15" s="62">
        <f t="shared" si="3"/>
        <v>0.28729749518364578</v>
      </c>
    </row>
    <row r="16" spans="1:11">
      <c r="C16" s="44">
        <v>0.06</v>
      </c>
      <c r="D16" s="44">
        <f t="shared" si="0"/>
        <v>1.2</v>
      </c>
      <c r="E16" s="62">
        <f t="shared" si="1"/>
        <v>0.30119421191220214</v>
      </c>
      <c r="I16" s="44">
        <v>0.06</v>
      </c>
      <c r="J16" s="44">
        <f t="shared" si="2"/>
        <v>3</v>
      </c>
      <c r="K16" s="62">
        <f t="shared" si="3"/>
        <v>0.19914827347145578</v>
      </c>
    </row>
    <row r="17" spans="3:11">
      <c r="C17" s="44">
        <v>7.0000000000000007E-2</v>
      </c>
      <c r="D17" s="44">
        <f t="shared" si="0"/>
        <v>1.4000000000000001</v>
      </c>
      <c r="E17" s="62">
        <f t="shared" si="1"/>
        <v>0.24659696394160643</v>
      </c>
      <c r="I17" s="44">
        <v>7.0000000000000007E-2</v>
      </c>
      <c r="J17" s="44">
        <f t="shared" si="2"/>
        <v>3.5000000000000004</v>
      </c>
      <c r="K17" s="62">
        <f t="shared" si="3"/>
        <v>0.13588822540043319</v>
      </c>
    </row>
    <row r="18" spans="3:11">
      <c r="C18" s="44">
        <v>0.08</v>
      </c>
      <c r="D18" s="44">
        <f t="shared" si="0"/>
        <v>1.6</v>
      </c>
      <c r="E18" s="62">
        <f t="shared" si="1"/>
        <v>0.20189651799465538</v>
      </c>
      <c r="I18" s="44">
        <v>0.08</v>
      </c>
      <c r="J18" s="44">
        <f t="shared" si="2"/>
        <v>4</v>
      </c>
      <c r="K18" s="62">
        <f t="shared" si="3"/>
        <v>9.1578194443670893E-2</v>
      </c>
    </row>
    <row r="19" spans="3:11">
      <c r="C19" s="44">
        <v>0.09</v>
      </c>
      <c r="D19" s="44">
        <f t="shared" si="0"/>
        <v>1.7999999999999998</v>
      </c>
      <c r="E19" s="62">
        <f t="shared" si="1"/>
        <v>0.16529888822158656</v>
      </c>
      <c r="I19" s="44">
        <v>0.09</v>
      </c>
      <c r="J19" s="44">
        <f t="shared" si="2"/>
        <v>4.5</v>
      </c>
      <c r="K19" s="62">
        <f t="shared" si="3"/>
        <v>6.1099480960332686E-2</v>
      </c>
    </row>
    <row r="20" spans="3:11">
      <c r="C20" s="44">
        <v>0.1</v>
      </c>
      <c r="D20" s="44">
        <f t="shared" si="0"/>
        <v>2</v>
      </c>
      <c r="E20" s="62">
        <f t="shared" si="1"/>
        <v>0.1353352832366127</v>
      </c>
      <c r="I20" s="44">
        <v>0.1</v>
      </c>
      <c r="J20" s="44">
        <f t="shared" si="2"/>
        <v>5</v>
      </c>
      <c r="K20" s="62">
        <f t="shared" si="3"/>
        <v>4.0427681994512799E-2</v>
      </c>
    </row>
    <row r="22" spans="3:11" ht="16">
      <c r="D22" s="59" t="s">
        <v>141</v>
      </c>
      <c r="E22" s="60">
        <f>1-E11</f>
        <v>0.18126924692201818</v>
      </c>
      <c r="G22" s="44" t="s">
        <v>218</v>
      </c>
    </row>
    <row r="23" spans="3:11" ht="16">
      <c r="D23" s="59" t="s">
        <v>107</v>
      </c>
      <c r="E23" s="60">
        <f>E20</f>
        <v>0.1353352832366127</v>
      </c>
      <c r="G23" s="44" t="s">
        <v>219</v>
      </c>
    </row>
    <row r="24" spans="3:11">
      <c r="G24" s="44" t="s">
        <v>220</v>
      </c>
    </row>
    <row r="25" spans="3:11">
      <c r="G25" s="44" t="s">
        <v>221</v>
      </c>
    </row>
    <row r="26" spans="3:11">
      <c r="G26" s="44" t="s">
        <v>222</v>
      </c>
    </row>
  </sheetData>
  <pageMargins left="0.75" right="0.75" top="1" bottom="1" header="0.5" footer="0.5"/>
  <pageSetup orientation="portrait" horizontalDpi="4294967292" verticalDpi="429496729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91D1E-1F24-3A40-96D6-885462539D2F}">
  <dimension ref="B2:M43"/>
  <sheetViews>
    <sheetView zoomScaleNormal="100" zoomScalePageLayoutView="125" workbookViewId="0">
      <selection activeCell="C44" sqref="C44"/>
    </sheetView>
  </sheetViews>
  <sheetFormatPr baseColWidth="10" defaultRowHeight="16"/>
  <cols>
    <col min="1" max="1" width="3.83203125" customWidth="1"/>
    <col min="4" max="4" width="13.33203125" customWidth="1"/>
    <col min="5" max="5" width="10.83203125" customWidth="1"/>
  </cols>
  <sheetData>
    <row r="2" spans="2:7">
      <c r="C2" t="s">
        <v>141</v>
      </c>
      <c r="D2">
        <v>0.05</v>
      </c>
    </row>
    <row r="3" spans="2:7">
      <c r="C3" t="s">
        <v>107</v>
      </c>
      <c r="D3">
        <v>0.1</v>
      </c>
    </row>
    <row r="4" spans="2:7">
      <c r="C4" t="s">
        <v>0</v>
      </c>
      <c r="D4" s="83">
        <v>1.4999999999999999E-2</v>
      </c>
    </row>
    <row r="5" spans="2:7">
      <c r="C5" t="s">
        <v>55</v>
      </c>
      <c r="D5" s="83">
        <v>4.5999999999999999E-2</v>
      </c>
    </row>
    <row r="6" spans="2:7">
      <c r="C6" t="s">
        <v>145</v>
      </c>
      <c r="D6" s="84">
        <f>D5/D4</f>
        <v>3.0666666666666669</v>
      </c>
      <c r="E6" s="84"/>
    </row>
    <row r="7" spans="2:7" ht="17" thickBot="1"/>
    <row r="8" spans="2:7" ht="18">
      <c r="B8" s="85" t="s">
        <v>212</v>
      </c>
      <c r="C8" s="86" t="s">
        <v>5</v>
      </c>
      <c r="D8" s="87" t="s">
        <v>223</v>
      </c>
      <c r="E8" s="87" t="s">
        <v>224</v>
      </c>
      <c r="F8" s="87" t="s">
        <v>225</v>
      </c>
      <c r="G8" s="88"/>
    </row>
    <row r="9" spans="2:7">
      <c r="B9" s="89"/>
      <c r="C9" s="90">
        <v>1</v>
      </c>
      <c r="D9" s="91">
        <v>0.35</v>
      </c>
      <c r="E9" s="91">
        <v>3.9</v>
      </c>
      <c r="F9" s="91">
        <f>E9/D9</f>
        <v>11.142857142857144</v>
      </c>
      <c r="G9" s="92"/>
    </row>
    <row r="10" spans="2:7">
      <c r="B10" s="89"/>
      <c r="C10" s="90">
        <v>2</v>
      </c>
      <c r="D10" s="91">
        <v>0.8</v>
      </c>
      <c r="E10" s="91">
        <v>5.3</v>
      </c>
      <c r="F10" s="91">
        <f t="shared" ref="F10:F15" si="0">E10/D10</f>
        <v>6.6249999999999991</v>
      </c>
      <c r="G10" s="92"/>
    </row>
    <row r="11" spans="2:7">
      <c r="B11" s="89"/>
      <c r="C11" s="90">
        <v>3</v>
      </c>
      <c r="D11" s="91">
        <v>1.35</v>
      </c>
      <c r="E11" s="91">
        <v>6.7</v>
      </c>
      <c r="F11" s="91">
        <f t="shared" si="0"/>
        <v>4.9629629629629628</v>
      </c>
      <c r="G11" s="92"/>
    </row>
    <row r="12" spans="2:7">
      <c r="B12" s="89"/>
      <c r="C12" s="90">
        <v>4</v>
      </c>
      <c r="D12" s="91">
        <v>1.97</v>
      </c>
      <c r="E12" s="91">
        <v>8</v>
      </c>
      <c r="F12" s="91">
        <f t="shared" si="0"/>
        <v>4.0609137055837561</v>
      </c>
      <c r="G12" s="93"/>
    </row>
    <row r="13" spans="2:7">
      <c r="B13" s="89"/>
      <c r="C13" s="90">
        <v>5</v>
      </c>
      <c r="D13" s="91">
        <v>2.6</v>
      </c>
      <c r="E13" s="91">
        <v>9.3000000000000007</v>
      </c>
      <c r="F13" s="91">
        <f t="shared" si="0"/>
        <v>3.5769230769230771</v>
      </c>
      <c r="G13" s="94"/>
    </row>
    <row r="14" spans="2:7">
      <c r="B14" s="89"/>
      <c r="C14" s="90">
        <v>6</v>
      </c>
      <c r="D14" s="91">
        <v>3.3</v>
      </c>
      <c r="E14" s="91">
        <v>10.5</v>
      </c>
      <c r="F14" s="91">
        <f t="shared" si="0"/>
        <v>3.1818181818181821</v>
      </c>
      <c r="G14" s="92"/>
    </row>
    <row r="15" spans="2:7">
      <c r="B15" s="89"/>
      <c r="C15" s="95">
        <v>7</v>
      </c>
      <c r="D15" s="96">
        <v>3.95</v>
      </c>
      <c r="E15" s="96">
        <v>11.8</v>
      </c>
      <c r="F15" s="96">
        <f t="shared" si="0"/>
        <v>2.9873417721518987</v>
      </c>
      <c r="G15" s="97" t="s">
        <v>226</v>
      </c>
    </row>
    <row r="16" spans="2:7">
      <c r="B16" s="89"/>
      <c r="G16" s="94"/>
    </row>
    <row r="17" spans="2:12">
      <c r="B17" s="89"/>
      <c r="C17" t="s">
        <v>101</v>
      </c>
      <c r="D17" s="98">
        <f>ROUNDUP(D15/D4,0)</f>
        <v>264</v>
      </c>
      <c r="G17" s="94"/>
      <c r="I17" t="s">
        <v>227</v>
      </c>
    </row>
    <row r="18" spans="2:12">
      <c r="B18" s="89"/>
      <c r="D18">
        <f>D17*D5</f>
        <v>12.144</v>
      </c>
      <c r="G18" s="94"/>
    </row>
    <row r="19" spans="2:12" ht="17" thickBot="1">
      <c r="B19" s="99"/>
      <c r="C19" s="100" t="s">
        <v>228</v>
      </c>
      <c r="D19" s="101">
        <v>0.09</v>
      </c>
      <c r="E19" s="100"/>
      <c r="F19" s="100"/>
      <c r="G19" s="102"/>
    </row>
    <row r="20" spans="2:12" ht="17" thickBot="1"/>
    <row r="21" spans="2:12">
      <c r="B21" s="85" t="s">
        <v>214</v>
      </c>
      <c r="C21" s="103" t="s">
        <v>58</v>
      </c>
      <c r="D21" s="104">
        <f>D5/D4</f>
        <v>3.0666666666666669</v>
      </c>
    </row>
    <row r="22" spans="2:12">
      <c r="B22" s="89"/>
      <c r="C22" t="s">
        <v>229</v>
      </c>
      <c r="D22" s="94">
        <v>7</v>
      </c>
    </row>
    <row r="23" spans="2:12">
      <c r="B23" s="89"/>
      <c r="C23" t="s">
        <v>230</v>
      </c>
      <c r="D23" s="94">
        <v>3.98</v>
      </c>
    </row>
    <row r="24" spans="2:12" ht="17" thickBot="1">
      <c r="B24" s="99"/>
      <c r="C24" s="100" t="s">
        <v>14</v>
      </c>
      <c r="D24" s="105">
        <f>D23/D4</f>
        <v>265.33333333333331</v>
      </c>
    </row>
    <row r="27" spans="2:12">
      <c r="B27" t="s">
        <v>231</v>
      </c>
      <c r="C27" t="s">
        <v>232</v>
      </c>
      <c r="I27" t="s">
        <v>233</v>
      </c>
    </row>
    <row r="29" spans="2:12">
      <c r="C29" s="64" t="s">
        <v>16</v>
      </c>
      <c r="D29" s="64" t="s">
        <v>17</v>
      </c>
      <c r="E29" s="64" t="s">
        <v>18</v>
      </c>
      <c r="F29" s="64" t="s">
        <v>45</v>
      </c>
      <c r="I29" s="64" t="s">
        <v>18</v>
      </c>
      <c r="J29" s="64" t="s">
        <v>234</v>
      </c>
      <c r="K29" s="64" t="s">
        <v>16</v>
      </c>
      <c r="L29" s="64" t="s">
        <v>45</v>
      </c>
    </row>
    <row r="30" spans="2:12">
      <c r="C30" s="64">
        <v>5.0000000000000001E-3</v>
      </c>
      <c r="D30" s="64">
        <f>$D$17*C30</f>
        <v>1.32</v>
      </c>
      <c r="E30" s="79">
        <f>_xlfn.POISSON.DIST(7,D30,TRUE)</f>
        <v>0.99992863574351476</v>
      </c>
      <c r="F30" s="106">
        <f>C30*E30</f>
        <v>4.9996431787175735E-3</v>
      </c>
      <c r="I30" s="79">
        <v>0.995</v>
      </c>
      <c r="J30" s="64">
        <v>2.57</v>
      </c>
      <c r="K30" s="79">
        <f>J30/$D$24</f>
        <v>9.6859296482412066E-3</v>
      </c>
      <c r="L30" s="106">
        <f>K30*I30</f>
        <v>9.6375000000000002E-3</v>
      </c>
    </row>
    <row r="31" spans="2:12">
      <c r="C31" s="64">
        <v>0.01</v>
      </c>
      <c r="D31" s="64">
        <f t="shared" ref="D31:D41" si="1">$D$17*C31</f>
        <v>2.64</v>
      </c>
      <c r="E31" s="79">
        <f t="shared" ref="E31:E41" si="2">_xlfn.POISSON.DIST(7,D31,TRUE)</f>
        <v>0.99417652929917766</v>
      </c>
      <c r="F31" s="106">
        <f t="shared" ref="F31:F41" si="3">C31*E31</f>
        <v>9.9417652929917767E-3</v>
      </c>
      <c r="I31" s="79">
        <v>0.97499999999999998</v>
      </c>
      <c r="J31" s="64">
        <v>3.45</v>
      </c>
      <c r="K31" s="79">
        <f t="shared" ref="K31:K41" si="4">J31/$D$24</f>
        <v>1.3002512562814072E-2</v>
      </c>
      <c r="L31" s="106">
        <f t="shared" ref="L31:L41" si="5">K31*I31</f>
        <v>1.267744974874372E-2</v>
      </c>
    </row>
    <row r="32" spans="2:12">
      <c r="C32" s="64">
        <v>1.4999999999999999E-2</v>
      </c>
      <c r="D32" s="64">
        <f t="shared" si="1"/>
        <v>3.96</v>
      </c>
      <c r="E32" s="79">
        <f t="shared" si="2"/>
        <v>0.95121235605938503</v>
      </c>
      <c r="F32" s="106">
        <f t="shared" si="3"/>
        <v>1.4268185340890775E-2</v>
      </c>
      <c r="I32" s="79">
        <v>0.95</v>
      </c>
      <c r="J32" s="64">
        <v>3.98</v>
      </c>
      <c r="K32" s="79">
        <f t="shared" si="4"/>
        <v>1.5000000000000001E-2</v>
      </c>
      <c r="L32" s="106">
        <f t="shared" si="5"/>
        <v>1.4250000000000001E-2</v>
      </c>
    </row>
    <row r="33" spans="3:13">
      <c r="C33" s="64">
        <v>0.02</v>
      </c>
      <c r="D33" s="64">
        <f t="shared" si="1"/>
        <v>5.28</v>
      </c>
      <c r="E33" s="79">
        <f t="shared" si="2"/>
        <v>0.83579604277467678</v>
      </c>
      <c r="F33" s="106">
        <f t="shared" si="3"/>
        <v>1.6715920855493536E-2</v>
      </c>
      <c r="G33" s="107" t="s">
        <v>235</v>
      </c>
      <c r="I33" s="79">
        <v>0.9</v>
      </c>
      <c r="J33" s="64">
        <v>4.6500000000000004</v>
      </c>
      <c r="K33" s="79">
        <f t="shared" si="4"/>
        <v>1.7525125628140705E-2</v>
      </c>
      <c r="L33" s="106">
        <f t="shared" si="5"/>
        <v>1.5772613065326634E-2</v>
      </c>
    </row>
    <row r="34" spans="3:13">
      <c r="C34" s="64">
        <v>2.5000000000000001E-2</v>
      </c>
      <c r="D34" s="64">
        <f t="shared" si="1"/>
        <v>6.6000000000000005</v>
      </c>
      <c r="E34" s="79">
        <f t="shared" si="2"/>
        <v>0.65808200540121442</v>
      </c>
      <c r="F34" s="106">
        <f t="shared" si="3"/>
        <v>1.6452050135030361E-2</v>
      </c>
      <c r="I34" s="79">
        <v>0.75</v>
      </c>
      <c r="J34" s="64">
        <v>5.95</v>
      </c>
      <c r="K34" s="79">
        <f t="shared" si="4"/>
        <v>2.2424623115577892E-2</v>
      </c>
      <c r="L34" s="106">
        <f t="shared" si="5"/>
        <v>1.6818467336683421E-2</v>
      </c>
      <c r="M34" s="107" t="s">
        <v>235</v>
      </c>
    </row>
    <row r="35" spans="3:13">
      <c r="C35" s="64">
        <v>0.03</v>
      </c>
      <c r="D35" s="64">
        <f t="shared" si="1"/>
        <v>7.92</v>
      </c>
      <c r="E35" s="79">
        <f t="shared" si="2"/>
        <v>0.464182434152968</v>
      </c>
      <c r="F35" s="106">
        <f t="shared" si="3"/>
        <v>1.392547302458904E-2</v>
      </c>
      <c r="I35" s="79">
        <v>0.5</v>
      </c>
      <c r="J35" s="64">
        <v>7.66</v>
      </c>
      <c r="K35" s="79">
        <f t="shared" si="4"/>
        <v>2.8869346733668345E-2</v>
      </c>
      <c r="L35" s="106">
        <f t="shared" si="5"/>
        <v>1.4434673366834173E-2</v>
      </c>
    </row>
    <row r="36" spans="3:13">
      <c r="C36" s="64">
        <v>3.5000000000000003E-2</v>
      </c>
      <c r="D36" s="64">
        <f t="shared" si="1"/>
        <v>9.24</v>
      </c>
      <c r="E36" s="79">
        <f t="shared" si="2"/>
        <v>0.29654758474859821</v>
      </c>
      <c r="F36" s="106">
        <f t="shared" si="3"/>
        <v>1.0379165466200938E-2</v>
      </c>
      <c r="I36" s="79">
        <v>0.25</v>
      </c>
      <c r="J36" s="64">
        <v>9.68</v>
      </c>
      <c r="K36" s="79">
        <f t="shared" si="4"/>
        <v>3.6482412060301506E-2</v>
      </c>
      <c r="L36" s="106">
        <f t="shared" si="5"/>
        <v>9.1206030150753764E-3</v>
      </c>
    </row>
    <row r="37" spans="3:13">
      <c r="C37" s="64">
        <v>0.04</v>
      </c>
      <c r="D37" s="64">
        <f t="shared" si="1"/>
        <v>10.56</v>
      </c>
      <c r="E37" s="79">
        <f t="shared" si="2"/>
        <v>0.17394388416346931</v>
      </c>
      <c r="F37" s="106">
        <f t="shared" si="3"/>
        <v>6.9577553665387728E-3</v>
      </c>
      <c r="I37" s="79">
        <v>0.1</v>
      </c>
      <c r="J37" s="64">
        <v>11.7</v>
      </c>
      <c r="K37" s="79">
        <f t="shared" si="4"/>
        <v>4.4095477386934673E-2</v>
      </c>
      <c r="L37" s="106">
        <f t="shared" si="5"/>
        <v>4.4095477386934673E-3</v>
      </c>
    </row>
    <row r="38" spans="3:13">
      <c r="C38" s="64">
        <v>4.4999999999999998E-2</v>
      </c>
      <c r="D38" s="64">
        <f t="shared" si="1"/>
        <v>11.879999999999999</v>
      </c>
      <c r="E38" s="79">
        <f t="shared" si="2"/>
        <v>9.4878979807261676E-2</v>
      </c>
      <c r="F38" s="106">
        <f t="shared" si="3"/>
        <v>4.2695540913267752E-3</v>
      </c>
      <c r="I38" s="79">
        <v>0.05</v>
      </c>
      <c r="J38" s="64">
        <v>13.1</v>
      </c>
      <c r="K38" s="79">
        <f t="shared" si="4"/>
        <v>4.9371859296482412E-2</v>
      </c>
      <c r="L38" s="106">
        <f t="shared" si="5"/>
        <v>2.4685929648241207E-3</v>
      </c>
    </row>
    <row r="39" spans="3:13">
      <c r="C39" s="64">
        <v>0.05</v>
      </c>
      <c r="D39" s="64">
        <f t="shared" si="1"/>
        <v>13.200000000000001</v>
      </c>
      <c r="E39" s="79">
        <f t="shared" si="2"/>
        <v>4.8653375314823347E-2</v>
      </c>
      <c r="F39" s="106">
        <f t="shared" si="3"/>
        <v>2.4326687657411673E-3</v>
      </c>
      <c r="I39" s="79">
        <v>2.5000000000000001E-2</v>
      </c>
      <c r="J39" s="64">
        <v>14.4</v>
      </c>
      <c r="K39" s="79">
        <f t="shared" si="4"/>
        <v>5.4271356783919603E-2</v>
      </c>
      <c r="L39" s="106">
        <f t="shared" si="5"/>
        <v>1.3567839195979901E-3</v>
      </c>
    </row>
    <row r="40" spans="3:13">
      <c r="C40" s="64">
        <v>5.5E-2</v>
      </c>
      <c r="D40" s="64">
        <f t="shared" si="1"/>
        <v>14.52</v>
      </c>
      <c r="E40" s="79">
        <f t="shared" si="2"/>
        <v>2.3667795606143838E-2</v>
      </c>
      <c r="F40" s="106">
        <f t="shared" si="3"/>
        <v>1.3017287583379112E-3</v>
      </c>
      <c r="I40" s="79">
        <v>0.01</v>
      </c>
      <c r="J40" s="64">
        <v>16</v>
      </c>
      <c r="K40" s="79">
        <f t="shared" si="4"/>
        <v>6.0301507537688447E-2</v>
      </c>
      <c r="L40" s="106">
        <f t="shared" si="5"/>
        <v>6.0301507537688446E-4</v>
      </c>
    </row>
    <row r="41" spans="3:13">
      <c r="C41" s="64">
        <v>0.06</v>
      </c>
      <c r="D41" s="64">
        <f t="shared" si="1"/>
        <v>15.84</v>
      </c>
      <c r="E41" s="79">
        <f t="shared" si="2"/>
        <v>1.100313766495244E-2</v>
      </c>
      <c r="F41" s="106">
        <f t="shared" si="3"/>
        <v>6.6018825989714637E-4</v>
      </c>
      <c r="I41" s="79">
        <v>5.0000000000000001E-3</v>
      </c>
      <c r="J41" s="64">
        <v>17.100000000000001</v>
      </c>
      <c r="K41" s="79">
        <f t="shared" si="4"/>
        <v>6.4447236180904532E-2</v>
      </c>
      <c r="L41" s="106">
        <f t="shared" si="5"/>
        <v>3.2223618090452269E-4</v>
      </c>
    </row>
    <row r="43" spans="3:13">
      <c r="C43" t="s">
        <v>236</v>
      </c>
    </row>
  </sheetData>
  <pageMargins left="0.75" right="0.75" top="1" bottom="1" header="0.5" footer="0.5"/>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0AEB-A3FB-A540-9597-367C53899009}">
  <dimension ref="B2:K65"/>
  <sheetViews>
    <sheetView workbookViewId="0">
      <selection activeCell="T35" sqref="T35"/>
    </sheetView>
  </sheetViews>
  <sheetFormatPr baseColWidth="10" defaultRowHeight="16"/>
  <cols>
    <col min="2" max="2" width="15" bestFit="1" customWidth="1"/>
    <col min="4" max="4" width="12.1640625" bestFit="1" customWidth="1"/>
  </cols>
  <sheetData>
    <row r="2" spans="2:7">
      <c r="B2" s="107" t="s">
        <v>99</v>
      </c>
      <c r="C2">
        <v>1000</v>
      </c>
    </row>
    <row r="3" spans="2:7">
      <c r="B3" s="107" t="s">
        <v>51</v>
      </c>
      <c r="C3" s="109">
        <v>1.25</v>
      </c>
      <c r="D3" t="s">
        <v>237</v>
      </c>
    </row>
    <row r="4" spans="2:7">
      <c r="B4" s="107" t="s">
        <v>238</v>
      </c>
      <c r="C4" s="110">
        <v>20</v>
      </c>
      <c r="D4" t="s">
        <v>237</v>
      </c>
    </row>
    <row r="5" spans="2:7">
      <c r="B5" s="107" t="s">
        <v>239</v>
      </c>
    </row>
    <row r="6" spans="2:7">
      <c r="B6" s="107" t="s">
        <v>101</v>
      </c>
      <c r="C6">
        <v>75</v>
      </c>
    </row>
    <row r="7" spans="2:7">
      <c r="B7" s="107" t="s">
        <v>5</v>
      </c>
      <c r="C7">
        <v>3</v>
      </c>
    </row>
    <row r="8" spans="2:7">
      <c r="B8" s="107" t="s">
        <v>240</v>
      </c>
      <c r="C8" s="83">
        <v>3.4000000000000002E-2</v>
      </c>
      <c r="D8" s="84">
        <f>C8/C9</f>
        <v>3.4000000000000004</v>
      </c>
    </row>
    <row r="9" spans="2:7">
      <c r="B9" s="107" t="s">
        <v>0</v>
      </c>
      <c r="C9" s="83">
        <v>0.01</v>
      </c>
    </row>
    <row r="10" spans="2:7">
      <c r="B10" s="107" t="s">
        <v>141</v>
      </c>
      <c r="C10" s="111">
        <v>0.05</v>
      </c>
    </row>
    <row r="11" spans="2:7">
      <c r="B11" s="107" t="s">
        <v>107</v>
      </c>
      <c r="C11" s="111">
        <v>0.1</v>
      </c>
    </row>
    <row r="12" spans="2:7">
      <c r="B12" s="107"/>
    </row>
    <row r="13" spans="2:7">
      <c r="B13" s="107" t="s">
        <v>212</v>
      </c>
      <c r="C13" s="109">
        <f>C2*C8*C4</f>
        <v>680</v>
      </c>
      <c r="D13" t="s">
        <v>241</v>
      </c>
    </row>
    <row r="14" spans="2:7">
      <c r="B14" s="107" t="s">
        <v>214</v>
      </c>
      <c r="C14" t="s">
        <v>242</v>
      </c>
    </row>
    <row r="15" spans="2:7">
      <c r="B15" s="107"/>
      <c r="C15" s="98">
        <f>2.61/C9</f>
        <v>261</v>
      </c>
    </row>
    <row r="16" spans="2:7">
      <c r="B16" s="107" t="s">
        <v>231</v>
      </c>
      <c r="C16" s="107" t="s">
        <v>243</v>
      </c>
      <c r="G16" s="107" t="s">
        <v>244</v>
      </c>
    </row>
    <row r="17" spans="2:10">
      <c r="B17" t="s">
        <v>16</v>
      </c>
      <c r="C17" t="s">
        <v>17</v>
      </c>
      <c r="D17" t="s">
        <v>18</v>
      </c>
      <c r="E17" t="s">
        <v>45</v>
      </c>
      <c r="G17" t="s">
        <v>16</v>
      </c>
      <c r="H17" t="s">
        <v>17</v>
      </c>
      <c r="I17" t="s">
        <v>18</v>
      </c>
      <c r="J17" t="s">
        <v>45</v>
      </c>
    </row>
    <row r="18" spans="2:10">
      <c r="B18">
        <v>0.01</v>
      </c>
      <c r="C18">
        <f>B18*75</f>
        <v>0.75</v>
      </c>
      <c r="D18" s="112">
        <f>_xlfn.POISSON.DIST(3,C18,TRUE)</f>
        <v>0.99270783349478875</v>
      </c>
      <c r="E18" s="112">
        <f>B18*D18</f>
        <v>9.9270783349478878E-3</v>
      </c>
      <c r="G18">
        <v>5.0000000000000001E-3</v>
      </c>
      <c r="H18">
        <f>G18*$C$15</f>
        <v>1.3049999999999999</v>
      </c>
      <c r="I18" s="112">
        <f>_xlfn.POISSON.DIST(5,H18,TRUE)</f>
        <v>0.99772693209904717</v>
      </c>
      <c r="J18" s="112">
        <f>G18*I18</f>
        <v>4.9886346604952362E-3</v>
      </c>
    </row>
    <row r="19" spans="2:10">
      <c r="B19">
        <v>0.02</v>
      </c>
      <c r="C19">
        <f t="shared" ref="C19:C28" si="0">B19*75</f>
        <v>1.5</v>
      </c>
      <c r="D19" s="112">
        <f t="shared" ref="D19:D28" si="1">_xlfn.POISSON.DIST(3,C19,TRUE)</f>
        <v>0.93435754562154982</v>
      </c>
      <c r="E19" s="112">
        <f t="shared" ref="E19:E28" si="2">B19*D19</f>
        <v>1.8687150912430998E-2</v>
      </c>
      <c r="G19">
        <v>0.01</v>
      </c>
      <c r="H19">
        <f t="shared" ref="H19:H28" si="3">G19*$C$15</f>
        <v>2.61</v>
      </c>
      <c r="I19" s="112">
        <f t="shared" ref="I19:I28" si="4">_xlfn.POISSON.DIST(5,H19,TRUE)</f>
        <v>0.95022405894068052</v>
      </c>
      <c r="J19" s="112">
        <f t="shared" ref="J19:J28" si="5">G19*I19</f>
        <v>9.502240589406805E-3</v>
      </c>
    </row>
    <row r="20" spans="2:10">
      <c r="B20">
        <v>0.03</v>
      </c>
      <c r="C20">
        <f t="shared" si="0"/>
        <v>2.25</v>
      </c>
      <c r="D20" s="112">
        <f t="shared" si="1"/>
        <v>0.80943310737744245</v>
      </c>
      <c r="E20" s="112">
        <f t="shared" si="2"/>
        <v>2.4282993221323271E-2</v>
      </c>
      <c r="G20">
        <v>1.4999999999999999E-2</v>
      </c>
      <c r="H20">
        <f t="shared" si="3"/>
        <v>3.915</v>
      </c>
      <c r="I20" s="112">
        <f t="shared" si="4"/>
        <v>0.79827020111118907</v>
      </c>
      <c r="J20" s="113">
        <f t="shared" si="5"/>
        <v>1.1974053016667836E-2</v>
      </c>
    </row>
    <row r="21" spans="2:10">
      <c r="B21">
        <v>0.04</v>
      </c>
      <c r="C21">
        <f t="shared" si="0"/>
        <v>3</v>
      </c>
      <c r="D21" s="112">
        <f t="shared" si="1"/>
        <v>0.64723188878223126</v>
      </c>
      <c r="E21" s="113">
        <f t="shared" si="2"/>
        <v>2.588927555128925E-2</v>
      </c>
      <c r="G21">
        <v>0.02</v>
      </c>
      <c r="H21">
        <f t="shared" si="3"/>
        <v>5.22</v>
      </c>
      <c r="I21" s="112">
        <f t="shared" si="4"/>
        <v>0.57741869161704629</v>
      </c>
      <c r="J21" s="112">
        <f t="shared" si="5"/>
        <v>1.1548373832340926E-2</v>
      </c>
    </row>
    <row r="22" spans="2:10">
      <c r="B22">
        <v>0.05</v>
      </c>
      <c r="C22">
        <f t="shared" si="0"/>
        <v>3.75</v>
      </c>
      <c r="D22" s="112">
        <f t="shared" si="1"/>
        <v>0.48376738155368737</v>
      </c>
      <c r="E22" s="112">
        <f t="shared" si="2"/>
        <v>2.4188369077684371E-2</v>
      </c>
      <c r="G22">
        <v>2.5000000000000001E-2</v>
      </c>
      <c r="H22">
        <f t="shared" si="3"/>
        <v>6.5250000000000004</v>
      </c>
      <c r="I22" s="112">
        <f t="shared" si="4"/>
        <v>0.36541696960377551</v>
      </c>
      <c r="J22" s="112">
        <f t="shared" si="5"/>
        <v>9.1354242400943884E-3</v>
      </c>
    </row>
    <row r="23" spans="2:10">
      <c r="B23">
        <v>0.06</v>
      </c>
      <c r="C23">
        <f t="shared" si="0"/>
        <v>4.5</v>
      </c>
      <c r="D23" s="112">
        <f t="shared" si="1"/>
        <v>0.34229595583459105</v>
      </c>
      <c r="E23" s="112">
        <f t="shared" si="2"/>
        <v>2.0537757350075462E-2</v>
      </c>
      <c r="G23">
        <v>0.03</v>
      </c>
      <c r="H23">
        <f t="shared" si="3"/>
        <v>7.83</v>
      </c>
      <c r="I23" s="112">
        <f t="shared" si="4"/>
        <v>0.20730956849034432</v>
      </c>
      <c r="J23" s="112">
        <f t="shared" si="5"/>
        <v>6.2192870547103296E-3</v>
      </c>
    </row>
    <row r="24" spans="2:10">
      <c r="B24">
        <v>7.0000000000000007E-2</v>
      </c>
      <c r="C24">
        <f t="shared" si="0"/>
        <v>5.2500000000000009</v>
      </c>
      <c r="D24" s="112">
        <f t="shared" si="1"/>
        <v>0.23166973807635921</v>
      </c>
      <c r="E24" s="112">
        <f t="shared" si="2"/>
        <v>1.6216881665345146E-2</v>
      </c>
      <c r="G24">
        <v>3.5000000000000003E-2</v>
      </c>
      <c r="H24">
        <f t="shared" si="3"/>
        <v>9.1350000000000016</v>
      </c>
      <c r="I24" s="112">
        <f t="shared" si="4"/>
        <v>0.10773494849645507</v>
      </c>
      <c r="J24" s="112">
        <f t="shared" si="5"/>
        <v>3.7707231973759278E-3</v>
      </c>
    </row>
    <row r="25" spans="2:10">
      <c r="B25">
        <v>0.08</v>
      </c>
      <c r="C25">
        <f t="shared" si="0"/>
        <v>6</v>
      </c>
      <c r="D25" s="112">
        <f t="shared" si="1"/>
        <v>0.15120388277664787</v>
      </c>
      <c r="E25" s="112">
        <f t="shared" si="2"/>
        <v>1.2096310622131829E-2</v>
      </c>
      <c r="G25">
        <v>0.04</v>
      </c>
      <c r="H25">
        <f t="shared" si="3"/>
        <v>10.44</v>
      </c>
      <c r="I25" s="112">
        <f t="shared" si="4"/>
        <v>5.2165520042155661E-2</v>
      </c>
      <c r="J25" s="112">
        <f t="shared" si="5"/>
        <v>2.0866208016862265E-3</v>
      </c>
    </row>
    <row r="26" spans="2:10">
      <c r="B26">
        <v>0.09</v>
      </c>
      <c r="C26">
        <f t="shared" si="0"/>
        <v>6.75</v>
      </c>
      <c r="D26" s="112">
        <f t="shared" si="1"/>
        <v>9.5765146484865671E-2</v>
      </c>
      <c r="E26" s="112">
        <f t="shared" si="2"/>
        <v>8.6188631836379096E-3</v>
      </c>
      <c r="G26">
        <v>4.4999999999999998E-2</v>
      </c>
      <c r="H26">
        <f t="shared" si="3"/>
        <v>11.744999999999999</v>
      </c>
      <c r="I26" s="112">
        <f t="shared" si="4"/>
        <v>2.3842584881917997E-2</v>
      </c>
      <c r="J26" s="112">
        <f t="shared" si="5"/>
        <v>1.0729163196863099E-3</v>
      </c>
    </row>
    <row r="27" spans="2:10">
      <c r="B27">
        <v>0.1</v>
      </c>
      <c r="C27">
        <f t="shared" si="0"/>
        <v>7.5</v>
      </c>
      <c r="D27" s="112">
        <f t="shared" si="1"/>
        <v>5.9145459832683961E-2</v>
      </c>
      <c r="E27" s="112">
        <f t="shared" si="2"/>
        <v>5.9145459832683966E-3</v>
      </c>
      <c r="G27">
        <v>0.05</v>
      </c>
      <c r="H27">
        <f t="shared" si="3"/>
        <v>13.05</v>
      </c>
      <c r="I27" s="112">
        <f t="shared" si="4"/>
        <v>1.0389533978690357E-2</v>
      </c>
      <c r="J27" s="112">
        <f t="shared" si="5"/>
        <v>5.1947669893451784E-4</v>
      </c>
    </row>
    <row r="28" spans="2:10">
      <c r="B28">
        <v>0.11</v>
      </c>
      <c r="C28">
        <f t="shared" si="0"/>
        <v>8.25</v>
      </c>
      <c r="D28" s="112">
        <f t="shared" si="1"/>
        <v>3.5757723948186826E-2</v>
      </c>
      <c r="E28" s="112">
        <f t="shared" si="2"/>
        <v>3.9333496343005505E-3</v>
      </c>
      <c r="G28">
        <v>5.5E-2</v>
      </c>
      <c r="H28">
        <f t="shared" si="3"/>
        <v>14.355</v>
      </c>
      <c r="I28" s="112">
        <f t="shared" si="4"/>
        <v>4.3497333465340815E-3</v>
      </c>
      <c r="J28" s="112">
        <f t="shared" si="5"/>
        <v>2.3923533405937448E-4</v>
      </c>
    </row>
    <row r="29" spans="2:10">
      <c r="B29" s="107"/>
    </row>
    <row r="30" spans="2:10">
      <c r="B30" s="107"/>
      <c r="C30" s="107" t="s">
        <v>245</v>
      </c>
      <c r="D30" s="109">
        <f>75*C3+E21*C2*C4</f>
        <v>611.53551102578501</v>
      </c>
      <c r="H30" s="107" t="s">
        <v>245</v>
      </c>
      <c r="I30" s="109">
        <f>C15*C3+J20*C4</f>
        <v>326.48948106033333</v>
      </c>
    </row>
    <row r="31" spans="2:10">
      <c r="B31" s="107"/>
    </row>
    <row r="32" spans="2:10">
      <c r="B32" s="107" t="s">
        <v>246</v>
      </c>
    </row>
    <row r="33" spans="2:11">
      <c r="B33" s="107"/>
    </row>
    <row r="34" spans="2:11">
      <c r="B34" s="114"/>
      <c r="C34" s="114">
        <v>261</v>
      </c>
      <c r="D34" s="114"/>
      <c r="E34" s="114"/>
      <c r="F34" s="114"/>
      <c r="G34" s="114"/>
      <c r="H34" s="114"/>
      <c r="I34" s="114"/>
      <c r="J34" s="114"/>
      <c r="K34" s="114"/>
    </row>
    <row r="35" spans="2:11">
      <c r="B35" s="114" t="s">
        <v>16</v>
      </c>
      <c r="C35" s="114" t="s">
        <v>247</v>
      </c>
      <c r="D35" s="114" t="s">
        <v>18</v>
      </c>
      <c r="E35" s="114" t="s">
        <v>45</v>
      </c>
      <c r="F35" s="114"/>
      <c r="G35" s="114"/>
      <c r="H35" s="114"/>
      <c r="I35" s="114"/>
      <c r="J35" s="114"/>
      <c r="K35" s="114"/>
    </row>
    <row r="36" spans="2:11">
      <c r="B36" s="114">
        <v>5.0000000000000001E-3</v>
      </c>
      <c r="C36" s="114">
        <f>B36*261</f>
        <v>1.3049999999999999</v>
      </c>
      <c r="D36" s="112">
        <f>_xlfn.POISSON.DIST(5,C36,TRUE)</f>
        <v>0.99772693209904717</v>
      </c>
      <c r="E36" s="115">
        <f>B36*D36</f>
        <v>4.9886346604952362E-3</v>
      </c>
      <c r="F36" s="114"/>
      <c r="G36" s="114"/>
      <c r="H36" s="114"/>
      <c r="I36" s="114"/>
      <c r="J36" s="114"/>
      <c r="K36" s="114"/>
    </row>
    <row r="37" spans="2:11">
      <c r="B37" s="114">
        <v>0.01</v>
      </c>
      <c r="C37" s="114">
        <f t="shared" ref="C37:C50" si="6">B37*261</f>
        <v>2.61</v>
      </c>
      <c r="D37" s="112">
        <f t="shared" ref="D37:D50" si="7">_xlfn.POISSON.DIST(5,C37,TRUE)</f>
        <v>0.95022405894068052</v>
      </c>
      <c r="E37" s="115">
        <f t="shared" ref="E37:E50" si="8">B37*D37</f>
        <v>9.502240589406805E-3</v>
      </c>
      <c r="F37" s="114"/>
      <c r="G37" s="114"/>
      <c r="H37" s="114"/>
      <c r="I37" s="114"/>
      <c r="J37" s="114"/>
      <c r="K37" s="114"/>
    </row>
    <row r="38" spans="2:11">
      <c r="B38" s="114">
        <v>1.4999999999999999E-2</v>
      </c>
      <c r="C38" s="114">
        <f t="shared" si="6"/>
        <v>3.915</v>
      </c>
      <c r="D38" s="112">
        <f t="shared" si="7"/>
        <v>0.79827020111118907</v>
      </c>
      <c r="E38" s="115">
        <f t="shared" si="8"/>
        <v>1.1974053016667836E-2</v>
      </c>
      <c r="F38" s="114"/>
      <c r="G38" s="114"/>
      <c r="H38" s="114"/>
      <c r="I38" s="114"/>
      <c r="J38" s="114"/>
      <c r="K38" s="114"/>
    </row>
    <row r="39" spans="2:11">
      <c r="B39" s="114">
        <v>0.02</v>
      </c>
      <c r="C39" s="114">
        <f t="shared" si="6"/>
        <v>5.22</v>
      </c>
      <c r="D39" s="112">
        <f t="shared" si="7"/>
        <v>0.57741869161704629</v>
      </c>
      <c r="E39" s="115">
        <f t="shared" si="8"/>
        <v>1.1548373832340926E-2</v>
      </c>
      <c r="F39" s="114"/>
      <c r="G39" s="114"/>
      <c r="H39" s="114"/>
      <c r="I39" s="114"/>
      <c r="J39" s="114"/>
      <c r="K39" s="114"/>
    </row>
    <row r="40" spans="2:11">
      <c r="B40" s="114">
        <v>2.5000000000000001E-2</v>
      </c>
      <c r="C40" s="114">
        <f t="shared" si="6"/>
        <v>6.5250000000000004</v>
      </c>
      <c r="D40" s="112">
        <f t="shared" si="7"/>
        <v>0.36541696960377551</v>
      </c>
      <c r="E40" s="115">
        <f t="shared" si="8"/>
        <v>9.1354242400943884E-3</v>
      </c>
      <c r="F40" s="114"/>
      <c r="G40" s="114"/>
      <c r="H40" s="114"/>
      <c r="I40" s="114"/>
      <c r="J40" s="114"/>
      <c r="K40" s="114"/>
    </row>
    <row r="41" spans="2:11">
      <c r="B41" s="114">
        <v>0.03</v>
      </c>
      <c r="C41" s="114">
        <f t="shared" si="6"/>
        <v>7.83</v>
      </c>
      <c r="D41" s="112">
        <f t="shared" si="7"/>
        <v>0.20730956849034432</v>
      </c>
      <c r="E41" s="115">
        <f t="shared" si="8"/>
        <v>6.2192870547103296E-3</v>
      </c>
      <c r="F41" s="114"/>
      <c r="G41" s="114"/>
      <c r="H41" s="114"/>
      <c r="I41" s="114"/>
      <c r="J41" s="114"/>
      <c r="K41" s="114"/>
    </row>
    <row r="42" spans="2:11">
      <c r="B42" s="114">
        <v>3.5000000000000003E-2</v>
      </c>
      <c r="C42" s="114">
        <f t="shared" si="6"/>
        <v>9.1350000000000016</v>
      </c>
      <c r="D42" s="112">
        <f t="shared" si="7"/>
        <v>0.10773494849645507</v>
      </c>
      <c r="E42" s="115">
        <f t="shared" si="8"/>
        <v>3.7707231973759278E-3</v>
      </c>
      <c r="F42" s="114"/>
      <c r="G42" s="114"/>
      <c r="H42" s="114"/>
      <c r="I42" s="114"/>
      <c r="J42" s="114"/>
      <c r="K42" s="114"/>
    </row>
    <row r="43" spans="2:11">
      <c r="B43" s="114">
        <v>0.04</v>
      </c>
      <c r="C43" s="114">
        <f t="shared" si="6"/>
        <v>10.44</v>
      </c>
      <c r="D43" s="112">
        <f t="shared" si="7"/>
        <v>5.2165520042155661E-2</v>
      </c>
      <c r="E43" s="115">
        <f t="shared" si="8"/>
        <v>2.0866208016862265E-3</v>
      </c>
      <c r="F43" s="114"/>
      <c r="G43" s="114"/>
      <c r="H43" s="114"/>
      <c r="I43" s="114"/>
      <c r="J43" s="114"/>
      <c r="K43" s="114"/>
    </row>
    <row r="44" spans="2:11">
      <c r="B44" s="114">
        <v>4.4999999999999998E-2</v>
      </c>
      <c r="C44" s="114">
        <f t="shared" si="6"/>
        <v>11.744999999999999</v>
      </c>
      <c r="D44" s="112">
        <f t="shared" si="7"/>
        <v>2.3842584881917997E-2</v>
      </c>
      <c r="E44" s="115">
        <f t="shared" si="8"/>
        <v>1.0729163196863099E-3</v>
      </c>
      <c r="F44" s="114"/>
      <c r="G44" s="114"/>
      <c r="H44" s="114"/>
      <c r="I44" s="114"/>
      <c r="J44" s="114"/>
      <c r="K44" s="114"/>
    </row>
    <row r="45" spans="2:11">
      <c r="B45" s="114">
        <v>0.05</v>
      </c>
      <c r="C45" s="114">
        <f t="shared" si="6"/>
        <v>13.05</v>
      </c>
      <c r="D45" s="112">
        <f t="shared" si="7"/>
        <v>1.0389533978690357E-2</v>
      </c>
      <c r="E45" s="115">
        <f t="shared" si="8"/>
        <v>5.1947669893451784E-4</v>
      </c>
      <c r="F45" s="114"/>
      <c r="G45" s="114"/>
      <c r="H45" s="114"/>
      <c r="I45" s="114"/>
      <c r="J45" s="114"/>
      <c r="K45" s="114"/>
    </row>
    <row r="46" spans="2:11">
      <c r="B46" s="114">
        <v>5.5E-2</v>
      </c>
      <c r="C46" s="114">
        <f t="shared" si="6"/>
        <v>14.355</v>
      </c>
      <c r="D46" s="112">
        <f t="shared" si="7"/>
        <v>4.3497333465340815E-3</v>
      </c>
      <c r="E46" s="115">
        <f t="shared" si="8"/>
        <v>2.3923533405937448E-4</v>
      </c>
      <c r="F46" s="114"/>
      <c r="G46" s="114"/>
      <c r="H46" s="114"/>
      <c r="I46" s="114"/>
      <c r="J46" s="114"/>
      <c r="K46" s="114"/>
    </row>
    <row r="47" spans="2:11">
      <c r="B47" s="114">
        <v>0.06</v>
      </c>
      <c r="C47" s="114">
        <f t="shared" si="6"/>
        <v>15.66</v>
      </c>
      <c r="D47" s="112">
        <f t="shared" si="7"/>
        <v>1.7602784693022348E-3</v>
      </c>
      <c r="E47" s="115">
        <f t="shared" si="8"/>
        <v>1.0561670815813409E-4</v>
      </c>
      <c r="F47" s="114"/>
      <c r="G47" s="114"/>
      <c r="H47" s="114"/>
      <c r="I47" s="114"/>
      <c r="J47" s="114"/>
      <c r="K47" s="114"/>
    </row>
    <row r="48" spans="2:11">
      <c r="B48" s="114">
        <v>6.5000000000000002E-2</v>
      </c>
      <c r="C48" s="114">
        <f t="shared" si="6"/>
        <v>16.965</v>
      </c>
      <c r="D48" s="112">
        <f t="shared" si="7"/>
        <v>6.9189943592546461E-4</v>
      </c>
      <c r="E48" s="115">
        <f t="shared" si="8"/>
        <v>4.49734633351552E-5</v>
      </c>
      <c r="F48" s="114"/>
      <c r="G48" s="114"/>
      <c r="H48" s="114"/>
      <c r="I48" s="114"/>
      <c r="J48" s="114"/>
      <c r="K48" s="114"/>
    </row>
    <row r="49" spans="2:11">
      <c r="B49" s="114">
        <v>7.0000000000000007E-2</v>
      </c>
      <c r="C49" s="114">
        <f t="shared" si="6"/>
        <v>18.270000000000003</v>
      </c>
      <c r="D49" s="112">
        <f t="shared" si="7"/>
        <v>2.6517526702743676E-4</v>
      </c>
      <c r="E49" s="115">
        <f t="shared" si="8"/>
        <v>1.8562268691920577E-5</v>
      </c>
      <c r="F49" s="114"/>
      <c r="G49" s="114"/>
      <c r="H49" s="114"/>
      <c r="I49" s="114"/>
      <c r="J49" s="114"/>
      <c r="K49" s="114"/>
    </row>
    <row r="50" spans="2:11">
      <c r="B50" s="114">
        <v>7.4999999999999997E-2</v>
      </c>
      <c r="C50" s="114">
        <f t="shared" si="6"/>
        <v>19.574999999999999</v>
      </c>
      <c r="D50" s="112">
        <f t="shared" si="7"/>
        <v>9.9409444118478399E-5</v>
      </c>
      <c r="E50" s="115">
        <f t="shared" si="8"/>
        <v>7.4557083088858793E-6</v>
      </c>
      <c r="F50" s="114"/>
      <c r="G50" s="114"/>
      <c r="H50" s="114"/>
      <c r="I50" s="114"/>
      <c r="J50" s="114"/>
      <c r="K50" s="114"/>
    </row>
    <row r="51" spans="2:11">
      <c r="B51" s="114"/>
      <c r="C51" s="114"/>
      <c r="D51" s="114"/>
      <c r="E51" s="114"/>
      <c r="F51" s="114"/>
      <c r="G51" s="114"/>
      <c r="H51" s="114"/>
      <c r="I51" s="114"/>
      <c r="J51" s="114"/>
      <c r="K51" s="114"/>
    </row>
    <row r="52" spans="2:11">
      <c r="B52" s="114"/>
      <c r="C52" s="114"/>
      <c r="D52" s="114"/>
      <c r="E52" s="114"/>
      <c r="F52" s="114"/>
      <c r="G52" s="114"/>
      <c r="H52" s="114"/>
      <c r="I52" s="114"/>
      <c r="J52" s="114"/>
      <c r="K52" s="114"/>
    </row>
    <row r="53" spans="2:11">
      <c r="B53" s="114"/>
      <c r="C53" s="114"/>
      <c r="D53" s="114"/>
      <c r="E53" s="114"/>
      <c r="F53" s="114"/>
      <c r="G53" s="114"/>
      <c r="H53" s="114"/>
      <c r="I53" s="114"/>
      <c r="J53" s="114"/>
      <c r="K53" s="114"/>
    </row>
    <row r="54" spans="2:11">
      <c r="B54" s="114"/>
      <c r="C54" s="114"/>
      <c r="D54" s="114"/>
      <c r="E54" s="114"/>
      <c r="F54" s="114"/>
      <c r="G54" s="114"/>
      <c r="H54" s="114"/>
      <c r="I54" s="114"/>
      <c r="J54" s="114"/>
      <c r="K54" s="114"/>
    </row>
    <row r="55" spans="2:11">
      <c r="B55" s="114"/>
      <c r="C55" s="114"/>
      <c r="D55" s="114"/>
      <c r="E55" s="114"/>
      <c r="F55" s="114"/>
      <c r="G55" s="114"/>
      <c r="H55" s="114"/>
      <c r="I55" s="114"/>
      <c r="J55" s="114"/>
      <c r="K55" s="114"/>
    </row>
    <row r="56" spans="2:11">
      <c r="B56" s="114"/>
      <c r="C56" s="114"/>
      <c r="D56" s="114"/>
      <c r="E56" s="114"/>
      <c r="F56" s="114"/>
      <c r="G56" s="114"/>
      <c r="H56" s="114"/>
      <c r="I56" s="114"/>
      <c r="J56" s="114"/>
      <c r="K56" s="114"/>
    </row>
    <row r="57" spans="2:11">
      <c r="B57" s="114"/>
      <c r="C57" s="114"/>
      <c r="D57" s="114"/>
      <c r="E57" s="114"/>
      <c r="F57" s="114"/>
      <c r="G57" s="114"/>
      <c r="H57" s="114"/>
      <c r="I57" s="114"/>
      <c r="J57" s="114"/>
      <c r="K57" s="114"/>
    </row>
    <row r="58" spans="2:11">
      <c r="B58" s="114"/>
      <c r="C58" s="114"/>
      <c r="D58" s="114"/>
      <c r="E58" s="114"/>
      <c r="F58" s="114"/>
      <c r="G58" s="114"/>
      <c r="H58" s="114"/>
      <c r="I58" s="114"/>
      <c r="J58" s="114"/>
      <c r="K58" s="114"/>
    </row>
    <row r="59" spans="2:11">
      <c r="B59" s="114"/>
      <c r="C59" s="114"/>
      <c r="D59" s="114"/>
      <c r="E59" s="114"/>
      <c r="F59" s="114"/>
      <c r="G59" s="114"/>
      <c r="H59" s="114"/>
      <c r="I59" s="114"/>
      <c r="J59" s="114"/>
      <c r="K59" s="114"/>
    </row>
    <row r="60" spans="2:11">
      <c r="B60" s="114"/>
      <c r="C60" s="114"/>
      <c r="D60" s="114"/>
      <c r="E60" s="114"/>
      <c r="F60" s="114"/>
      <c r="G60" s="114"/>
      <c r="H60" s="114"/>
      <c r="I60" s="114"/>
      <c r="J60" s="114"/>
      <c r="K60" s="114"/>
    </row>
    <row r="61" spans="2:11">
      <c r="B61" s="114"/>
      <c r="C61" s="114"/>
      <c r="D61" s="114"/>
      <c r="E61" s="114"/>
      <c r="F61" s="114"/>
      <c r="G61" s="114"/>
      <c r="H61" s="114"/>
      <c r="I61" s="114"/>
      <c r="J61" s="114"/>
      <c r="K61" s="114"/>
    </row>
    <row r="62" spans="2:11">
      <c r="B62" s="114"/>
      <c r="C62" s="114"/>
      <c r="D62" s="114"/>
      <c r="E62" s="114"/>
      <c r="F62" s="114"/>
      <c r="G62" s="114"/>
      <c r="H62" s="114"/>
      <c r="I62" s="114"/>
      <c r="J62" s="114"/>
      <c r="K62" s="114"/>
    </row>
    <row r="63" spans="2:11">
      <c r="B63" s="114"/>
      <c r="C63" s="114"/>
      <c r="D63" s="114"/>
      <c r="E63" s="114"/>
      <c r="F63" s="114"/>
      <c r="G63" s="114"/>
      <c r="H63" s="114"/>
      <c r="I63" s="114"/>
      <c r="J63" s="114"/>
      <c r="K63" s="114"/>
    </row>
    <row r="64" spans="2:11">
      <c r="B64" s="114"/>
      <c r="C64" s="114"/>
      <c r="D64" s="114"/>
      <c r="E64" s="114"/>
      <c r="F64" s="114"/>
      <c r="G64" s="114"/>
      <c r="H64" s="114"/>
      <c r="I64" s="114"/>
      <c r="J64" s="114"/>
      <c r="K64" s="114"/>
    </row>
    <row r="65" spans="2:11">
      <c r="B65" s="114"/>
      <c r="C65" s="114"/>
      <c r="D65" s="114"/>
      <c r="E65" s="114"/>
      <c r="F65" s="114"/>
      <c r="G65" s="114"/>
      <c r="H65" s="114"/>
      <c r="I65" s="114"/>
      <c r="J65" s="114"/>
      <c r="K65" s="114"/>
    </row>
  </sheetData>
  <pageMargins left="0.7" right="0.7" top="0.75" bottom="0.75" header="0.3" footer="0.3"/>
  <pageSetup orientation="portrait" horizontalDpi="4294967292" verticalDpi="429496729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F10AA-09FC-DE4D-A97C-945DA8EE6A1A}">
  <dimension ref="B1:M40"/>
  <sheetViews>
    <sheetView zoomScale="113" zoomScaleNormal="110" zoomScalePageLayoutView="150" workbookViewId="0">
      <selection activeCell="L7" sqref="L7"/>
    </sheetView>
  </sheetViews>
  <sheetFormatPr baseColWidth="10" defaultColWidth="10.83203125" defaultRowHeight="13"/>
  <cols>
    <col min="1" max="1" width="5" style="117" customWidth="1"/>
    <col min="2" max="9" width="10.83203125" style="117"/>
    <col min="10" max="10" width="9.83203125" style="117" customWidth="1"/>
    <col min="11" max="16384" width="10.83203125" style="117"/>
  </cols>
  <sheetData>
    <row r="1" spans="2:13" ht="16">
      <c r="B1" s="119" t="s">
        <v>14</v>
      </c>
      <c r="C1" s="119">
        <v>200</v>
      </c>
      <c r="D1" s="120"/>
      <c r="E1" s="120"/>
      <c r="F1" s="120"/>
      <c r="G1" s="120"/>
      <c r="H1" s="120"/>
      <c r="I1" s="120"/>
      <c r="J1" s="120"/>
      <c r="K1" s="116"/>
      <c r="L1" s="116"/>
      <c r="M1" s="116"/>
    </row>
    <row r="2" spans="2:13" ht="16">
      <c r="B2" s="119" t="s">
        <v>15</v>
      </c>
      <c r="C2" s="119">
        <v>3</v>
      </c>
      <c r="D2" s="120"/>
      <c r="E2" s="120"/>
      <c r="F2" s="120"/>
      <c r="G2" s="120"/>
      <c r="H2" s="120"/>
      <c r="I2" s="120"/>
      <c r="J2" s="120"/>
      <c r="K2" s="116"/>
      <c r="L2" s="116"/>
      <c r="M2" s="116"/>
    </row>
    <row r="3" spans="2:13" ht="16">
      <c r="B3" s="121" t="s">
        <v>16</v>
      </c>
      <c r="C3" s="121" t="s">
        <v>17</v>
      </c>
      <c r="D3" s="121" t="s">
        <v>18</v>
      </c>
      <c r="E3" s="121" t="s">
        <v>45</v>
      </c>
      <c r="F3" s="120"/>
      <c r="G3" s="120"/>
      <c r="H3" s="120" t="s">
        <v>248</v>
      </c>
      <c r="I3" s="120">
        <v>1.35</v>
      </c>
      <c r="J3" s="120"/>
      <c r="K3" s="116"/>
      <c r="L3" s="116"/>
      <c r="M3" s="116"/>
    </row>
    <row r="4" spans="2:13" ht="16">
      <c r="B4" s="65">
        <v>5.0000000000000001E-3</v>
      </c>
      <c r="C4" s="125">
        <f>B4*$C$1</f>
        <v>1</v>
      </c>
      <c r="D4" s="124">
        <f>POISSON($C$2,C4,TRUE)</f>
        <v>0.98101184312384615</v>
      </c>
      <c r="E4" s="126">
        <f>B4*D4</f>
        <v>4.9050592156192306E-3</v>
      </c>
      <c r="F4" s="120"/>
      <c r="G4" s="120"/>
      <c r="H4" s="122" t="s">
        <v>249</v>
      </c>
      <c r="I4" s="123">
        <f>I3/C1</f>
        <v>6.7500000000000008E-3</v>
      </c>
      <c r="J4" s="120"/>
      <c r="K4" s="116"/>
      <c r="L4" s="116"/>
      <c r="M4" s="116"/>
    </row>
    <row r="5" spans="2:13" ht="16">
      <c r="B5" s="65">
        <v>0.01</v>
      </c>
      <c r="C5" s="125">
        <f t="shared" ref="C5:C10" si="0">B5*$C$1</f>
        <v>2</v>
      </c>
      <c r="D5" s="124">
        <f t="shared" ref="D5:D10" si="1">POISSON($C$2,C5,TRUE)</f>
        <v>0.85712346049854693</v>
      </c>
      <c r="E5" s="126">
        <f t="shared" ref="E5:E10" si="2">B5*D5</f>
        <v>8.5712346049854702E-3</v>
      </c>
      <c r="F5" s="120"/>
      <c r="G5" s="120"/>
      <c r="H5" s="120"/>
      <c r="I5" s="120"/>
      <c r="J5" s="120"/>
      <c r="K5" s="116"/>
      <c r="L5" s="116"/>
      <c r="M5" s="116"/>
    </row>
    <row r="6" spans="2:13" ht="16">
      <c r="B6" s="65">
        <v>0.02</v>
      </c>
      <c r="C6" s="125">
        <f t="shared" si="0"/>
        <v>4</v>
      </c>
      <c r="D6" s="124">
        <f t="shared" si="1"/>
        <v>0.43347012036670896</v>
      </c>
      <c r="E6" s="126">
        <f t="shared" si="2"/>
        <v>8.6694024073341799E-3</v>
      </c>
      <c r="F6" s="122" t="s">
        <v>116</v>
      </c>
      <c r="G6" s="120"/>
      <c r="H6" s="120"/>
      <c r="I6" s="120"/>
      <c r="J6" s="120"/>
      <c r="K6" s="116"/>
      <c r="L6" s="116"/>
      <c r="M6" s="116"/>
    </row>
    <row r="7" spans="2:13" ht="16">
      <c r="B7" s="65">
        <v>0.03</v>
      </c>
      <c r="C7" s="125">
        <f t="shared" si="0"/>
        <v>6</v>
      </c>
      <c r="D7" s="124">
        <f t="shared" si="1"/>
        <v>0.15120388277664787</v>
      </c>
      <c r="E7" s="126">
        <f t="shared" si="2"/>
        <v>4.5361164832994358E-3</v>
      </c>
      <c r="F7" s="120"/>
      <c r="G7" s="120"/>
      <c r="H7" s="120"/>
      <c r="I7" s="120"/>
      <c r="J7" s="120"/>
      <c r="K7" s="116"/>
      <c r="L7" s="116"/>
      <c r="M7" s="116"/>
    </row>
    <row r="8" spans="2:13" ht="16">
      <c r="B8" s="65">
        <v>0.04</v>
      </c>
      <c r="C8" s="125">
        <f t="shared" si="0"/>
        <v>8</v>
      </c>
      <c r="D8" s="124">
        <f t="shared" si="1"/>
        <v>4.2380111991683997E-2</v>
      </c>
      <c r="E8" s="126">
        <f t="shared" si="2"/>
        <v>1.6952044796673599E-3</v>
      </c>
      <c r="G8" s="120"/>
      <c r="H8" s="120"/>
      <c r="I8" s="120"/>
      <c r="J8" s="120"/>
      <c r="K8" s="116"/>
      <c r="L8" s="116"/>
      <c r="M8" s="116"/>
    </row>
    <row r="9" spans="2:13" ht="16">
      <c r="B9" s="65">
        <v>0.05</v>
      </c>
      <c r="C9" s="125">
        <f t="shared" si="0"/>
        <v>10</v>
      </c>
      <c r="D9" s="124">
        <f t="shared" si="1"/>
        <v>1.0336050675925718E-2</v>
      </c>
      <c r="E9" s="126">
        <f t="shared" si="2"/>
        <v>5.1680253379628594E-4</v>
      </c>
      <c r="F9" s="120"/>
      <c r="G9" s="120"/>
      <c r="H9" s="120"/>
      <c r="I9" s="120"/>
      <c r="J9" s="120"/>
      <c r="K9" s="116"/>
      <c r="L9" s="116"/>
      <c r="M9" s="116"/>
    </row>
    <row r="10" spans="2:13" ht="16">
      <c r="B10" s="65">
        <v>0.06</v>
      </c>
      <c r="C10" s="125">
        <f t="shared" si="0"/>
        <v>12</v>
      </c>
      <c r="D10" s="124">
        <f t="shared" si="1"/>
        <v>2.2917912077914221E-3</v>
      </c>
      <c r="E10" s="126">
        <f t="shared" si="2"/>
        <v>1.3750747246748531E-4</v>
      </c>
      <c r="F10" s="120"/>
      <c r="G10" s="120"/>
      <c r="H10" s="120"/>
      <c r="I10" s="120"/>
      <c r="J10" s="120"/>
      <c r="K10" s="116"/>
      <c r="L10" s="116"/>
      <c r="M10" s="116"/>
    </row>
    <row r="11" spans="2:13" ht="16">
      <c r="B11" s="118"/>
      <c r="C11" s="118"/>
      <c r="D11" s="118"/>
      <c r="E11" s="118"/>
      <c r="F11" s="116"/>
      <c r="G11" s="116"/>
      <c r="H11" s="116"/>
      <c r="I11" s="116"/>
      <c r="J11" s="116"/>
      <c r="K11" s="116"/>
      <c r="L11" s="116"/>
      <c r="M11" s="116"/>
    </row>
    <row r="12" spans="2:13" ht="16">
      <c r="B12" s="118"/>
      <c r="C12" s="118"/>
      <c r="D12" s="118"/>
      <c r="E12" s="118"/>
      <c r="F12" s="116"/>
      <c r="G12" s="116"/>
      <c r="H12" s="116"/>
      <c r="I12" s="116"/>
      <c r="J12" s="116"/>
      <c r="K12" s="116"/>
      <c r="L12" s="116"/>
      <c r="M12" s="116"/>
    </row>
    <row r="13" spans="2:13" ht="16">
      <c r="B13"/>
      <c r="C13"/>
      <c r="D13"/>
      <c r="E13"/>
      <c r="F13"/>
      <c r="G13"/>
      <c r="H13"/>
      <c r="I13"/>
      <c r="J13"/>
      <c r="K13"/>
      <c r="L13" s="116"/>
      <c r="M13" s="116"/>
    </row>
    <row r="14" spans="2:13" ht="16">
      <c r="B14"/>
      <c r="C14"/>
      <c r="D14"/>
      <c r="E14"/>
      <c r="F14"/>
      <c r="G14"/>
      <c r="H14"/>
      <c r="I14"/>
      <c r="J14"/>
      <c r="K14"/>
      <c r="L14" s="116"/>
      <c r="M14" s="116"/>
    </row>
    <row r="15" spans="2:13" ht="16">
      <c r="B15"/>
      <c r="C15"/>
      <c r="D15"/>
      <c r="E15"/>
      <c r="F15"/>
      <c r="G15"/>
      <c r="H15"/>
      <c r="I15"/>
      <c r="J15"/>
      <c r="K15"/>
      <c r="L15" s="116"/>
      <c r="M15" s="116"/>
    </row>
    <row r="16" spans="2:13" ht="16">
      <c r="B16"/>
      <c r="C16"/>
      <c r="D16"/>
      <c r="E16"/>
      <c r="F16"/>
      <c r="G16"/>
      <c r="H16"/>
      <c r="I16"/>
      <c r="J16"/>
      <c r="K16"/>
      <c r="L16" s="116"/>
      <c r="M16" s="116"/>
    </row>
    <row r="17" spans="2:13" ht="16">
      <c r="B17"/>
      <c r="C17"/>
      <c r="D17"/>
      <c r="E17"/>
      <c r="F17"/>
      <c r="G17"/>
      <c r="H17"/>
      <c r="I17"/>
      <c r="J17"/>
      <c r="K17"/>
      <c r="L17" s="116"/>
      <c r="M17" s="116"/>
    </row>
    <row r="18" spans="2:13" ht="16">
      <c r="B18"/>
      <c r="C18"/>
      <c r="D18"/>
      <c r="E18"/>
      <c r="F18"/>
      <c r="G18"/>
      <c r="H18"/>
      <c r="I18"/>
      <c r="J18"/>
      <c r="K18"/>
      <c r="L18" s="116"/>
      <c r="M18" s="116"/>
    </row>
    <row r="19" spans="2:13" ht="16">
      <c r="B19"/>
      <c r="C19"/>
      <c r="D19"/>
      <c r="E19"/>
      <c r="F19"/>
      <c r="G19"/>
      <c r="H19"/>
      <c r="I19"/>
      <c r="J19"/>
      <c r="K19"/>
      <c r="L19" s="116"/>
      <c r="M19" s="116"/>
    </row>
    <row r="20" spans="2:13" ht="16">
      <c r="B20"/>
      <c r="C20"/>
      <c r="D20"/>
      <c r="E20"/>
      <c r="F20"/>
      <c r="G20"/>
      <c r="H20"/>
      <c r="I20"/>
      <c r="J20"/>
      <c r="K20"/>
      <c r="L20" s="116"/>
      <c r="M20" s="116"/>
    </row>
    <row r="21" spans="2:13" ht="16">
      <c r="B21" s="116"/>
      <c r="C21" s="116"/>
      <c r="D21" s="116"/>
      <c r="E21" s="116"/>
      <c r="F21" s="116"/>
      <c r="G21" s="116"/>
      <c r="H21" s="116"/>
      <c r="I21" s="116"/>
      <c r="J21" s="116"/>
      <c r="K21" s="116"/>
      <c r="L21" s="116"/>
      <c r="M21" s="116"/>
    </row>
    <row r="22" spans="2:13" ht="16">
      <c r="B22" s="116"/>
      <c r="C22" s="116"/>
      <c r="D22" s="116"/>
      <c r="E22" s="116"/>
      <c r="F22" s="116"/>
      <c r="G22" s="116"/>
      <c r="H22" s="116"/>
      <c r="I22" s="116"/>
      <c r="J22" s="116"/>
      <c r="K22" s="116"/>
      <c r="L22" s="116"/>
      <c r="M22" s="116"/>
    </row>
    <row r="23" spans="2:13" ht="16">
      <c r="B23" s="116"/>
      <c r="C23" s="116"/>
      <c r="D23" s="116"/>
      <c r="E23" s="116"/>
      <c r="F23" s="116"/>
      <c r="G23" s="116"/>
      <c r="H23" s="116"/>
      <c r="I23" s="116"/>
      <c r="J23" s="116"/>
      <c r="K23" s="116"/>
      <c r="L23" s="116"/>
      <c r="M23" s="116"/>
    </row>
    <row r="24" spans="2:13" ht="16">
      <c r="B24" s="116"/>
      <c r="C24" s="116"/>
      <c r="D24" s="116"/>
      <c r="E24" s="116"/>
      <c r="F24" s="116"/>
      <c r="G24" s="116"/>
      <c r="H24" s="116"/>
      <c r="I24" s="116"/>
      <c r="J24" s="116"/>
      <c r="K24" s="116"/>
      <c r="L24" s="116"/>
      <c r="M24" s="116"/>
    </row>
    <row r="25" spans="2:13" ht="16">
      <c r="B25" s="116"/>
      <c r="C25" s="116"/>
      <c r="D25" s="116"/>
      <c r="E25" s="116"/>
      <c r="F25" s="116"/>
      <c r="G25" s="116"/>
      <c r="H25" s="116"/>
      <c r="I25" s="116"/>
      <c r="J25" s="116"/>
      <c r="K25" s="116"/>
      <c r="L25" s="116"/>
      <c r="M25" s="116"/>
    </row>
    <row r="26" spans="2:13" ht="16">
      <c r="B26" s="116"/>
      <c r="C26" s="116"/>
      <c r="D26" s="116"/>
      <c r="E26" s="116"/>
      <c r="F26" s="116"/>
      <c r="G26" s="116"/>
      <c r="H26" s="116"/>
      <c r="I26" s="116"/>
      <c r="J26" s="116"/>
      <c r="K26" s="116"/>
      <c r="L26" s="116"/>
      <c r="M26" s="116"/>
    </row>
    <row r="27" spans="2:13" ht="16">
      <c r="B27" s="116"/>
      <c r="C27" s="116"/>
      <c r="D27" s="116"/>
      <c r="E27" s="116"/>
      <c r="F27" s="116"/>
      <c r="G27" s="116"/>
      <c r="H27" s="116"/>
      <c r="I27" s="116"/>
      <c r="J27" s="116"/>
      <c r="K27" s="116"/>
      <c r="L27" s="116"/>
      <c r="M27" s="116"/>
    </row>
    <row r="28" spans="2:13" ht="16">
      <c r="B28" s="116"/>
      <c r="C28" s="116"/>
      <c r="D28" s="116"/>
      <c r="E28" s="116"/>
      <c r="F28" s="116"/>
      <c r="G28" s="116"/>
      <c r="H28" s="116"/>
      <c r="I28" s="116"/>
      <c r="J28" s="116"/>
      <c r="K28" s="116"/>
      <c r="L28" s="116"/>
      <c r="M28" s="116"/>
    </row>
    <row r="29" spans="2:13" ht="16">
      <c r="B29" s="116"/>
      <c r="C29" s="116"/>
      <c r="D29" s="116"/>
      <c r="E29" s="116"/>
      <c r="F29" s="116"/>
      <c r="G29" s="116"/>
      <c r="H29" s="116"/>
      <c r="I29" s="116"/>
      <c r="J29" s="116"/>
      <c r="K29" s="116"/>
      <c r="L29" s="116"/>
      <c r="M29" s="116"/>
    </row>
    <row r="30" spans="2:13" ht="16">
      <c r="B30" s="116"/>
      <c r="C30" s="116"/>
      <c r="D30" s="116"/>
      <c r="E30" s="116"/>
      <c r="F30" s="116"/>
      <c r="G30" s="116"/>
      <c r="H30" s="116"/>
      <c r="I30" s="116"/>
      <c r="J30" s="116"/>
      <c r="K30" s="116"/>
      <c r="L30" s="116"/>
      <c r="M30" s="116"/>
    </row>
    <row r="31" spans="2:13" ht="16">
      <c r="B31" s="116"/>
      <c r="C31" s="116"/>
      <c r="D31" s="116"/>
      <c r="E31" s="116"/>
      <c r="F31" s="116"/>
      <c r="G31" s="116"/>
      <c r="H31" s="116"/>
      <c r="I31" s="116"/>
      <c r="J31" s="116"/>
      <c r="K31" s="116"/>
      <c r="L31" s="116"/>
      <c r="M31" s="116"/>
    </row>
    <row r="32" spans="2:13" ht="16">
      <c r="B32" s="116"/>
      <c r="C32" s="116"/>
      <c r="D32" s="116"/>
      <c r="E32" s="116"/>
      <c r="F32" s="116"/>
      <c r="G32" s="116"/>
      <c r="H32" s="116"/>
      <c r="I32" s="116"/>
      <c r="J32" s="116"/>
      <c r="K32" s="116"/>
      <c r="L32" s="116"/>
      <c r="M32" s="116"/>
    </row>
    <row r="33" spans="2:13" ht="16">
      <c r="B33" s="116"/>
      <c r="C33" s="116"/>
      <c r="D33" s="116"/>
      <c r="E33" s="116"/>
      <c r="F33" s="116"/>
      <c r="G33" s="116"/>
      <c r="H33" s="116"/>
      <c r="I33" s="116"/>
      <c r="J33" s="116"/>
      <c r="K33" s="116"/>
      <c r="L33" s="116"/>
      <c r="M33" s="116"/>
    </row>
    <row r="34" spans="2:13" ht="16">
      <c r="B34" s="116"/>
      <c r="C34" s="116"/>
      <c r="D34" s="116"/>
      <c r="E34" s="116"/>
      <c r="F34" s="116"/>
      <c r="G34" s="116"/>
      <c r="H34" s="116"/>
      <c r="I34" s="116"/>
      <c r="J34" s="116"/>
      <c r="K34" s="116"/>
      <c r="L34" s="116"/>
      <c r="M34" s="116"/>
    </row>
    <row r="35" spans="2:13" ht="16">
      <c r="B35" s="116"/>
      <c r="C35" s="116"/>
      <c r="D35" s="116"/>
      <c r="E35" s="116"/>
      <c r="F35" s="116"/>
      <c r="G35" s="116"/>
      <c r="H35" s="116"/>
      <c r="I35" s="116"/>
      <c r="J35" s="116"/>
      <c r="K35" s="116"/>
      <c r="L35" s="116"/>
      <c r="M35" s="116"/>
    </row>
    <row r="36" spans="2:13" ht="16">
      <c r="B36" s="116"/>
      <c r="C36" s="116"/>
      <c r="D36" s="116"/>
      <c r="E36" s="116"/>
      <c r="F36" s="116"/>
      <c r="G36" s="116"/>
      <c r="H36" s="116"/>
      <c r="I36" s="116"/>
      <c r="J36" s="116"/>
      <c r="K36" s="116"/>
      <c r="L36" s="116"/>
      <c r="M36" s="116"/>
    </row>
    <row r="37" spans="2:13" ht="16">
      <c r="B37" s="116"/>
      <c r="C37" s="116"/>
      <c r="D37" s="116"/>
      <c r="E37" s="116"/>
      <c r="F37" s="116"/>
      <c r="G37" s="116"/>
      <c r="H37" s="116"/>
      <c r="I37" s="116"/>
      <c r="J37" s="116"/>
      <c r="K37" s="116"/>
      <c r="L37" s="116"/>
      <c r="M37" s="116"/>
    </row>
    <row r="38" spans="2:13" ht="16">
      <c r="B38" s="116"/>
      <c r="C38" s="116"/>
      <c r="D38" s="116"/>
      <c r="E38" s="116"/>
      <c r="F38" s="116"/>
      <c r="G38" s="116"/>
      <c r="H38" s="116"/>
      <c r="I38" s="116"/>
      <c r="J38" s="116"/>
      <c r="K38" s="116"/>
      <c r="L38" s="116"/>
      <c r="M38" s="116"/>
    </row>
    <row r="39" spans="2:13" ht="16">
      <c r="B39" s="116"/>
      <c r="C39" s="116"/>
      <c r="D39" s="116"/>
      <c r="E39" s="116"/>
      <c r="F39" s="116"/>
      <c r="G39" s="116"/>
      <c r="H39" s="116"/>
      <c r="I39" s="116"/>
      <c r="J39" s="116"/>
      <c r="K39" s="116"/>
      <c r="L39" s="116"/>
      <c r="M39" s="116"/>
    </row>
    <row r="40" spans="2:13" ht="16">
      <c r="B40" s="116"/>
      <c r="C40" s="116"/>
      <c r="D40" s="116"/>
      <c r="E40" s="116"/>
      <c r="F40" s="116"/>
      <c r="G40" s="116"/>
      <c r="H40" s="116"/>
      <c r="I40" s="116"/>
      <c r="J40" s="116"/>
      <c r="K40" s="116"/>
      <c r="L40" s="116"/>
      <c r="M40" s="116"/>
    </row>
  </sheetData>
  <pageMargins left="0.25" right="0.55000000000000004" top="1" bottom="1" header="0.5" footer="0.5"/>
  <pageSetup paperSize="0" orientation="landscape" horizontalDpi="4294967292" verticalDpi="429496729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DAC59-8B91-E34E-952F-BA5E2C1A87C7}">
  <dimension ref="B1:G52"/>
  <sheetViews>
    <sheetView topLeftCell="A20" zoomScaleNormal="100" zoomScalePageLayoutView="150" workbookViewId="0">
      <selection activeCell="L51" sqref="L51"/>
    </sheetView>
  </sheetViews>
  <sheetFormatPr baseColWidth="10" defaultRowHeight="16"/>
  <cols>
    <col min="4" max="4" width="12.1640625" bestFit="1" customWidth="1"/>
  </cols>
  <sheetData>
    <row r="1" spans="2:6">
      <c r="B1" t="s">
        <v>0</v>
      </c>
      <c r="C1" s="111">
        <v>0.02</v>
      </c>
    </row>
    <row r="2" spans="2:6">
      <c r="B2" t="s">
        <v>55</v>
      </c>
      <c r="C2" s="111">
        <v>0.04</v>
      </c>
    </row>
    <row r="3" spans="2:6">
      <c r="B3" t="s">
        <v>141</v>
      </c>
      <c r="C3" s="111">
        <v>0.05</v>
      </c>
    </row>
    <row r="4" spans="2:6">
      <c r="B4" t="s">
        <v>107</v>
      </c>
      <c r="C4" s="111">
        <v>0.1</v>
      </c>
    </row>
    <row r="6" spans="2:6">
      <c r="C6" t="s">
        <v>145</v>
      </c>
      <c r="D6" s="127">
        <f>C2/C1</f>
        <v>2</v>
      </c>
    </row>
    <row r="9" spans="2:6">
      <c r="C9" t="s">
        <v>5</v>
      </c>
      <c r="D9" t="s">
        <v>250</v>
      </c>
      <c r="E9" t="s">
        <v>251</v>
      </c>
      <c r="F9" t="s">
        <v>145</v>
      </c>
    </row>
    <row r="10" spans="2:6">
      <c r="C10">
        <v>10</v>
      </c>
      <c r="D10">
        <v>5.4</v>
      </c>
      <c r="E10">
        <v>15.4</v>
      </c>
      <c r="F10" s="77">
        <f>E10/D10</f>
        <v>2.8518518518518516</v>
      </c>
    </row>
    <row r="11" spans="2:6">
      <c r="C11">
        <v>11</v>
      </c>
      <c r="D11">
        <v>6.9</v>
      </c>
      <c r="E11">
        <v>16.600000000000001</v>
      </c>
      <c r="F11" s="77">
        <f t="shared" ref="F11:F18" si="0">E11/D11</f>
        <v>2.4057971014492754</v>
      </c>
    </row>
    <row r="12" spans="2:6">
      <c r="C12">
        <v>12</v>
      </c>
      <c r="D12">
        <v>7.7</v>
      </c>
      <c r="E12">
        <v>17.8</v>
      </c>
      <c r="F12" s="77">
        <f t="shared" si="0"/>
        <v>2.3116883116883118</v>
      </c>
    </row>
    <row r="13" spans="2:6">
      <c r="C13">
        <v>13</v>
      </c>
      <c r="D13">
        <v>8.4</v>
      </c>
      <c r="E13">
        <v>19</v>
      </c>
      <c r="F13" s="77">
        <f t="shared" si="0"/>
        <v>2.2619047619047619</v>
      </c>
    </row>
    <row r="14" spans="2:6">
      <c r="C14">
        <v>14</v>
      </c>
      <c r="D14">
        <v>9.3000000000000007</v>
      </c>
      <c r="E14">
        <v>20.2</v>
      </c>
      <c r="F14" s="77">
        <f t="shared" si="0"/>
        <v>2.172043010752688</v>
      </c>
    </row>
    <row r="15" spans="2:6">
      <c r="C15">
        <v>15</v>
      </c>
      <c r="D15">
        <v>10</v>
      </c>
      <c r="E15">
        <v>21.2</v>
      </c>
      <c r="F15" s="77">
        <f t="shared" si="0"/>
        <v>2.12</v>
      </c>
    </row>
    <row r="16" spans="2:6">
      <c r="C16">
        <v>16</v>
      </c>
      <c r="D16">
        <v>10.8</v>
      </c>
      <c r="E16">
        <v>22.4</v>
      </c>
      <c r="F16" s="77">
        <f t="shared" si="0"/>
        <v>2.074074074074074</v>
      </c>
    </row>
    <row r="17" spans="2:7">
      <c r="C17">
        <v>17</v>
      </c>
      <c r="D17">
        <v>11.6</v>
      </c>
      <c r="E17">
        <v>23.6</v>
      </c>
      <c r="F17" s="77">
        <f t="shared" si="0"/>
        <v>2.0344827586206899</v>
      </c>
    </row>
    <row r="18" spans="2:7">
      <c r="C18">
        <v>18</v>
      </c>
      <c r="D18">
        <v>12.4</v>
      </c>
      <c r="E18">
        <v>24.8</v>
      </c>
      <c r="F18" s="77">
        <f t="shared" si="0"/>
        <v>2</v>
      </c>
      <c r="G18" s="107" t="s">
        <v>252</v>
      </c>
    </row>
    <row r="20" spans="2:7">
      <c r="C20" t="s">
        <v>253</v>
      </c>
      <c r="D20">
        <f>D18/C1</f>
        <v>620</v>
      </c>
    </row>
    <row r="21" spans="2:7">
      <c r="C21" t="s">
        <v>254</v>
      </c>
      <c r="D21">
        <f>E18/C2</f>
        <v>620</v>
      </c>
    </row>
    <row r="23" spans="2:7">
      <c r="B23" t="s">
        <v>255</v>
      </c>
    </row>
    <row r="24" spans="2:7">
      <c r="B24" t="s">
        <v>23</v>
      </c>
    </row>
    <row r="26" spans="2:7">
      <c r="B26" t="s">
        <v>101</v>
      </c>
      <c r="C26" t="s">
        <v>5</v>
      </c>
      <c r="D26" t="s">
        <v>18</v>
      </c>
      <c r="E26" t="s">
        <v>17</v>
      </c>
      <c r="F26" t="s">
        <v>256</v>
      </c>
    </row>
    <row r="27" spans="2:7">
      <c r="B27">
        <v>620</v>
      </c>
      <c r="C27">
        <v>18</v>
      </c>
      <c r="D27" s="111">
        <v>0.8</v>
      </c>
      <c r="E27">
        <v>16.2</v>
      </c>
      <c r="F27" s="112">
        <f>E27/B27</f>
        <v>2.6129032258064514E-2</v>
      </c>
    </row>
    <row r="28" spans="2:7">
      <c r="B28">
        <v>620</v>
      </c>
      <c r="C28">
        <v>18</v>
      </c>
      <c r="D28" s="111">
        <v>0.2</v>
      </c>
      <c r="E28">
        <v>23.6</v>
      </c>
      <c r="F28" s="112">
        <f>E28/B28</f>
        <v>3.8064516129032264E-2</v>
      </c>
    </row>
    <row r="30" spans="2:7">
      <c r="B30" t="s">
        <v>257</v>
      </c>
    </row>
    <row r="32" spans="2:7">
      <c r="B32" t="s">
        <v>258</v>
      </c>
    </row>
    <row r="33" spans="2:6">
      <c r="B33" t="s">
        <v>16</v>
      </c>
      <c r="C33" t="s">
        <v>17</v>
      </c>
      <c r="D33" t="s">
        <v>18</v>
      </c>
      <c r="E33" t="s">
        <v>16</v>
      </c>
      <c r="F33" t="s">
        <v>45</v>
      </c>
    </row>
    <row r="34" spans="2:6">
      <c r="B34">
        <v>5.0000000000000001E-3</v>
      </c>
      <c r="C34">
        <f>620*B34</f>
        <v>3.1</v>
      </c>
      <c r="D34" s="112">
        <f>_xlfn.POISSON.DIST(18,C34,TRUE)</f>
        <v>0.99999999905172021</v>
      </c>
      <c r="E34">
        <f>B34</f>
        <v>5.0000000000000001E-3</v>
      </c>
    </row>
    <row r="35" spans="2:6">
      <c r="B35">
        <v>0.01</v>
      </c>
      <c r="C35">
        <f t="shared" ref="C35:C52" si="1">620*B35</f>
        <v>6.2</v>
      </c>
      <c r="D35" s="112">
        <f t="shared" ref="D35" si="2">_xlfn.POISSON.DIST(18,C35,TRUE)</f>
        <v>0.99997276845186089</v>
      </c>
      <c r="E35">
        <f t="shared" ref="E35:E44" si="3">B35</f>
        <v>0.01</v>
      </c>
      <c r="F35">
        <f t="shared" ref="F35:F44" si="4">B35*D35</f>
        <v>9.9997276845186084E-3</v>
      </c>
    </row>
    <row r="36" spans="2:6">
      <c r="B36">
        <v>1.4999999999999999E-2</v>
      </c>
      <c r="C36">
        <f t="shared" si="1"/>
        <v>9.2999999999999989</v>
      </c>
      <c r="D36" s="112">
        <f>_xlfn.POISSON.DIST(18,C36,TRUE)</f>
        <v>0.99656495544744761</v>
      </c>
      <c r="E36">
        <f t="shared" si="3"/>
        <v>1.4999999999999999E-2</v>
      </c>
      <c r="F36">
        <f t="shared" si="4"/>
        <v>1.4948474331711713E-2</v>
      </c>
    </row>
    <row r="37" spans="2:6">
      <c r="B37">
        <v>0.02</v>
      </c>
      <c r="C37">
        <f t="shared" si="1"/>
        <v>12.4</v>
      </c>
      <c r="D37" s="112">
        <f t="shared" ref="D37:D43" si="5">_xlfn.POISSON.DIST(18,C37,TRUE)</f>
        <v>0.95130875403246273</v>
      </c>
      <c r="E37">
        <f t="shared" si="3"/>
        <v>0.02</v>
      </c>
      <c r="F37">
        <f t="shared" si="4"/>
        <v>1.9026175080649254E-2</v>
      </c>
    </row>
    <row r="38" spans="2:6">
      <c r="B38">
        <v>2.5000000000000001E-2</v>
      </c>
      <c r="C38">
        <f t="shared" si="1"/>
        <v>15.5</v>
      </c>
      <c r="D38" s="112">
        <f t="shared" si="5"/>
        <v>0.78246398817613283</v>
      </c>
      <c r="E38">
        <f t="shared" si="3"/>
        <v>2.5000000000000001E-2</v>
      </c>
      <c r="F38">
        <f t="shared" si="4"/>
        <v>1.9561599704403323E-2</v>
      </c>
    </row>
    <row r="39" spans="2:6">
      <c r="B39">
        <v>0.03</v>
      </c>
      <c r="C39">
        <f t="shared" si="1"/>
        <v>18.599999999999998</v>
      </c>
      <c r="D39" s="112">
        <f t="shared" si="5"/>
        <v>0.50627019176714116</v>
      </c>
      <c r="E39">
        <f t="shared" si="3"/>
        <v>0.03</v>
      </c>
      <c r="F39">
        <f t="shared" si="4"/>
        <v>1.5188105753014235E-2</v>
      </c>
    </row>
    <row r="40" spans="2:6">
      <c r="B40">
        <v>3.5000000000000003E-2</v>
      </c>
      <c r="C40">
        <f t="shared" si="1"/>
        <v>21.700000000000003</v>
      </c>
      <c r="D40" s="112">
        <f t="shared" si="5"/>
        <v>0.25206683246928901</v>
      </c>
      <c r="E40">
        <f t="shared" si="3"/>
        <v>3.5000000000000003E-2</v>
      </c>
      <c r="F40">
        <f t="shared" si="4"/>
        <v>8.8223391364251162E-3</v>
      </c>
    </row>
    <row r="41" spans="2:6">
      <c r="B41">
        <v>0.04</v>
      </c>
      <c r="C41">
        <f t="shared" si="1"/>
        <v>24.8</v>
      </c>
      <c r="D41" s="112">
        <f t="shared" si="5"/>
        <v>9.8532869307845466E-2</v>
      </c>
      <c r="E41">
        <f t="shared" si="3"/>
        <v>0.04</v>
      </c>
      <c r="F41">
        <f t="shared" si="4"/>
        <v>3.9413147723138184E-3</v>
      </c>
    </row>
    <row r="42" spans="2:6">
      <c r="B42">
        <v>4.4999999999999998E-2</v>
      </c>
      <c r="C42">
        <f t="shared" si="1"/>
        <v>27.9</v>
      </c>
      <c r="D42" s="112">
        <f t="shared" si="5"/>
        <v>3.1227492437460112E-2</v>
      </c>
      <c r="E42">
        <f t="shared" si="3"/>
        <v>4.4999999999999998E-2</v>
      </c>
      <c r="F42">
        <f t="shared" si="4"/>
        <v>1.4052371596857049E-3</v>
      </c>
    </row>
    <row r="43" spans="2:6">
      <c r="B43">
        <v>0.05</v>
      </c>
      <c r="C43">
        <f t="shared" si="1"/>
        <v>31</v>
      </c>
      <c r="D43" s="112">
        <f t="shared" si="5"/>
        <v>8.2794440562776565E-3</v>
      </c>
      <c r="E43">
        <f t="shared" si="3"/>
        <v>0.05</v>
      </c>
      <c r="F43">
        <f t="shared" si="4"/>
        <v>4.1397220281388285E-4</v>
      </c>
    </row>
    <row r="44" spans="2:6">
      <c r="B44">
        <v>5.5E-2</v>
      </c>
      <c r="C44">
        <f t="shared" si="1"/>
        <v>34.1</v>
      </c>
      <c r="D44" s="112">
        <v>0</v>
      </c>
      <c r="E44">
        <f t="shared" si="3"/>
        <v>5.5E-2</v>
      </c>
      <c r="F44">
        <f t="shared" si="4"/>
        <v>0</v>
      </c>
    </row>
    <row r="45" spans="2:6">
      <c r="B45">
        <v>0.06</v>
      </c>
      <c r="C45">
        <f t="shared" si="1"/>
        <v>37.199999999999996</v>
      </c>
    </row>
    <row r="46" spans="2:6">
      <c r="B46">
        <v>6.5000000000000002E-2</v>
      </c>
      <c r="C46">
        <f t="shared" si="1"/>
        <v>40.300000000000004</v>
      </c>
    </row>
    <row r="47" spans="2:6">
      <c r="B47">
        <v>7.0000000000000007E-2</v>
      </c>
      <c r="C47">
        <f t="shared" si="1"/>
        <v>43.400000000000006</v>
      </c>
    </row>
    <row r="48" spans="2:6">
      <c r="B48">
        <v>7.4999999999999997E-2</v>
      </c>
      <c r="C48">
        <f t="shared" si="1"/>
        <v>46.5</v>
      </c>
    </row>
    <row r="49" spans="2:3">
      <c r="B49">
        <v>0.08</v>
      </c>
      <c r="C49">
        <f t="shared" si="1"/>
        <v>49.6</v>
      </c>
    </row>
    <row r="50" spans="2:3">
      <c r="B50">
        <v>8.5000000000000006E-2</v>
      </c>
      <c r="C50">
        <f t="shared" si="1"/>
        <v>52.7</v>
      </c>
    </row>
    <row r="51" spans="2:3">
      <c r="B51">
        <v>0.09</v>
      </c>
      <c r="C51">
        <f t="shared" si="1"/>
        <v>55.8</v>
      </c>
    </row>
    <row r="52" spans="2:3">
      <c r="B52">
        <v>9.5000000000000001E-2</v>
      </c>
      <c r="C52">
        <f t="shared" si="1"/>
        <v>58.9</v>
      </c>
    </row>
  </sheetData>
  <pageMargins left="0.75" right="0.75" top="1" bottom="1" header="0.5" footer="0.5"/>
  <pageSetup orientation="portrait" horizontalDpi="4294967292" verticalDpi="429496729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6D48-B713-1843-AC40-D4FB7AE7A8A4}">
  <dimension ref="A2:P35"/>
  <sheetViews>
    <sheetView workbookViewId="0">
      <selection activeCell="O8" sqref="O8"/>
    </sheetView>
  </sheetViews>
  <sheetFormatPr baseColWidth="10" defaultRowHeight="16"/>
  <cols>
    <col min="10" max="10" width="3.6640625" customWidth="1"/>
    <col min="13" max="13" width="16.33203125" bestFit="1" customWidth="1"/>
    <col min="14" max="14" width="15" bestFit="1" customWidth="1"/>
    <col min="15" max="15" width="18" bestFit="1" customWidth="1"/>
    <col min="16" max="16" width="16.83203125" bestFit="1" customWidth="1"/>
  </cols>
  <sheetData>
    <row r="2" spans="1:13">
      <c r="B2" t="s">
        <v>47</v>
      </c>
      <c r="C2">
        <v>1000</v>
      </c>
    </row>
    <row r="3" spans="1:13">
      <c r="B3" t="s">
        <v>259</v>
      </c>
      <c r="C3" s="128">
        <v>1</v>
      </c>
      <c r="D3" t="s">
        <v>260</v>
      </c>
    </row>
    <row r="4" spans="1:13">
      <c r="B4" t="s">
        <v>261</v>
      </c>
      <c r="C4" s="128">
        <v>15</v>
      </c>
      <c r="D4" t="s">
        <v>260</v>
      </c>
    </row>
    <row r="5" spans="1:13">
      <c r="B5" t="s">
        <v>16</v>
      </c>
      <c r="C5" s="83">
        <v>3.4000000000000002E-2</v>
      </c>
      <c r="D5" t="s">
        <v>262</v>
      </c>
    </row>
    <row r="6" spans="1:13">
      <c r="B6" t="s">
        <v>239</v>
      </c>
    </row>
    <row r="7" spans="1:13">
      <c r="B7" t="s">
        <v>263</v>
      </c>
    </row>
    <row r="9" spans="1:13" ht="17" thickBot="1">
      <c r="A9" t="s">
        <v>264</v>
      </c>
    </row>
    <row r="10" spans="1:13">
      <c r="B10" s="129">
        <v>34</v>
      </c>
      <c r="C10" s="493" t="s">
        <v>265</v>
      </c>
      <c r="D10" s="493"/>
      <c r="E10" s="493"/>
      <c r="F10" s="494"/>
      <c r="G10" s="495" t="s">
        <v>266</v>
      </c>
      <c r="H10" s="496"/>
      <c r="I10" s="496"/>
      <c r="J10" s="130"/>
      <c r="K10" s="496" t="s">
        <v>805</v>
      </c>
      <c r="L10" s="496"/>
      <c r="M10" s="497"/>
    </row>
    <row r="11" spans="1:13">
      <c r="B11" s="131">
        <f>B10*C4</f>
        <v>510</v>
      </c>
      <c r="C11" s="480" t="s">
        <v>267</v>
      </c>
      <c r="D11" s="480"/>
      <c r="E11" s="480"/>
      <c r="F11" s="481"/>
      <c r="G11" s="482" t="s">
        <v>268</v>
      </c>
      <c r="H11" s="480"/>
      <c r="I11" s="132">
        <f>C3*75</f>
        <v>75</v>
      </c>
      <c r="J11" s="65"/>
      <c r="K11" s="480" t="s">
        <v>268</v>
      </c>
      <c r="L11" s="480"/>
      <c r="M11" s="133">
        <v>0</v>
      </c>
    </row>
    <row r="12" spans="1:13">
      <c r="B12" s="131">
        <f>75*C3</f>
        <v>75</v>
      </c>
      <c r="C12" s="480" t="s">
        <v>269</v>
      </c>
      <c r="D12" s="480"/>
      <c r="E12" s="480"/>
      <c r="F12" s="481"/>
      <c r="G12" s="482" t="s">
        <v>270</v>
      </c>
      <c r="H12" s="480"/>
      <c r="I12" s="132">
        <f>(F22*C2)*C4</f>
        <v>274.20267014922507</v>
      </c>
      <c r="J12" s="65"/>
      <c r="K12" s="480" t="s">
        <v>270</v>
      </c>
      <c r="L12" s="480"/>
      <c r="M12" s="133">
        <f>(C2*C5)*C4</f>
        <v>510</v>
      </c>
    </row>
    <row r="13" spans="1:13">
      <c r="B13" s="483">
        <f>B11-B12</f>
        <v>435</v>
      </c>
      <c r="C13" s="485" t="s">
        <v>271</v>
      </c>
      <c r="D13" s="485"/>
      <c r="E13" s="485"/>
      <c r="F13" s="486"/>
      <c r="G13" s="482" t="s">
        <v>272</v>
      </c>
      <c r="H13" s="480"/>
      <c r="I13" s="132">
        <f>SUM(I11:I12)</f>
        <v>349.20267014922507</v>
      </c>
      <c r="J13" s="65"/>
      <c r="K13" s="480" t="s">
        <v>272</v>
      </c>
      <c r="L13" s="480"/>
      <c r="M13" s="133">
        <f>SUM(M11:M12)</f>
        <v>510</v>
      </c>
    </row>
    <row r="14" spans="1:13" ht="17" thickBot="1">
      <c r="B14" s="484"/>
      <c r="C14" s="487"/>
      <c r="D14" s="487"/>
      <c r="E14" s="487"/>
      <c r="F14" s="488"/>
      <c r="G14" s="489" t="s">
        <v>271</v>
      </c>
      <c r="H14" s="490"/>
      <c r="I14" s="490"/>
      <c r="J14" s="490"/>
      <c r="K14" s="491">
        <f>M13-I13</f>
        <v>160.79732985077493</v>
      </c>
      <c r="L14" s="490"/>
      <c r="M14" s="492"/>
    </row>
    <row r="16" spans="1:13">
      <c r="A16" s="134" t="s">
        <v>273</v>
      </c>
    </row>
    <row r="18" spans="1:16">
      <c r="A18" t="s">
        <v>274</v>
      </c>
      <c r="H18" t="s">
        <v>275</v>
      </c>
    </row>
    <row r="19" spans="1:16">
      <c r="B19" t="s">
        <v>16</v>
      </c>
      <c r="C19" t="s">
        <v>17</v>
      </c>
      <c r="D19" t="s">
        <v>18</v>
      </c>
      <c r="E19" t="s">
        <v>16</v>
      </c>
      <c r="F19" t="s">
        <v>45</v>
      </c>
      <c r="H19" t="s">
        <v>17</v>
      </c>
      <c r="I19" t="s">
        <v>18</v>
      </c>
      <c r="L19" s="64" t="str">
        <f>B19</f>
        <v>p</v>
      </c>
      <c r="M19" s="64" t="s">
        <v>279</v>
      </c>
      <c r="N19" s="64" t="s">
        <v>280</v>
      </c>
      <c r="O19" s="64" t="s">
        <v>281</v>
      </c>
      <c r="P19" s="64" t="s">
        <v>282</v>
      </c>
    </row>
    <row r="20" spans="1:16">
      <c r="B20">
        <v>0.01</v>
      </c>
      <c r="C20">
        <f>B20*75</f>
        <v>0.75</v>
      </c>
      <c r="D20" s="80">
        <f>POISSON(2,C20,TRUE)</f>
        <v>0.95949456025518609</v>
      </c>
      <c r="E20">
        <v>0.01</v>
      </c>
      <c r="F20" s="135">
        <f>B20*D20</f>
        <v>9.5949456025518614E-3</v>
      </c>
      <c r="H20">
        <f>B20*80</f>
        <v>0.8</v>
      </c>
      <c r="I20" s="80">
        <f>POISSON(5,H20,TRUE)</f>
        <v>0.99981565747879597</v>
      </c>
      <c r="L20" s="64">
        <f t="shared" ref="L20:L29" si="0">B20</f>
        <v>0.01</v>
      </c>
      <c r="M20" s="79">
        <f t="shared" ref="M20:M29" si="1">D20</f>
        <v>0.95949456025518609</v>
      </c>
      <c r="N20" s="79">
        <f t="shared" ref="N20:N29" si="2">I20</f>
        <v>0.99981565747879597</v>
      </c>
      <c r="O20" s="106">
        <f>F20</f>
        <v>9.5949456025518614E-3</v>
      </c>
      <c r="P20" s="106">
        <f>L20*N20</f>
        <v>9.9981565747879596E-3</v>
      </c>
    </row>
    <row r="21" spans="1:16">
      <c r="B21">
        <v>0.02</v>
      </c>
      <c r="C21">
        <f t="shared" ref="C21:C29" si="3">B21*75</f>
        <v>1.5</v>
      </c>
      <c r="D21" s="80">
        <f t="shared" ref="D21:D29" si="4">POISSON(2,C21,TRUE)</f>
        <v>0.80884683053805806</v>
      </c>
      <c r="E21">
        <v>0.02</v>
      </c>
      <c r="F21" s="135">
        <f t="shared" ref="F21:F29" si="5">B21*D21</f>
        <v>1.617693661076116E-2</v>
      </c>
      <c r="H21">
        <f t="shared" ref="H21:H29" si="6">B21*80</f>
        <v>1.6</v>
      </c>
      <c r="I21" s="80">
        <f t="shared" ref="I21:I29" si="7">POISSON(5,H21,TRUE)</f>
        <v>0.99395970888841867</v>
      </c>
      <c r="L21" s="64">
        <f t="shared" si="0"/>
        <v>0.02</v>
      </c>
      <c r="M21" s="79">
        <f t="shared" si="1"/>
        <v>0.80884683053805806</v>
      </c>
      <c r="N21" s="79">
        <f t="shared" si="2"/>
        <v>0.99395970888841867</v>
      </c>
      <c r="O21" s="106">
        <f t="shared" ref="O21:O29" si="8">F21</f>
        <v>1.617693661076116E-2</v>
      </c>
      <c r="P21" s="106">
        <f t="shared" ref="P21:P29" si="9">L21*N21</f>
        <v>1.9879194177768372E-2</v>
      </c>
    </row>
    <row r="22" spans="1:16">
      <c r="B22">
        <v>0.03</v>
      </c>
      <c r="C22">
        <f t="shared" si="3"/>
        <v>2.25</v>
      </c>
      <c r="D22" s="80">
        <f t="shared" si="4"/>
        <v>0.60933926699827801</v>
      </c>
      <c r="E22">
        <v>0.03</v>
      </c>
      <c r="F22" s="136">
        <f t="shared" si="5"/>
        <v>1.8280178009948338E-2</v>
      </c>
      <c r="G22" s="107" t="s">
        <v>116</v>
      </c>
      <c r="H22">
        <f t="shared" si="6"/>
        <v>2.4</v>
      </c>
      <c r="I22" s="80">
        <f t="shared" si="7"/>
        <v>0.964327489004697</v>
      </c>
      <c r="L22" s="64">
        <f t="shared" si="0"/>
        <v>0.03</v>
      </c>
      <c r="M22" s="79">
        <f t="shared" si="1"/>
        <v>0.60933926699827801</v>
      </c>
      <c r="N22" s="79">
        <f t="shared" si="2"/>
        <v>0.964327489004697</v>
      </c>
      <c r="O22" s="106">
        <f t="shared" si="8"/>
        <v>1.8280178009948338E-2</v>
      </c>
      <c r="P22" s="106">
        <f t="shared" si="9"/>
        <v>2.8929824670140908E-2</v>
      </c>
    </row>
    <row r="23" spans="1:16">
      <c r="B23">
        <v>0.04</v>
      </c>
      <c r="C23">
        <f t="shared" si="3"/>
        <v>3</v>
      </c>
      <c r="D23" s="80">
        <f t="shared" si="4"/>
        <v>0.42319008112684342</v>
      </c>
      <c r="E23">
        <v>0.04</v>
      </c>
      <c r="F23" s="135">
        <f t="shared" si="5"/>
        <v>1.6927603245073738E-2</v>
      </c>
      <c r="H23">
        <f t="shared" si="6"/>
        <v>3.2</v>
      </c>
      <c r="I23" s="80">
        <f t="shared" si="7"/>
        <v>0.89459189453082255</v>
      </c>
      <c r="L23" s="64">
        <f t="shared" si="0"/>
        <v>0.04</v>
      </c>
      <c r="M23" s="79">
        <f t="shared" si="1"/>
        <v>0.42319008112684342</v>
      </c>
      <c r="N23" s="79">
        <f t="shared" si="2"/>
        <v>0.89459189453082255</v>
      </c>
      <c r="O23" s="106">
        <f t="shared" si="8"/>
        <v>1.6927603245073738E-2</v>
      </c>
      <c r="P23" s="106">
        <f t="shared" si="9"/>
        <v>3.5783675781232906E-2</v>
      </c>
    </row>
    <row r="24" spans="1:16">
      <c r="B24">
        <v>0.05</v>
      </c>
      <c r="C24">
        <f t="shared" si="3"/>
        <v>3.75</v>
      </c>
      <c r="D24" s="80">
        <f t="shared" si="4"/>
        <v>0.27706844336610731</v>
      </c>
      <c r="E24">
        <v>0.05</v>
      </c>
      <c r="F24" s="135">
        <f t="shared" si="5"/>
        <v>1.3853422168305367E-2</v>
      </c>
      <c r="H24">
        <f t="shared" si="6"/>
        <v>4</v>
      </c>
      <c r="I24" s="80">
        <f t="shared" si="7"/>
        <v>0.78513038703040516</v>
      </c>
      <c r="L24" s="64">
        <f t="shared" si="0"/>
        <v>0.05</v>
      </c>
      <c r="M24" s="79">
        <f t="shared" si="1"/>
        <v>0.27706844336610731</v>
      </c>
      <c r="N24" s="79">
        <f t="shared" si="2"/>
        <v>0.78513038703040516</v>
      </c>
      <c r="O24" s="106">
        <f t="shared" si="8"/>
        <v>1.3853422168305367E-2</v>
      </c>
      <c r="P24" s="106">
        <f t="shared" si="9"/>
        <v>3.9256519351520261E-2</v>
      </c>
    </row>
    <row r="25" spans="1:16">
      <c r="B25">
        <v>0.06</v>
      </c>
      <c r="C25">
        <f t="shared" si="3"/>
        <v>4.5</v>
      </c>
      <c r="D25" s="80">
        <f t="shared" si="4"/>
        <v>0.17357807091003602</v>
      </c>
      <c r="E25">
        <v>0.06</v>
      </c>
      <c r="F25" s="135">
        <f t="shared" si="5"/>
        <v>1.0414684254602161E-2</v>
      </c>
      <c r="H25">
        <f t="shared" si="6"/>
        <v>4.8</v>
      </c>
      <c r="I25" s="80">
        <f t="shared" si="7"/>
        <v>0.65100643726949159</v>
      </c>
      <c r="L25" s="64">
        <f t="shared" si="0"/>
        <v>0.06</v>
      </c>
      <c r="M25" s="79">
        <f t="shared" si="1"/>
        <v>0.17357807091003602</v>
      </c>
      <c r="N25" s="79">
        <f t="shared" si="2"/>
        <v>0.65100643726949159</v>
      </c>
      <c r="O25" s="106">
        <f t="shared" si="8"/>
        <v>1.0414684254602161E-2</v>
      </c>
      <c r="P25" s="106">
        <f t="shared" si="9"/>
        <v>3.9060386236169496E-2</v>
      </c>
    </row>
    <row r="26" spans="1:16">
      <c r="B26">
        <v>7.0000000000000007E-2</v>
      </c>
      <c r="C26">
        <f t="shared" si="3"/>
        <v>5.2500000000000009</v>
      </c>
      <c r="D26" s="80">
        <f t="shared" si="4"/>
        <v>0.10511435293360204</v>
      </c>
      <c r="E26">
        <v>7.0000000000000007E-2</v>
      </c>
      <c r="F26" s="135">
        <f t="shared" si="5"/>
        <v>7.3580047053521435E-3</v>
      </c>
      <c r="H26">
        <f t="shared" si="6"/>
        <v>5.6000000000000005</v>
      </c>
      <c r="I26" s="80">
        <f t="shared" si="7"/>
        <v>0.51186093837550306</v>
      </c>
      <c r="L26" s="64">
        <f t="shared" si="0"/>
        <v>7.0000000000000007E-2</v>
      </c>
      <c r="M26" s="79">
        <f t="shared" si="1"/>
        <v>0.10511435293360204</v>
      </c>
      <c r="N26" s="79">
        <f t="shared" si="2"/>
        <v>0.51186093837550306</v>
      </c>
      <c r="O26" s="106">
        <f t="shared" si="8"/>
        <v>7.3580047053521435E-3</v>
      </c>
      <c r="P26" s="106">
        <f t="shared" si="9"/>
        <v>3.5830265686285216E-2</v>
      </c>
    </row>
    <row r="27" spans="1:16">
      <c r="B27">
        <v>0.08</v>
      </c>
      <c r="C27">
        <f t="shared" si="3"/>
        <v>6</v>
      </c>
      <c r="D27" s="80">
        <f t="shared" si="4"/>
        <v>6.196880441665896E-2</v>
      </c>
      <c r="E27">
        <v>0.08</v>
      </c>
      <c r="F27" s="135">
        <f t="shared" si="5"/>
        <v>4.957504353332717E-3</v>
      </c>
      <c r="H27">
        <f t="shared" si="6"/>
        <v>6.4</v>
      </c>
      <c r="I27" s="80">
        <f t="shared" si="7"/>
        <v>0.38374366179580321</v>
      </c>
      <c r="L27" s="64">
        <f t="shared" si="0"/>
        <v>0.08</v>
      </c>
      <c r="M27" s="79">
        <f t="shared" si="1"/>
        <v>6.196880441665896E-2</v>
      </c>
      <c r="N27" s="79">
        <f t="shared" si="2"/>
        <v>0.38374366179580321</v>
      </c>
      <c r="O27" s="106">
        <f t="shared" si="8"/>
        <v>4.957504353332717E-3</v>
      </c>
      <c r="P27" s="106">
        <f t="shared" si="9"/>
        <v>3.0699492943664256E-2</v>
      </c>
    </row>
    <row r="28" spans="1:16">
      <c r="B28">
        <v>0.09</v>
      </c>
      <c r="C28">
        <f t="shared" si="3"/>
        <v>6.75</v>
      </c>
      <c r="D28" s="80">
        <f t="shared" si="4"/>
        <v>3.5748418422280541E-2</v>
      </c>
      <c r="E28">
        <v>0.09</v>
      </c>
      <c r="F28" s="135">
        <f t="shared" si="5"/>
        <v>3.2173576580052485E-3</v>
      </c>
      <c r="H28">
        <f t="shared" si="6"/>
        <v>7.1999999999999993</v>
      </c>
      <c r="I28" s="80">
        <f t="shared" si="7"/>
        <v>0.2758974527265533</v>
      </c>
      <c r="L28" s="64">
        <f t="shared" si="0"/>
        <v>0.09</v>
      </c>
      <c r="M28" s="79">
        <f t="shared" si="1"/>
        <v>3.5748418422280541E-2</v>
      </c>
      <c r="N28" s="79">
        <f t="shared" si="2"/>
        <v>0.2758974527265533</v>
      </c>
      <c r="O28" s="106">
        <f t="shared" si="8"/>
        <v>3.2173576580052485E-3</v>
      </c>
      <c r="P28" s="106">
        <f t="shared" si="9"/>
        <v>2.4830770745389797E-2</v>
      </c>
    </row>
    <row r="29" spans="1:16">
      <c r="B29">
        <v>0.1</v>
      </c>
      <c r="C29">
        <f t="shared" si="3"/>
        <v>7.5</v>
      </c>
      <c r="D29" s="80">
        <f t="shared" si="4"/>
        <v>2.0256715056664407E-2</v>
      </c>
      <c r="E29">
        <v>0.1</v>
      </c>
      <c r="F29" s="135">
        <f t="shared" si="5"/>
        <v>2.0256715056664407E-3</v>
      </c>
      <c r="H29">
        <f t="shared" si="6"/>
        <v>8</v>
      </c>
      <c r="I29" s="80">
        <f t="shared" si="7"/>
        <v>0.19123606207962526</v>
      </c>
      <c r="L29" s="64">
        <f t="shared" si="0"/>
        <v>0.1</v>
      </c>
      <c r="M29" s="79">
        <f t="shared" si="1"/>
        <v>2.0256715056664407E-2</v>
      </c>
      <c r="N29" s="79">
        <f t="shared" si="2"/>
        <v>0.19123606207962526</v>
      </c>
      <c r="O29" s="106">
        <f t="shared" si="8"/>
        <v>2.0256715056664407E-3</v>
      </c>
      <c r="P29" s="106">
        <f t="shared" si="9"/>
        <v>1.9123606207962527E-2</v>
      </c>
    </row>
    <row r="32" spans="1:16">
      <c r="A32" s="134" t="s">
        <v>276</v>
      </c>
    </row>
    <row r="33" spans="1:15">
      <c r="A33" s="134" t="s">
        <v>277</v>
      </c>
    </row>
    <row r="34" spans="1:15">
      <c r="A34" s="479" t="s">
        <v>278</v>
      </c>
      <c r="B34" s="479"/>
      <c r="C34" s="479"/>
      <c r="D34" s="479"/>
      <c r="E34" s="479"/>
      <c r="F34" s="479"/>
      <c r="G34" s="479"/>
      <c r="H34" s="479"/>
      <c r="I34" s="479"/>
      <c r="J34" s="479"/>
      <c r="K34" s="479"/>
      <c r="L34" s="479"/>
      <c r="M34" s="479"/>
      <c r="N34" s="479"/>
      <c r="O34" s="479"/>
    </row>
    <row r="35" spans="1:15">
      <c r="A35" s="479"/>
      <c r="B35" s="479"/>
      <c r="C35" s="479"/>
      <c r="D35" s="479"/>
      <c r="E35" s="479"/>
      <c r="F35" s="479"/>
      <c r="G35" s="479"/>
      <c r="H35" s="479"/>
      <c r="I35" s="479"/>
      <c r="J35" s="479"/>
      <c r="K35" s="479"/>
      <c r="L35" s="479"/>
      <c r="M35" s="479"/>
      <c r="N35" s="479"/>
      <c r="O35" s="479"/>
    </row>
  </sheetData>
  <mergeCells count="16">
    <mergeCell ref="C10:F10"/>
    <mergeCell ref="G10:I10"/>
    <mergeCell ref="K10:M10"/>
    <mergeCell ref="C11:F11"/>
    <mergeCell ref="G11:H11"/>
    <mergeCell ref="K11:L11"/>
    <mergeCell ref="A34:O35"/>
    <mergeCell ref="C12:F12"/>
    <mergeCell ref="G12:H12"/>
    <mergeCell ref="K12:L12"/>
    <mergeCell ref="B13:B14"/>
    <mergeCell ref="C13:F14"/>
    <mergeCell ref="G13:H13"/>
    <mergeCell ref="K13:L13"/>
    <mergeCell ref="G14:J14"/>
    <mergeCell ref="K14:M14"/>
  </mergeCells>
  <pageMargins left="0.75" right="0.75" top="1" bottom="1" header="0.5" footer="0.5"/>
  <pageSetup orientation="portrait" horizontalDpi="4294967292" verticalDpi="4294967292"/>
  <ignoredErrors>
    <ignoredError sqref="N20:N29" formula="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3AF0-9405-244F-88C3-EF5328DE36DD}">
  <dimension ref="B1:O33"/>
  <sheetViews>
    <sheetView topLeftCell="A2" zoomScale="120" zoomScaleNormal="120" zoomScalePageLayoutView="120" workbookViewId="0">
      <selection activeCell="F6" sqref="F6"/>
    </sheetView>
  </sheetViews>
  <sheetFormatPr baseColWidth="10" defaultRowHeight="16"/>
  <cols>
    <col min="11" max="11" width="13.33203125" bestFit="1" customWidth="1"/>
  </cols>
  <sheetData>
    <row r="1" spans="2:14">
      <c r="H1" t="s">
        <v>283</v>
      </c>
    </row>
    <row r="3" spans="2:14">
      <c r="C3" t="s">
        <v>141</v>
      </c>
      <c r="D3" s="111">
        <v>0.05</v>
      </c>
      <c r="H3" t="s">
        <v>47</v>
      </c>
      <c r="I3">
        <v>1000</v>
      </c>
    </row>
    <row r="4" spans="2:14">
      <c r="C4" t="s">
        <v>107</v>
      </c>
      <c r="D4" s="111">
        <v>0.05</v>
      </c>
      <c r="H4" t="s">
        <v>0</v>
      </c>
      <c r="I4" s="83">
        <v>5.0000000000000001E-3</v>
      </c>
    </row>
    <row r="5" spans="2:14">
      <c r="C5" t="s">
        <v>0</v>
      </c>
      <c r="D5" s="83">
        <v>5.0000000000000001E-3</v>
      </c>
      <c r="H5" t="s">
        <v>216</v>
      </c>
      <c r="I5" t="s">
        <v>284</v>
      </c>
    </row>
    <row r="6" spans="2:14">
      <c r="C6" t="s">
        <v>55</v>
      </c>
      <c r="D6" s="83">
        <v>1.4999999999999999E-2</v>
      </c>
    </row>
    <row r="7" spans="2:14">
      <c r="C7" t="s">
        <v>285</v>
      </c>
      <c r="D7" s="127">
        <f>D6/D5</f>
        <v>3</v>
      </c>
      <c r="H7" t="s">
        <v>101</v>
      </c>
      <c r="I7">
        <v>125</v>
      </c>
    </row>
    <row r="8" spans="2:14">
      <c r="H8" t="s">
        <v>5</v>
      </c>
      <c r="I8">
        <v>1</v>
      </c>
    </row>
    <row r="10" spans="2:14">
      <c r="B10" s="107" t="s">
        <v>5</v>
      </c>
      <c r="C10" s="107" t="s">
        <v>250</v>
      </c>
      <c r="D10" s="107" t="s">
        <v>147</v>
      </c>
      <c r="E10" s="107" t="s">
        <v>145</v>
      </c>
      <c r="H10" s="107" t="s">
        <v>286</v>
      </c>
    </row>
    <row r="11" spans="2:14">
      <c r="B11">
        <v>1</v>
      </c>
      <c r="C11">
        <v>0.35</v>
      </c>
      <c r="D11">
        <v>4.75</v>
      </c>
      <c r="E11" s="77">
        <f>D11/C11</f>
        <v>13.571428571428573</v>
      </c>
      <c r="H11" t="s">
        <v>16</v>
      </c>
      <c r="I11" t="s">
        <v>152</v>
      </c>
      <c r="J11" t="s">
        <v>153</v>
      </c>
      <c r="K11" t="s">
        <v>154</v>
      </c>
      <c r="L11" t="s">
        <v>155</v>
      </c>
      <c r="M11" t="s">
        <v>287</v>
      </c>
      <c r="N11" t="s">
        <v>288</v>
      </c>
    </row>
    <row r="12" spans="2:14">
      <c r="B12">
        <v>2</v>
      </c>
      <c r="C12">
        <v>0.8</v>
      </c>
      <c r="D12">
        <v>6.3</v>
      </c>
      <c r="E12" s="77">
        <f t="shared" ref="E12:E19" si="0">D12/C12</f>
        <v>7.8749999999999991</v>
      </c>
      <c r="H12">
        <v>1E-3</v>
      </c>
      <c r="I12">
        <f>H12*950</f>
        <v>0.95000000000000007</v>
      </c>
      <c r="J12">
        <f>H12*$I$7</f>
        <v>0.125</v>
      </c>
      <c r="K12" s="137">
        <f>_xlfn.POISSON.DIST(8,I12,TRUE)</f>
        <v>0.99999925851674543</v>
      </c>
      <c r="L12" s="137">
        <f>_xlfn.POISSON.DIST(1,J12,TRUE)</f>
        <v>0.99280901540766986</v>
      </c>
      <c r="M12" s="138">
        <f>H12*K12</f>
        <v>9.9999925851674545E-4</v>
      </c>
      <c r="N12" s="138">
        <f>H12*L12</f>
        <v>9.9280901540766981E-4</v>
      </c>
    </row>
    <row r="13" spans="2:14">
      <c r="B13">
        <v>3</v>
      </c>
      <c r="C13">
        <v>1.35</v>
      </c>
      <c r="D13">
        <v>7.7</v>
      </c>
      <c r="E13" s="77">
        <f t="shared" si="0"/>
        <v>5.7037037037037033</v>
      </c>
      <c r="H13">
        <v>2E-3</v>
      </c>
      <c r="I13">
        <f t="shared" ref="I13:I26" si="1">H13*950</f>
        <v>1.9000000000000001</v>
      </c>
      <c r="J13">
        <f t="shared" ref="J13:J26" si="2">H13*$I$7</f>
        <v>0.25</v>
      </c>
      <c r="K13" s="137">
        <f>_xlfn.POISSON.DIST(8,I13,TRUE)</f>
        <v>0.99983655430972918</v>
      </c>
      <c r="L13" s="137">
        <f t="shared" ref="L13:L26" si="3">_xlfn.POISSON.DIST(1,J13,TRUE)</f>
        <v>0.97350097883925613</v>
      </c>
      <c r="M13" s="138">
        <f t="shared" ref="M13:M26" si="4">H13*K13</f>
        <v>1.9996731086194585E-3</v>
      </c>
      <c r="N13" s="138">
        <f t="shared" ref="N13:N26" si="5">H13*L13</f>
        <v>1.9470019576785123E-3</v>
      </c>
    </row>
    <row r="14" spans="2:14">
      <c r="B14">
        <v>4</v>
      </c>
      <c r="C14">
        <v>1.95</v>
      </c>
      <c r="D14">
        <v>9.1</v>
      </c>
      <c r="E14" s="77">
        <f t="shared" si="0"/>
        <v>4.666666666666667</v>
      </c>
      <c r="H14">
        <v>3.0000000000000001E-3</v>
      </c>
      <c r="I14">
        <f t="shared" si="1"/>
        <v>2.85</v>
      </c>
      <c r="J14">
        <f t="shared" si="2"/>
        <v>0.375</v>
      </c>
      <c r="K14" s="137">
        <f t="shared" ref="K14:K26" si="6">_xlfn.POISSON.DIST(8,I14,TRUE)</f>
        <v>0.99726879947431391</v>
      </c>
      <c r="L14" s="137">
        <f t="shared" si="3"/>
        <v>0.94502275833758675</v>
      </c>
      <c r="M14" s="138">
        <f t="shared" si="4"/>
        <v>2.9918063984229418E-3</v>
      </c>
      <c r="N14" s="138">
        <f t="shared" si="5"/>
        <v>2.8350682750127604E-3</v>
      </c>
    </row>
    <row r="15" spans="2:14">
      <c r="B15">
        <v>5</v>
      </c>
      <c r="C15">
        <v>2.6</v>
      </c>
      <c r="D15">
        <v>10.5</v>
      </c>
      <c r="E15" s="77">
        <f t="shared" si="0"/>
        <v>4.0384615384615383</v>
      </c>
      <c r="H15">
        <v>4.0000000000000001E-3</v>
      </c>
      <c r="I15">
        <f t="shared" si="1"/>
        <v>3.8000000000000003</v>
      </c>
      <c r="J15">
        <f t="shared" si="2"/>
        <v>0.5</v>
      </c>
      <c r="K15" s="137">
        <f t="shared" si="6"/>
        <v>0.98401550574844954</v>
      </c>
      <c r="L15" s="137">
        <f t="shared" si="3"/>
        <v>0.90979598956895014</v>
      </c>
      <c r="M15" s="138">
        <f t="shared" si="4"/>
        <v>3.9360620229937984E-3</v>
      </c>
      <c r="N15" s="138">
        <f t="shared" si="5"/>
        <v>3.6391839582758006E-3</v>
      </c>
    </row>
    <row r="16" spans="2:14">
      <c r="B16">
        <v>6</v>
      </c>
      <c r="C16">
        <v>3.3</v>
      </c>
      <c r="D16">
        <v>11.8</v>
      </c>
      <c r="E16" s="77">
        <f t="shared" si="0"/>
        <v>3.5757575757575761</v>
      </c>
      <c r="H16">
        <v>5.0000000000000001E-3</v>
      </c>
      <c r="I16">
        <f t="shared" si="1"/>
        <v>4.75</v>
      </c>
      <c r="J16">
        <f t="shared" si="2"/>
        <v>0.625</v>
      </c>
      <c r="K16" s="137">
        <f t="shared" si="6"/>
        <v>0.94701115959886373</v>
      </c>
      <c r="L16" s="137">
        <f t="shared" si="3"/>
        <v>0.8697998213433592</v>
      </c>
      <c r="M16" s="138">
        <f t="shared" si="4"/>
        <v>4.7350557979943184E-3</v>
      </c>
      <c r="N16" s="138">
        <f t="shared" si="5"/>
        <v>4.3489991067167961E-3</v>
      </c>
    </row>
    <row r="17" spans="2:15">
      <c r="B17">
        <v>7</v>
      </c>
      <c r="C17">
        <v>4</v>
      </c>
      <c r="D17">
        <v>13.2</v>
      </c>
      <c r="E17" s="77">
        <f t="shared" si="0"/>
        <v>3.3</v>
      </c>
      <c r="H17">
        <v>6.0000000000000001E-3</v>
      </c>
      <c r="I17">
        <f t="shared" si="1"/>
        <v>5.7</v>
      </c>
      <c r="J17">
        <f t="shared" si="2"/>
        <v>0.75</v>
      </c>
      <c r="K17" s="137">
        <f t="shared" si="6"/>
        <v>0.87661834067475186</v>
      </c>
      <c r="L17" s="137">
        <f t="shared" si="3"/>
        <v>0.82664146729677568</v>
      </c>
      <c r="M17" s="138">
        <f t="shared" si="4"/>
        <v>5.2597100440485113E-3</v>
      </c>
      <c r="N17" s="138">
        <f t="shared" si="5"/>
        <v>4.9598488037806542E-3</v>
      </c>
    </row>
    <row r="18" spans="2:15">
      <c r="B18">
        <v>8</v>
      </c>
      <c r="C18">
        <v>4.7</v>
      </c>
      <c r="D18">
        <v>14.4</v>
      </c>
      <c r="E18" s="77">
        <f t="shared" si="0"/>
        <v>3.0638297872340425</v>
      </c>
      <c r="F18" s="107" t="s">
        <v>289</v>
      </c>
      <c r="H18">
        <v>7.0000000000000001E-3</v>
      </c>
      <c r="I18">
        <f t="shared" si="1"/>
        <v>6.65</v>
      </c>
      <c r="J18">
        <f t="shared" si="2"/>
        <v>0.875</v>
      </c>
      <c r="K18" s="137">
        <f t="shared" si="6"/>
        <v>0.77345152418634677</v>
      </c>
      <c r="L18" s="137">
        <f t="shared" si="3"/>
        <v>0.78161628689720331</v>
      </c>
      <c r="M18" s="139">
        <f t="shared" si="4"/>
        <v>5.4141606693044273E-3</v>
      </c>
      <c r="N18" s="138">
        <f t="shared" si="5"/>
        <v>5.4713140082804229E-3</v>
      </c>
      <c r="O18" t="s">
        <v>290</v>
      </c>
    </row>
    <row r="19" spans="2:15">
      <c r="B19">
        <v>9</v>
      </c>
      <c r="C19">
        <v>5.4</v>
      </c>
      <c r="D19">
        <v>15.8</v>
      </c>
      <c r="E19" s="77">
        <f t="shared" si="0"/>
        <v>2.925925925925926</v>
      </c>
      <c r="H19">
        <v>8.0000000000000002E-3</v>
      </c>
      <c r="I19">
        <f t="shared" si="1"/>
        <v>7.6000000000000005</v>
      </c>
      <c r="J19">
        <f t="shared" si="2"/>
        <v>1</v>
      </c>
      <c r="K19" s="137">
        <f t="shared" si="6"/>
        <v>0.64819163096732191</v>
      </c>
      <c r="L19" s="137">
        <f t="shared" si="3"/>
        <v>0.73575888234288478</v>
      </c>
      <c r="M19" s="138">
        <f t="shared" si="4"/>
        <v>5.1855330477385752E-3</v>
      </c>
      <c r="N19" s="138">
        <f t="shared" si="5"/>
        <v>5.8860710587430786E-3</v>
      </c>
    </row>
    <row r="20" spans="2:15">
      <c r="H20">
        <v>8.9999999999999993E-3</v>
      </c>
      <c r="I20">
        <f t="shared" si="1"/>
        <v>8.5499999999999989</v>
      </c>
      <c r="J20">
        <f t="shared" si="2"/>
        <v>1.125</v>
      </c>
      <c r="K20" s="137">
        <f t="shared" si="6"/>
        <v>0.51624006441002357</v>
      </c>
      <c r="L20" s="137">
        <f t="shared" si="3"/>
        <v>0.68988649313649308</v>
      </c>
      <c r="M20" s="138">
        <f t="shared" si="4"/>
        <v>4.6461605796902115E-3</v>
      </c>
      <c r="N20" s="138">
        <f t="shared" si="5"/>
        <v>6.2089784382284375E-3</v>
      </c>
    </row>
    <row r="21" spans="2:15">
      <c r="C21" t="s">
        <v>141</v>
      </c>
      <c r="D21" t="s">
        <v>107</v>
      </c>
      <c r="H21">
        <v>0.01</v>
      </c>
      <c r="I21">
        <f t="shared" si="1"/>
        <v>9.5</v>
      </c>
      <c r="J21">
        <f t="shared" si="2"/>
        <v>1.25</v>
      </c>
      <c r="K21" s="137">
        <f t="shared" si="6"/>
        <v>0.39182348254493954</v>
      </c>
      <c r="L21" s="137">
        <f t="shared" si="3"/>
        <v>0.64463579293542783</v>
      </c>
      <c r="M21" s="138">
        <f t="shared" si="4"/>
        <v>3.9182348254493951E-3</v>
      </c>
      <c r="N21" s="138">
        <f t="shared" si="5"/>
        <v>6.4463579293542782E-3</v>
      </c>
    </row>
    <row r="22" spans="2:15">
      <c r="B22" t="s">
        <v>101</v>
      </c>
      <c r="C22">
        <f>C18/D5</f>
        <v>940</v>
      </c>
      <c r="D22">
        <f>D18/D6</f>
        <v>960.00000000000011</v>
      </c>
      <c r="H22">
        <v>1.0999999999999999E-2</v>
      </c>
      <c r="I22">
        <f t="shared" si="1"/>
        <v>10.45</v>
      </c>
      <c r="J22">
        <f t="shared" si="2"/>
        <v>1.375</v>
      </c>
      <c r="K22" s="137">
        <f t="shared" si="6"/>
        <v>0.28448816725178272</v>
      </c>
      <c r="L22" s="137">
        <f t="shared" si="3"/>
        <v>0.60049404003627282</v>
      </c>
      <c r="M22" s="138">
        <f t="shared" si="4"/>
        <v>3.1293698397696097E-3</v>
      </c>
      <c r="N22" s="138">
        <f t="shared" si="5"/>
        <v>6.6054344403990006E-3</v>
      </c>
    </row>
    <row r="23" spans="2:15">
      <c r="H23">
        <v>1.2E-2</v>
      </c>
      <c r="I23">
        <f t="shared" si="1"/>
        <v>11.4</v>
      </c>
      <c r="J23">
        <f t="shared" si="2"/>
        <v>1.5</v>
      </c>
      <c r="K23" s="137">
        <f t="shared" si="6"/>
        <v>0.19839304619966186</v>
      </c>
      <c r="L23" s="137">
        <f t="shared" si="3"/>
        <v>0.55782540037107464</v>
      </c>
      <c r="M23" s="138">
        <f t="shared" si="4"/>
        <v>2.3807165543959425E-3</v>
      </c>
      <c r="N23" s="139">
        <f t="shared" si="5"/>
        <v>6.6939048044528954E-3</v>
      </c>
      <c r="O23" t="s">
        <v>291</v>
      </c>
    </row>
    <row r="24" spans="2:15">
      <c r="B24" t="s">
        <v>292</v>
      </c>
      <c r="C24">
        <v>950</v>
      </c>
      <c r="H24">
        <v>1.2999999999999999E-2</v>
      </c>
      <c r="I24">
        <f t="shared" si="1"/>
        <v>12.35</v>
      </c>
      <c r="J24">
        <f t="shared" si="2"/>
        <v>1.625</v>
      </c>
      <c r="K24" s="137">
        <f t="shared" si="6"/>
        <v>0.13340533340141728</v>
      </c>
      <c r="L24" s="137">
        <f t="shared" si="3"/>
        <v>0.51689314741100933</v>
      </c>
      <c r="M24" s="138">
        <f t="shared" si="4"/>
        <v>1.7342693342184245E-3</v>
      </c>
      <c r="N24" s="138">
        <f t="shared" si="5"/>
        <v>6.7196109163431212E-3</v>
      </c>
    </row>
    <row r="25" spans="2:15">
      <c r="H25">
        <v>1.4E-2</v>
      </c>
      <c r="I25">
        <f t="shared" si="1"/>
        <v>13.3</v>
      </c>
      <c r="J25">
        <f t="shared" si="2"/>
        <v>1.75</v>
      </c>
      <c r="K25" s="137">
        <f t="shared" si="6"/>
        <v>8.6809735840178995E-2</v>
      </c>
      <c r="L25" s="137">
        <f t="shared" si="3"/>
        <v>0.47787834448872379</v>
      </c>
      <c r="M25" s="138">
        <f t="shared" si="4"/>
        <v>1.2153363017625058E-3</v>
      </c>
      <c r="N25" s="138">
        <f t="shared" si="5"/>
        <v>6.6902968228421331E-3</v>
      </c>
    </row>
    <row r="26" spans="2:15">
      <c r="C26" t="s">
        <v>101</v>
      </c>
      <c r="D26">
        <v>950</v>
      </c>
      <c r="H26">
        <v>1.4999999999999999E-2</v>
      </c>
      <c r="I26">
        <f t="shared" si="1"/>
        <v>14.25</v>
      </c>
      <c r="J26">
        <f t="shared" si="2"/>
        <v>1.875</v>
      </c>
      <c r="K26" s="137">
        <f t="shared" si="6"/>
        <v>5.4842712174296267E-2</v>
      </c>
      <c r="L26" s="137">
        <f t="shared" si="3"/>
        <v>0.44089552967916923</v>
      </c>
      <c r="M26" s="138">
        <f t="shared" si="4"/>
        <v>8.2264068261444394E-4</v>
      </c>
      <c r="N26" s="138">
        <f t="shared" si="5"/>
        <v>6.6134329451875383E-3</v>
      </c>
    </row>
    <row r="27" spans="2:15">
      <c r="C27" t="s">
        <v>5</v>
      </c>
      <c r="D27">
        <v>8</v>
      </c>
      <c r="K27" s="137"/>
      <c r="L27" s="137"/>
      <c r="M27" s="138"/>
      <c r="N27" s="138"/>
    </row>
    <row r="28" spans="2:15">
      <c r="H28" t="s">
        <v>293</v>
      </c>
      <c r="I28" s="140">
        <f>950*10+M18*1000*25</f>
        <v>9635.35401673261</v>
      </c>
      <c r="K28" s="137" t="s">
        <v>294</v>
      </c>
      <c r="L28" s="137"/>
      <c r="M28" s="138"/>
      <c r="N28" s="138"/>
    </row>
    <row r="29" spans="2:15">
      <c r="K29" s="137" t="s">
        <v>295</v>
      </c>
      <c r="L29" s="137"/>
      <c r="M29" s="138"/>
      <c r="N29" s="138"/>
    </row>
    <row r="30" spans="2:15">
      <c r="H30" t="s">
        <v>296</v>
      </c>
      <c r="I30" s="140">
        <f>I7*10+N23*1000*25</f>
        <v>1417.3476201113224</v>
      </c>
      <c r="K30" s="137" t="s">
        <v>297</v>
      </c>
      <c r="L30" s="137"/>
      <c r="M30" s="138"/>
      <c r="N30" s="138"/>
    </row>
    <row r="31" spans="2:15">
      <c r="K31" s="137"/>
      <c r="L31" s="137"/>
      <c r="M31" s="138"/>
      <c r="N31" s="138"/>
    </row>
    <row r="32" spans="2:15">
      <c r="K32" s="137"/>
      <c r="L32" s="137"/>
      <c r="M32" s="138"/>
      <c r="N32" s="138"/>
    </row>
    <row r="33" spans="11:14">
      <c r="K33" s="137"/>
      <c r="L33" s="137"/>
      <c r="M33" s="138"/>
      <c r="N33" s="138"/>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C1C8-AA55-6B44-A37C-B6246158C259}">
  <dimension ref="A2:F30"/>
  <sheetViews>
    <sheetView topLeftCell="A10" zoomScale="120" zoomScaleNormal="120" workbookViewId="0">
      <selection activeCell="E2" sqref="E2"/>
    </sheetView>
  </sheetViews>
  <sheetFormatPr baseColWidth="10" defaultRowHeight="16"/>
  <cols>
    <col min="5" max="5" width="10" customWidth="1"/>
  </cols>
  <sheetData>
    <row r="2" spans="1:6">
      <c r="B2" t="s">
        <v>16</v>
      </c>
      <c r="C2" s="83">
        <v>2.5000000000000001E-2</v>
      </c>
    </row>
    <row r="3" spans="1:6">
      <c r="B3" t="s">
        <v>0</v>
      </c>
      <c r="C3" s="111">
        <v>0.01</v>
      </c>
    </row>
    <row r="4" spans="1:6">
      <c r="B4" t="s">
        <v>55</v>
      </c>
      <c r="C4" s="111">
        <v>0.03</v>
      </c>
    </row>
    <row r="5" spans="1:6">
      <c r="B5" t="s">
        <v>141</v>
      </c>
      <c r="C5" s="111">
        <v>0.05</v>
      </c>
    </row>
    <row r="6" spans="1:6">
      <c r="B6" t="s">
        <v>107</v>
      </c>
      <c r="C6" s="111">
        <v>0.1</v>
      </c>
    </row>
    <row r="8" spans="1:6">
      <c r="A8" t="s">
        <v>212</v>
      </c>
      <c r="B8" t="s">
        <v>145</v>
      </c>
      <c r="C8" s="127">
        <f>C4/C3</f>
        <v>3</v>
      </c>
    </row>
    <row r="10" spans="1:6">
      <c r="B10" t="s">
        <v>298</v>
      </c>
      <c r="D10" t="s">
        <v>299</v>
      </c>
    </row>
    <row r="12" spans="1:6">
      <c r="C12" t="s">
        <v>253</v>
      </c>
      <c r="D12">
        <f>4/C3</f>
        <v>400</v>
      </c>
    </row>
    <row r="13" spans="1:6">
      <c r="A13" t="s">
        <v>214</v>
      </c>
      <c r="B13" s="64" t="s">
        <v>16</v>
      </c>
      <c r="C13" s="64" t="s">
        <v>17</v>
      </c>
      <c r="D13" s="64" t="s">
        <v>18</v>
      </c>
      <c r="E13" s="64" t="s">
        <v>45</v>
      </c>
    </row>
    <row r="14" spans="1:6">
      <c r="B14">
        <v>5.0000000000000001E-3</v>
      </c>
      <c r="C14">
        <f>B14*$D$12</f>
        <v>2</v>
      </c>
      <c r="D14" s="135">
        <f>_xlfn.POISSON.DIST(7,C14,TRUE)</f>
        <v>0.99890328103214132</v>
      </c>
      <c r="E14" s="135">
        <f>B14*D14</f>
        <v>4.9945164051607071E-3</v>
      </c>
    </row>
    <row r="15" spans="1:6">
      <c r="B15">
        <v>0.01</v>
      </c>
      <c r="C15">
        <f t="shared" ref="C15:C23" si="0">B15*$D$12</f>
        <v>4</v>
      </c>
      <c r="D15" s="135">
        <f t="shared" ref="D15:D23" si="1">_xlfn.POISSON.DIST(7,C15,TRUE)</f>
        <v>0.94886638420715264</v>
      </c>
      <c r="E15" s="135">
        <f t="shared" ref="E15:E23" si="2">B15*D15</f>
        <v>9.4886638420715267E-3</v>
      </c>
    </row>
    <row r="16" spans="1:6">
      <c r="B16">
        <v>1.4999999999999999E-2</v>
      </c>
      <c r="C16">
        <f t="shared" si="0"/>
        <v>6</v>
      </c>
      <c r="D16" s="135">
        <f t="shared" si="1"/>
        <v>0.74397976045371694</v>
      </c>
      <c r="E16" s="136">
        <f t="shared" si="2"/>
        <v>1.1159696406805754E-2</v>
      </c>
      <c r="F16" s="141" t="s">
        <v>116</v>
      </c>
    </row>
    <row r="17" spans="1:5">
      <c r="B17">
        <v>0.02</v>
      </c>
      <c r="C17">
        <f t="shared" si="0"/>
        <v>8</v>
      </c>
      <c r="D17" s="135">
        <f t="shared" si="1"/>
        <v>0.45296080948699424</v>
      </c>
      <c r="E17" s="135">
        <f t="shared" si="2"/>
        <v>9.0592161897398854E-3</v>
      </c>
    </row>
    <row r="18" spans="1:5">
      <c r="B18">
        <v>2.5000000000000001E-2</v>
      </c>
      <c r="C18">
        <f t="shared" si="0"/>
        <v>10</v>
      </c>
      <c r="D18" s="135">
        <f t="shared" si="1"/>
        <v>0.22022064660169899</v>
      </c>
      <c r="E18" s="135">
        <f t="shared" si="2"/>
        <v>5.5055161650424747E-3</v>
      </c>
    </row>
    <row r="19" spans="1:5">
      <c r="B19">
        <v>0.03</v>
      </c>
      <c r="C19">
        <f t="shared" si="0"/>
        <v>12</v>
      </c>
      <c r="D19" s="135">
        <f t="shared" si="1"/>
        <v>8.9504496840175862E-2</v>
      </c>
      <c r="E19" s="135">
        <f t="shared" si="2"/>
        <v>2.6851349052052758E-3</v>
      </c>
    </row>
    <row r="20" spans="1:5">
      <c r="B20">
        <v>3.5000000000000003E-2</v>
      </c>
      <c r="C20">
        <f t="shared" si="0"/>
        <v>14.000000000000002</v>
      </c>
      <c r="D20" s="135">
        <f t="shared" si="1"/>
        <v>3.1619655637384309E-2</v>
      </c>
      <c r="E20" s="135">
        <f t="shared" si="2"/>
        <v>1.1066879473084509E-3</v>
      </c>
    </row>
    <row r="21" spans="1:5">
      <c r="B21">
        <v>0.04</v>
      </c>
      <c r="C21">
        <f t="shared" si="0"/>
        <v>16</v>
      </c>
      <c r="D21" s="135">
        <f t="shared" si="1"/>
        <v>9.9997809531047928E-3</v>
      </c>
      <c r="E21" s="135">
        <f t="shared" si="2"/>
        <v>3.9999123812419174E-4</v>
      </c>
    </row>
    <row r="22" spans="1:5">
      <c r="B22">
        <v>4.4999999999999998E-2</v>
      </c>
      <c r="C22">
        <f t="shared" si="0"/>
        <v>18</v>
      </c>
      <c r="D22" s="135">
        <f t="shared" si="1"/>
        <v>2.8934650909455584E-3</v>
      </c>
      <c r="E22" s="135">
        <f t="shared" si="2"/>
        <v>1.3020592909255012E-4</v>
      </c>
    </row>
    <row r="23" spans="1:5">
      <c r="B23">
        <v>0.05</v>
      </c>
      <c r="C23">
        <f t="shared" si="0"/>
        <v>20</v>
      </c>
      <c r="D23" s="135">
        <f t="shared" si="1"/>
        <v>7.7859008250736304E-4</v>
      </c>
      <c r="E23" s="135">
        <f t="shared" si="2"/>
        <v>3.8929504125368152E-5</v>
      </c>
    </row>
    <row r="26" spans="1:5">
      <c r="A26" t="s">
        <v>231</v>
      </c>
      <c r="B26" t="s">
        <v>300</v>
      </c>
    </row>
    <row r="27" spans="1:5">
      <c r="A27" t="s">
        <v>301</v>
      </c>
      <c r="B27" t="s">
        <v>302</v>
      </c>
    </row>
    <row r="28" spans="1:5">
      <c r="B28" t="s">
        <v>101</v>
      </c>
      <c r="C28">
        <v>210</v>
      </c>
    </row>
    <row r="29" spans="1:5">
      <c r="B29" t="s">
        <v>5</v>
      </c>
      <c r="C29">
        <v>10</v>
      </c>
    </row>
    <row r="30" spans="1:5">
      <c r="B30" t="s">
        <v>116</v>
      </c>
      <c r="C30" s="83">
        <v>7.3999999999999996E-2</v>
      </c>
    </row>
  </sheetData>
  <pageMargins left="0.7" right="0.7" top="0.75" bottom="0.75" header="0.3" footer="0.3"/>
  <pageSetup orientation="portrait" horizontalDpi="4294967292" verticalDpi="429496729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C612-D67A-DA43-856A-311FF5F58CD9}">
  <dimension ref="A2:K39"/>
  <sheetViews>
    <sheetView topLeftCell="A19" zoomScaleNormal="100" zoomScalePageLayoutView="130" workbookViewId="0">
      <selection activeCell="E31" sqref="E31"/>
    </sheetView>
  </sheetViews>
  <sheetFormatPr baseColWidth="10" defaultRowHeight="16"/>
  <cols>
    <col min="1" max="3" width="10.83203125" style="142"/>
    <col min="4" max="4" width="15.6640625" style="142" bestFit="1" customWidth="1"/>
    <col min="5" max="5" width="11.6640625" style="142" customWidth="1"/>
    <col min="6" max="6" width="18" style="142" bestFit="1" customWidth="1"/>
    <col min="7" max="8" width="10.83203125" style="142"/>
    <col min="9" max="9" width="14.5" style="142" bestFit="1" customWidth="1"/>
    <col min="10" max="10" width="16.33203125" style="142" bestFit="1" customWidth="1"/>
    <col min="11" max="16384" width="10.83203125" style="142"/>
  </cols>
  <sheetData>
    <row r="2" spans="1:10">
      <c r="B2" s="142" t="s">
        <v>47</v>
      </c>
      <c r="C2" s="142">
        <v>1000</v>
      </c>
    </row>
    <row r="3" spans="1:10">
      <c r="B3" s="142" t="s">
        <v>259</v>
      </c>
      <c r="C3" s="143">
        <v>1</v>
      </c>
      <c r="D3" s="142" t="s">
        <v>260</v>
      </c>
    </row>
    <row r="4" spans="1:10">
      <c r="B4" s="142" t="s">
        <v>261</v>
      </c>
      <c r="C4" s="143">
        <v>20</v>
      </c>
      <c r="D4" s="142" t="s">
        <v>260</v>
      </c>
    </row>
    <row r="5" spans="1:10">
      <c r="B5" s="142" t="s">
        <v>16</v>
      </c>
      <c r="C5" s="144">
        <v>3.5000000000000003E-2</v>
      </c>
      <c r="D5" s="142" t="s">
        <v>262</v>
      </c>
    </row>
    <row r="6" spans="1:10">
      <c r="B6" s="499" t="s">
        <v>239</v>
      </c>
      <c r="C6" s="499"/>
      <c r="E6" s="151" t="s">
        <v>304</v>
      </c>
      <c r="F6" s="151" t="s">
        <v>305</v>
      </c>
    </row>
    <row r="7" spans="1:10">
      <c r="B7" s="151" t="s">
        <v>28</v>
      </c>
      <c r="C7" s="151">
        <v>75</v>
      </c>
      <c r="E7" s="151" t="s">
        <v>28</v>
      </c>
      <c r="F7" s="151">
        <v>80</v>
      </c>
    </row>
    <row r="8" spans="1:10">
      <c r="B8" s="151" t="s">
        <v>30</v>
      </c>
      <c r="C8" s="151">
        <v>4</v>
      </c>
      <c r="E8" s="151" t="s">
        <v>30</v>
      </c>
      <c r="F8" s="151">
        <v>5</v>
      </c>
    </row>
    <row r="9" spans="1:10">
      <c r="A9" s="142" t="s">
        <v>303</v>
      </c>
      <c r="G9"/>
    </row>
    <row r="10" spans="1:10">
      <c r="A10" s="146"/>
    </row>
    <row r="12" spans="1:10">
      <c r="H12" s="142" t="s">
        <v>275</v>
      </c>
    </row>
    <row r="13" spans="1:10">
      <c r="B13" s="142" t="s">
        <v>16</v>
      </c>
      <c r="C13" s="142" t="s">
        <v>17</v>
      </c>
      <c r="D13" s="142" t="s">
        <v>309</v>
      </c>
      <c r="E13" s="142" t="s">
        <v>16</v>
      </c>
      <c r="F13" s="142" t="s">
        <v>310</v>
      </c>
      <c r="H13" s="142" t="s">
        <v>17</v>
      </c>
      <c r="I13" s="142" t="s">
        <v>311</v>
      </c>
      <c r="J13" s="142" t="s">
        <v>312</v>
      </c>
    </row>
    <row r="14" spans="1:10">
      <c r="B14" s="142">
        <v>0.01</v>
      </c>
      <c r="C14" s="142">
        <f>B14*75</f>
        <v>0.75</v>
      </c>
      <c r="D14" s="147">
        <f>POISSON(4,C14,TRUE)</f>
        <v>0.99893532222721415</v>
      </c>
      <c r="E14" s="142">
        <v>0.01</v>
      </c>
      <c r="F14" s="148">
        <f>B14*D14</f>
        <v>9.9893532222721411E-3</v>
      </c>
      <c r="H14" s="142">
        <f>B14*80</f>
        <v>0.8</v>
      </c>
      <c r="I14" s="147">
        <f>POISSON(5,H14,TRUE)</f>
        <v>0.99981565747879597</v>
      </c>
      <c r="J14" s="148">
        <f>B14*I14</f>
        <v>9.9981565747879596E-3</v>
      </c>
    </row>
    <row r="15" spans="1:10">
      <c r="B15" s="142">
        <v>0.02</v>
      </c>
      <c r="C15" s="142">
        <f t="shared" ref="C15:C23" si="0">B15*75</f>
        <v>1.5</v>
      </c>
      <c r="D15" s="147">
        <f t="shared" ref="D15:D23" si="1">POISSON(4,C15,TRUE)</f>
        <v>0.98142406377785929</v>
      </c>
      <c r="E15" s="142">
        <v>0.02</v>
      </c>
      <c r="F15" s="148">
        <f t="shared" ref="F15:F23" si="2">B15*D15</f>
        <v>1.9628481275557188E-2</v>
      </c>
      <c r="H15" s="142">
        <f t="shared" ref="H15:H23" si="3">B15*80</f>
        <v>1.6</v>
      </c>
      <c r="I15" s="147">
        <f t="shared" ref="I15:I23" si="4">POISSON(5,H15,TRUE)</f>
        <v>0.99395970888841867</v>
      </c>
      <c r="J15" s="148">
        <f t="shared" ref="J15:J23" si="5">B15*I15</f>
        <v>1.9879194177768372E-2</v>
      </c>
    </row>
    <row r="16" spans="1:10">
      <c r="B16" s="142">
        <v>0.03</v>
      </c>
      <c r="C16" s="142">
        <f t="shared" si="0"/>
        <v>2.25</v>
      </c>
      <c r="D16" s="147">
        <f t="shared" si="1"/>
        <v>0.9219858925907225</v>
      </c>
      <c r="E16" s="142">
        <v>0.03</v>
      </c>
      <c r="F16" s="148">
        <f t="shared" si="2"/>
        <v>2.7659576777721673E-2</v>
      </c>
      <c r="H16" s="142">
        <f t="shared" si="3"/>
        <v>2.4</v>
      </c>
      <c r="I16" s="147">
        <f t="shared" si="4"/>
        <v>0.964327489004697</v>
      </c>
      <c r="J16" s="148">
        <f t="shared" si="5"/>
        <v>2.8929824670140908E-2</v>
      </c>
    </row>
    <row r="17" spans="1:11">
      <c r="B17" s="142">
        <v>0.04</v>
      </c>
      <c r="C17" s="142">
        <f t="shared" si="0"/>
        <v>3</v>
      </c>
      <c r="D17" s="147">
        <f t="shared" si="1"/>
        <v>0.81526324452377208</v>
      </c>
      <c r="E17" s="142">
        <v>0.04</v>
      </c>
      <c r="F17" s="148">
        <f t="shared" si="2"/>
        <v>3.2610529780950887E-2</v>
      </c>
      <c r="H17" s="142">
        <f t="shared" si="3"/>
        <v>3.2</v>
      </c>
      <c r="I17" s="147">
        <f t="shared" si="4"/>
        <v>0.89459189453082255</v>
      </c>
      <c r="J17" s="148">
        <f t="shared" si="5"/>
        <v>3.5783675781232906E-2</v>
      </c>
    </row>
    <row r="18" spans="1:11">
      <c r="B18" s="142">
        <v>0.05</v>
      </c>
      <c r="C18" s="142">
        <f t="shared" si="0"/>
        <v>3.75</v>
      </c>
      <c r="D18" s="147">
        <f t="shared" si="1"/>
        <v>0.6775476361045436</v>
      </c>
      <c r="E18" s="142">
        <v>0.05</v>
      </c>
      <c r="F18" s="149">
        <f t="shared" si="2"/>
        <v>3.3877381805227182E-2</v>
      </c>
      <c r="G18" s="150" t="s">
        <v>116</v>
      </c>
      <c r="H18" s="142">
        <f t="shared" si="3"/>
        <v>4</v>
      </c>
      <c r="I18" s="147">
        <f t="shared" si="4"/>
        <v>0.78513038703040516</v>
      </c>
      <c r="J18" s="149">
        <f t="shared" si="5"/>
        <v>3.9256519351520261E-2</v>
      </c>
      <c r="K18" s="150" t="s">
        <v>116</v>
      </c>
    </row>
    <row r="19" spans="1:11">
      <c r="B19" s="142">
        <v>0.06</v>
      </c>
      <c r="C19" s="142">
        <f t="shared" si="0"/>
        <v>4.5</v>
      </c>
      <c r="D19" s="147">
        <f t="shared" si="1"/>
        <v>0.53210357637471528</v>
      </c>
      <c r="E19" s="142">
        <v>0.06</v>
      </c>
      <c r="F19" s="148">
        <f t="shared" si="2"/>
        <v>3.1926214582482917E-2</v>
      </c>
      <c r="H19" s="142">
        <f t="shared" si="3"/>
        <v>4.8</v>
      </c>
      <c r="I19" s="147">
        <f t="shared" si="4"/>
        <v>0.65100643726949159</v>
      </c>
      <c r="J19" s="148">
        <f t="shared" si="5"/>
        <v>3.9060386236169496E-2</v>
      </c>
    </row>
    <row r="20" spans="1:11">
      <c r="B20" s="142">
        <v>7.0000000000000007E-2</v>
      </c>
      <c r="C20" s="142">
        <f t="shared" si="0"/>
        <v>5.2500000000000009</v>
      </c>
      <c r="D20" s="147">
        <f t="shared" si="1"/>
        <v>0.39777368107622818</v>
      </c>
      <c r="E20" s="142">
        <v>7.0000000000000007E-2</v>
      </c>
      <c r="F20" s="148">
        <f t="shared" si="2"/>
        <v>2.7844157675335976E-2</v>
      </c>
      <c r="H20" s="142">
        <f t="shared" si="3"/>
        <v>5.6000000000000005</v>
      </c>
      <c r="I20" s="147">
        <f t="shared" si="4"/>
        <v>0.51186093837550306</v>
      </c>
      <c r="J20" s="148">
        <f t="shared" si="5"/>
        <v>3.5830265686285216E-2</v>
      </c>
    </row>
    <row r="21" spans="1:11">
      <c r="B21" s="142">
        <v>0.08</v>
      </c>
      <c r="C21" s="142">
        <f t="shared" si="0"/>
        <v>6</v>
      </c>
      <c r="D21" s="147">
        <f t="shared" si="1"/>
        <v>0.28505650031663121</v>
      </c>
      <c r="E21" s="142">
        <v>0.08</v>
      </c>
      <c r="F21" s="148">
        <f t="shared" si="2"/>
        <v>2.2804520025330496E-2</v>
      </c>
      <c r="H21" s="142">
        <f t="shared" si="3"/>
        <v>6.4</v>
      </c>
      <c r="I21" s="147">
        <f t="shared" si="4"/>
        <v>0.38374366179580321</v>
      </c>
      <c r="J21" s="148">
        <f t="shared" si="5"/>
        <v>3.0699492943664256E-2</v>
      </c>
    </row>
    <row r="22" spans="1:11">
      <c r="B22" s="142">
        <v>0.09</v>
      </c>
      <c r="C22" s="142">
        <f t="shared" si="0"/>
        <v>6.75</v>
      </c>
      <c r="D22" s="147">
        <f t="shared" si="1"/>
        <v>0.19704337509047803</v>
      </c>
      <c r="E22" s="142">
        <v>0.09</v>
      </c>
      <c r="F22" s="148">
        <f t="shared" si="2"/>
        <v>1.7733903758143023E-2</v>
      </c>
      <c r="H22" s="142">
        <f t="shared" si="3"/>
        <v>7.1999999999999993</v>
      </c>
      <c r="I22" s="147">
        <f t="shared" si="4"/>
        <v>0.2758974527265533</v>
      </c>
      <c r="J22" s="148">
        <f t="shared" si="5"/>
        <v>2.4830770745389797E-2</v>
      </c>
    </row>
    <row r="23" spans="1:11">
      <c r="B23" s="142">
        <v>0.1</v>
      </c>
      <c r="C23" s="142">
        <f t="shared" si="0"/>
        <v>7.5</v>
      </c>
      <c r="D23" s="147">
        <f t="shared" si="1"/>
        <v>0.13206185628772063</v>
      </c>
      <c r="E23" s="142">
        <v>0.1</v>
      </c>
      <c r="F23" s="148">
        <f t="shared" si="2"/>
        <v>1.3206185628772064E-2</v>
      </c>
      <c r="H23" s="142">
        <f t="shared" si="3"/>
        <v>8</v>
      </c>
      <c r="I23" s="147">
        <f t="shared" si="4"/>
        <v>0.19123606207962526</v>
      </c>
      <c r="J23" s="148">
        <f t="shared" si="5"/>
        <v>1.9123606207962527E-2</v>
      </c>
    </row>
    <row r="25" spans="1:11">
      <c r="A25" s="142" t="s">
        <v>306</v>
      </c>
    </row>
    <row r="27" spans="1:11">
      <c r="A27" s="142" t="s">
        <v>318</v>
      </c>
      <c r="B27" s="498" t="s">
        <v>313</v>
      </c>
      <c r="C27" s="498"/>
    </row>
    <row r="28" spans="1:11">
      <c r="B28" s="152" t="s">
        <v>314</v>
      </c>
      <c r="C28" s="152">
        <f>C7*C3</f>
        <v>75</v>
      </c>
    </row>
    <row r="29" spans="1:11">
      <c r="B29" s="152" t="s">
        <v>315</v>
      </c>
      <c r="C29" s="153">
        <f>C2*C4*F18</f>
        <v>677.54763610454359</v>
      </c>
    </row>
    <row r="30" spans="1:11">
      <c r="B30" s="152" t="s">
        <v>316</v>
      </c>
      <c r="C30" s="154">
        <f>C28+C29</f>
        <v>752.54763610454359</v>
      </c>
    </row>
    <row r="32" spans="1:11">
      <c r="B32" s="500" t="s">
        <v>317</v>
      </c>
      <c r="C32" s="501"/>
    </row>
    <row r="33" spans="1:9">
      <c r="B33" s="152" t="s">
        <v>314</v>
      </c>
      <c r="C33" s="152">
        <f>F7*C3</f>
        <v>80</v>
      </c>
    </row>
    <row r="34" spans="1:9">
      <c r="B34" s="152" t="s">
        <v>315</v>
      </c>
      <c r="C34" s="153">
        <f>C2*J18*C4</f>
        <v>785.13038703040525</v>
      </c>
    </row>
    <row r="35" spans="1:9">
      <c r="B35" s="152" t="s">
        <v>316</v>
      </c>
      <c r="C35" s="154">
        <f>C33+C34</f>
        <v>865.13038703040525</v>
      </c>
    </row>
    <row r="37" spans="1:9">
      <c r="A37" s="145" t="s">
        <v>307</v>
      </c>
      <c r="B37" s="145"/>
      <c r="C37" s="145"/>
      <c r="D37" s="145"/>
      <c r="E37" s="145"/>
      <c r="F37" s="145"/>
      <c r="G37" s="145"/>
      <c r="H37" s="145"/>
      <c r="I37" s="145"/>
    </row>
    <row r="39" spans="1:9">
      <c r="A39" s="142" t="s">
        <v>308</v>
      </c>
    </row>
  </sheetData>
  <mergeCells count="3">
    <mergeCell ref="B27:C27"/>
    <mergeCell ref="B6:C6"/>
    <mergeCell ref="B32:C32"/>
  </mergeCells>
  <pageMargins left="0.75" right="0.75" top="1" bottom="1" header="0.5" footer="0.5"/>
  <pageSetup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44BE4-424D-834B-972A-3FBBA65B2DCC}">
  <dimension ref="B1:X48"/>
  <sheetViews>
    <sheetView zoomScale="120" zoomScaleNormal="120" workbookViewId="0">
      <selection activeCell="T30" sqref="T30"/>
    </sheetView>
  </sheetViews>
  <sheetFormatPr baseColWidth="10" defaultRowHeight="13"/>
  <cols>
    <col min="1" max="1" width="4.33203125" style="1" customWidth="1"/>
    <col min="2" max="2" width="6.83203125" style="1" customWidth="1"/>
    <col min="3" max="3" width="30.6640625" style="1" customWidth="1"/>
    <col min="4" max="4" width="4.5" style="1" customWidth="1"/>
    <col min="5" max="5" width="5" style="1" customWidth="1"/>
    <col min="6" max="6" width="11.6640625" style="1" bestFit="1" customWidth="1"/>
    <col min="7" max="8" width="10.6640625" style="1" bestFit="1" customWidth="1"/>
    <col min="9" max="9" width="6.33203125" style="1" customWidth="1"/>
    <col min="10" max="10" width="12.33203125" style="1" bestFit="1" customWidth="1"/>
    <col min="11" max="11" width="6.5" style="1" customWidth="1"/>
    <col min="12" max="13" width="11.83203125" style="1" bestFit="1" customWidth="1"/>
    <col min="14" max="15" width="10.6640625" style="1" bestFit="1" customWidth="1"/>
    <col min="16" max="16" width="12.33203125" style="1" bestFit="1" customWidth="1"/>
    <col min="17" max="17" width="7.1640625" style="1" customWidth="1"/>
    <col min="18" max="257" width="10.83203125" style="1"/>
    <col min="258" max="258" width="4.33203125" style="1" customWidth="1"/>
    <col min="259" max="259" width="26.33203125" style="1" customWidth="1"/>
    <col min="260" max="260" width="4.5" style="1" customWidth="1"/>
    <col min="261" max="261" width="5" style="1" customWidth="1"/>
    <col min="262" max="262" width="10.83203125" style="1"/>
    <col min="263" max="263" width="9.5" style="1" customWidth="1"/>
    <col min="264" max="264" width="5.83203125" style="1" customWidth="1"/>
    <col min="265" max="265" width="6.33203125" style="1" customWidth="1"/>
    <col min="266" max="266" width="10.83203125" style="1"/>
    <col min="267" max="267" width="6.5" style="1" customWidth="1"/>
    <col min="268" max="268" width="5.6640625" style="1" customWidth="1"/>
    <col min="269" max="269" width="6.1640625" style="1" customWidth="1"/>
    <col min="270" max="270" width="10.83203125" style="1"/>
    <col min="271" max="271" width="6.33203125" style="1" customWidth="1"/>
    <col min="272" max="272" width="6" style="1" customWidth="1"/>
    <col min="273" max="273" width="7.1640625" style="1" customWidth="1"/>
    <col min="274" max="513" width="10.83203125" style="1"/>
    <col min="514" max="514" width="4.33203125" style="1" customWidth="1"/>
    <col min="515" max="515" width="26.33203125" style="1" customWidth="1"/>
    <col min="516" max="516" width="4.5" style="1" customWidth="1"/>
    <col min="517" max="517" width="5" style="1" customWidth="1"/>
    <col min="518" max="518" width="10.83203125" style="1"/>
    <col min="519" max="519" width="9.5" style="1" customWidth="1"/>
    <col min="520" max="520" width="5.83203125" style="1" customWidth="1"/>
    <col min="521" max="521" width="6.33203125" style="1" customWidth="1"/>
    <col min="522" max="522" width="10.83203125" style="1"/>
    <col min="523" max="523" width="6.5" style="1" customWidth="1"/>
    <col min="524" max="524" width="5.6640625" style="1" customWidth="1"/>
    <col min="525" max="525" width="6.1640625" style="1" customWidth="1"/>
    <col min="526" max="526" width="10.83203125" style="1"/>
    <col min="527" max="527" width="6.33203125" style="1" customWidth="1"/>
    <col min="528" max="528" width="6" style="1" customWidth="1"/>
    <col min="529" max="529" width="7.1640625" style="1" customWidth="1"/>
    <col min="530" max="769" width="10.83203125" style="1"/>
    <col min="770" max="770" width="4.33203125" style="1" customWidth="1"/>
    <col min="771" max="771" width="26.33203125" style="1" customWidth="1"/>
    <col min="772" max="772" width="4.5" style="1" customWidth="1"/>
    <col min="773" max="773" width="5" style="1" customWidth="1"/>
    <col min="774" max="774" width="10.83203125" style="1"/>
    <col min="775" max="775" width="9.5" style="1" customWidth="1"/>
    <col min="776" max="776" width="5.83203125" style="1" customWidth="1"/>
    <col min="777" max="777" width="6.33203125" style="1" customWidth="1"/>
    <col min="778" max="778" width="10.83203125" style="1"/>
    <col min="779" max="779" width="6.5" style="1" customWidth="1"/>
    <col min="780" max="780" width="5.6640625" style="1" customWidth="1"/>
    <col min="781" max="781" width="6.1640625" style="1" customWidth="1"/>
    <col min="782" max="782" width="10.83203125" style="1"/>
    <col min="783" max="783" width="6.33203125" style="1" customWidth="1"/>
    <col min="784" max="784" width="6" style="1" customWidth="1"/>
    <col min="785" max="785" width="7.1640625" style="1" customWidth="1"/>
    <col min="786" max="1025" width="10.83203125" style="1"/>
    <col min="1026" max="1026" width="4.33203125" style="1" customWidth="1"/>
    <col min="1027" max="1027" width="26.33203125" style="1" customWidth="1"/>
    <col min="1028" max="1028" width="4.5" style="1" customWidth="1"/>
    <col min="1029" max="1029" width="5" style="1" customWidth="1"/>
    <col min="1030" max="1030" width="10.83203125" style="1"/>
    <col min="1031" max="1031" width="9.5" style="1" customWidth="1"/>
    <col min="1032" max="1032" width="5.83203125" style="1" customWidth="1"/>
    <col min="1033" max="1033" width="6.33203125" style="1" customWidth="1"/>
    <col min="1034" max="1034" width="10.83203125" style="1"/>
    <col min="1035" max="1035" width="6.5" style="1" customWidth="1"/>
    <col min="1036" max="1036" width="5.6640625" style="1" customWidth="1"/>
    <col min="1037" max="1037" width="6.1640625" style="1" customWidth="1"/>
    <col min="1038" max="1038" width="10.83203125" style="1"/>
    <col min="1039" max="1039" width="6.33203125" style="1" customWidth="1"/>
    <col min="1040" max="1040" width="6" style="1" customWidth="1"/>
    <col min="1041" max="1041" width="7.1640625" style="1" customWidth="1"/>
    <col min="1042" max="1281" width="10.83203125" style="1"/>
    <col min="1282" max="1282" width="4.33203125" style="1" customWidth="1"/>
    <col min="1283" max="1283" width="26.33203125" style="1" customWidth="1"/>
    <col min="1284" max="1284" width="4.5" style="1" customWidth="1"/>
    <col min="1285" max="1285" width="5" style="1" customWidth="1"/>
    <col min="1286" max="1286" width="10.83203125" style="1"/>
    <col min="1287" max="1287" width="9.5" style="1" customWidth="1"/>
    <col min="1288" max="1288" width="5.83203125" style="1" customWidth="1"/>
    <col min="1289" max="1289" width="6.33203125" style="1" customWidth="1"/>
    <col min="1290" max="1290" width="10.83203125" style="1"/>
    <col min="1291" max="1291" width="6.5" style="1" customWidth="1"/>
    <col min="1292" max="1292" width="5.6640625" style="1" customWidth="1"/>
    <col min="1293" max="1293" width="6.1640625" style="1" customWidth="1"/>
    <col min="1294" max="1294" width="10.83203125" style="1"/>
    <col min="1295" max="1295" width="6.33203125" style="1" customWidth="1"/>
    <col min="1296" max="1296" width="6" style="1" customWidth="1"/>
    <col min="1297" max="1297" width="7.1640625" style="1" customWidth="1"/>
    <col min="1298" max="1537" width="10.83203125" style="1"/>
    <col min="1538" max="1538" width="4.33203125" style="1" customWidth="1"/>
    <col min="1539" max="1539" width="26.33203125" style="1" customWidth="1"/>
    <col min="1540" max="1540" width="4.5" style="1" customWidth="1"/>
    <col min="1541" max="1541" width="5" style="1" customWidth="1"/>
    <col min="1542" max="1542" width="10.83203125" style="1"/>
    <col min="1543" max="1543" width="9.5" style="1" customWidth="1"/>
    <col min="1544" max="1544" width="5.83203125" style="1" customWidth="1"/>
    <col min="1545" max="1545" width="6.33203125" style="1" customWidth="1"/>
    <col min="1546" max="1546" width="10.83203125" style="1"/>
    <col min="1547" max="1547" width="6.5" style="1" customWidth="1"/>
    <col min="1548" max="1548" width="5.6640625" style="1" customWidth="1"/>
    <col min="1549" max="1549" width="6.1640625" style="1" customWidth="1"/>
    <col min="1550" max="1550" width="10.83203125" style="1"/>
    <col min="1551" max="1551" width="6.33203125" style="1" customWidth="1"/>
    <col min="1552" max="1552" width="6" style="1" customWidth="1"/>
    <col min="1553" max="1553" width="7.1640625" style="1" customWidth="1"/>
    <col min="1554" max="1793" width="10.83203125" style="1"/>
    <col min="1794" max="1794" width="4.33203125" style="1" customWidth="1"/>
    <col min="1795" max="1795" width="26.33203125" style="1" customWidth="1"/>
    <col min="1796" max="1796" width="4.5" style="1" customWidth="1"/>
    <col min="1797" max="1797" width="5" style="1" customWidth="1"/>
    <col min="1798" max="1798" width="10.83203125" style="1"/>
    <col min="1799" max="1799" width="9.5" style="1" customWidth="1"/>
    <col min="1800" max="1800" width="5.83203125" style="1" customWidth="1"/>
    <col min="1801" max="1801" width="6.33203125" style="1" customWidth="1"/>
    <col min="1802" max="1802" width="10.83203125" style="1"/>
    <col min="1803" max="1803" width="6.5" style="1" customWidth="1"/>
    <col min="1804" max="1804" width="5.6640625" style="1" customWidth="1"/>
    <col min="1805" max="1805" width="6.1640625" style="1" customWidth="1"/>
    <col min="1806" max="1806" width="10.83203125" style="1"/>
    <col min="1807" max="1807" width="6.33203125" style="1" customWidth="1"/>
    <col min="1808" max="1808" width="6" style="1" customWidth="1"/>
    <col min="1809" max="1809" width="7.1640625" style="1" customWidth="1"/>
    <col min="1810" max="2049" width="10.83203125" style="1"/>
    <col min="2050" max="2050" width="4.33203125" style="1" customWidth="1"/>
    <col min="2051" max="2051" width="26.33203125" style="1" customWidth="1"/>
    <col min="2052" max="2052" width="4.5" style="1" customWidth="1"/>
    <col min="2053" max="2053" width="5" style="1" customWidth="1"/>
    <col min="2054" max="2054" width="10.83203125" style="1"/>
    <col min="2055" max="2055" width="9.5" style="1" customWidth="1"/>
    <col min="2056" max="2056" width="5.83203125" style="1" customWidth="1"/>
    <col min="2057" max="2057" width="6.33203125" style="1" customWidth="1"/>
    <col min="2058" max="2058" width="10.83203125" style="1"/>
    <col min="2059" max="2059" width="6.5" style="1" customWidth="1"/>
    <col min="2060" max="2060" width="5.6640625" style="1" customWidth="1"/>
    <col min="2061" max="2061" width="6.1640625" style="1" customWidth="1"/>
    <col min="2062" max="2062" width="10.83203125" style="1"/>
    <col min="2063" max="2063" width="6.33203125" style="1" customWidth="1"/>
    <col min="2064" max="2064" width="6" style="1" customWidth="1"/>
    <col min="2065" max="2065" width="7.1640625" style="1" customWidth="1"/>
    <col min="2066" max="2305" width="10.83203125" style="1"/>
    <col min="2306" max="2306" width="4.33203125" style="1" customWidth="1"/>
    <col min="2307" max="2307" width="26.33203125" style="1" customWidth="1"/>
    <col min="2308" max="2308" width="4.5" style="1" customWidth="1"/>
    <col min="2309" max="2309" width="5" style="1" customWidth="1"/>
    <col min="2310" max="2310" width="10.83203125" style="1"/>
    <col min="2311" max="2311" width="9.5" style="1" customWidth="1"/>
    <col min="2312" max="2312" width="5.83203125" style="1" customWidth="1"/>
    <col min="2313" max="2313" width="6.33203125" style="1" customWidth="1"/>
    <col min="2314" max="2314" width="10.83203125" style="1"/>
    <col min="2315" max="2315" width="6.5" style="1" customWidth="1"/>
    <col min="2316" max="2316" width="5.6640625" style="1" customWidth="1"/>
    <col min="2317" max="2317" width="6.1640625" style="1" customWidth="1"/>
    <col min="2318" max="2318" width="10.83203125" style="1"/>
    <col min="2319" max="2319" width="6.33203125" style="1" customWidth="1"/>
    <col min="2320" max="2320" width="6" style="1" customWidth="1"/>
    <col min="2321" max="2321" width="7.1640625" style="1" customWidth="1"/>
    <col min="2322" max="2561" width="10.83203125" style="1"/>
    <col min="2562" max="2562" width="4.33203125" style="1" customWidth="1"/>
    <col min="2563" max="2563" width="26.33203125" style="1" customWidth="1"/>
    <col min="2564" max="2564" width="4.5" style="1" customWidth="1"/>
    <col min="2565" max="2565" width="5" style="1" customWidth="1"/>
    <col min="2566" max="2566" width="10.83203125" style="1"/>
    <col min="2567" max="2567" width="9.5" style="1" customWidth="1"/>
    <col min="2568" max="2568" width="5.83203125" style="1" customWidth="1"/>
    <col min="2569" max="2569" width="6.33203125" style="1" customWidth="1"/>
    <col min="2570" max="2570" width="10.83203125" style="1"/>
    <col min="2571" max="2571" width="6.5" style="1" customWidth="1"/>
    <col min="2572" max="2572" width="5.6640625" style="1" customWidth="1"/>
    <col min="2573" max="2573" width="6.1640625" style="1" customWidth="1"/>
    <col min="2574" max="2574" width="10.83203125" style="1"/>
    <col min="2575" max="2575" width="6.33203125" style="1" customWidth="1"/>
    <col min="2576" max="2576" width="6" style="1" customWidth="1"/>
    <col min="2577" max="2577" width="7.1640625" style="1" customWidth="1"/>
    <col min="2578" max="2817" width="10.83203125" style="1"/>
    <col min="2818" max="2818" width="4.33203125" style="1" customWidth="1"/>
    <col min="2819" max="2819" width="26.33203125" style="1" customWidth="1"/>
    <col min="2820" max="2820" width="4.5" style="1" customWidth="1"/>
    <col min="2821" max="2821" width="5" style="1" customWidth="1"/>
    <col min="2822" max="2822" width="10.83203125" style="1"/>
    <col min="2823" max="2823" width="9.5" style="1" customWidth="1"/>
    <col min="2824" max="2824" width="5.83203125" style="1" customWidth="1"/>
    <col min="2825" max="2825" width="6.33203125" style="1" customWidth="1"/>
    <col min="2826" max="2826" width="10.83203125" style="1"/>
    <col min="2827" max="2827" width="6.5" style="1" customWidth="1"/>
    <col min="2828" max="2828" width="5.6640625" style="1" customWidth="1"/>
    <col min="2829" max="2829" width="6.1640625" style="1" customWidth="1"/>
    <col min="2830" max="2830" width="10.83203125" style="1"/>
    <col min="2831" max="2831" width="6.33203125" style="1" customWidth="1"/>
    <col min="2832" max="2832" width="6" style="1" customWidth="1"/>
    <col min="2833" max="2833" width="7.1640625" style="1" customWidth="1"/>
    <col min="2834" max="3073" width="10.83203125" style="1"/>
    <col min="3074" max="3074" width="4.33203125" style="1" customWidth="1"/>
    <col min="3075" max="3075" width="26.33203125" style="1" customWidth="1"/>
    <col min="3076" max="3076" width="4.5" style="1" customWidth="1"/>
    <col min="3077" max="3077" width="5" style="1" customWidth="1"/>
    <col min="3078" max="3078" width="10.83203125" style="1"/>
    <col min="3079" max="3079" width="9.5" style="1" customWidth="1"/>
    <col min="3080" max="3080" width="5.83203125" style="1" customWidth="1"/>
    <col min="3081" max="3081" width="6.33203125" style="1" customWidth="1"/>
    <col min="3082" max="3082" width="10.83203125" style="1"/>
    <col min="3083" max="3083" width="6.5" style="1" customWidth="1"/>
    <col min="3084" max="3084" width="5.6640625" style="1" customWidth="1"/>
    <col min="3085" max="3085" width="6.1640625" style="1" customWidth="1"/>
    <col min="3086" max="3086" width="10.83203125" style="1"/>
    <col min="3087" max="3087" width="6.33203125" style="1" customWidth="1"/>
    <col min="3088" max="3088" width="6" style="1" customWidth="1"/>
    <col min="3089" max="3089" width="7.1640625" style="1" customWidth="1"/>
    <col min="3090" max="3329" width="10.83203125" style="1"/>
    <col min="3330" max="3330" width="4.33203125" style="1" customWidth="1"/>
    <col min="3331" max="3331" width="26.33203125" style="1" customWidth="1"/>
    <col min="3332" max="3332" width="4.5" style="1" customWidth="1"/>
    <col min="3333" max="3333" width="5" style="1" customWidth="1"/>
    <col min="3334" max="3334" width="10.83203125" style="1"/>
    <col min="3335" max="3335" width="9.5" style="1" customWidth="1"/>
    <col min="3336" max="3336" width="5.83203125" style="1" customWidth="1"/>
    <col min="3337" max="3337" width="6.33203125" style="1" customWidth="1"/>
    <col min="3338" max="3338" width="10.83203125" style="1"/>
    <col min="3339" max="3339" width="6.5" style="1" customWidth="1"/>
    <col min="3340" max="3340" width="5.6640625" style="1" customWidth="1"/>
    <col min="3341" max="3341" width="6.1640625" style="1" customWidth="1"/>
    <col min="3342" max="3342" width="10.83203125" style="1"/>
    <col min="3343" max="3343" width="6.33203125" style="1" customWidth="1"/>
    <col min="3344" max="3344" width="6" style="1" customWidth="1"/>
    <col min="3345" max="3345" width="7.1640625" style="1" customWidth="1"/>
    <col min="3346" max="3585" width="10.83203125" style="1"/>
    <col min="3586" max="3586" width="4.33203125" style="1" customWidth="1"/>
    <col min="3587" max="3587" width="26.33203125" style="1" customWidth="1"/>
    <col min="3588" max="3588" width="4.5" style="1" customWidth="1"/>
    <col min="3589" max="3589" width="5" style="1" customWidth="1"/>
    <col min="3590" max="3590" width="10.83203125" style="1"/>
    <col min="3591" max="3591" width="9.5" style="1" customWidth="1"/>
    <col min="3592" max="3592" width="5.83203125" style="1" customWidth="1"/>
    <col min="3593" max="3593" width="6.33203125" style="1" customWidth="1"/>
    <col min="3594" max="3594" width="10.83203125" style="1"/>
    <col min="3595" max="3595" width="6.5" style="1" customWidth="1"/>
    <col min="3596" max="3596" width="5.6640625" style="1" customWidth="1"/>
    <col min="3597" max="3597" width="6.1640625" style="1" customWidth="1"/>
    <col min="3598" max="3598" width="10.83203125" style="1"/>
    <col min="3599" max="3599" width="6.33203125" style="1" customWidth="1"/>
    <col min="3600" max="3600" width="6" style="1" customWidth="1"/>
    <col min="3601" max="3601" width="7.1640625" style="1" customWidth="1"/>
    <col min="3602" max="3841" width="10.83203125" style="1"/>
    <col min="3842" max="3842" width="4.33203125" style="1" customWidth="1"/>
    <col min="3843" max="3843" width="26.33203125" style="1" customWidth="1"/>
    <col min="3844" max="3844" width="4.5" style="1" customWidth="1"/>
    <col min="3845" max="3845" width="5" style="1" customWidth="1"/>
    <col min="3846" max="3846" width="10.83203125" style="1"/>
    <col min="3847" max="3847" width="9.5" style="1" customWidth="1"/>
    <col min="3848" max="3848" width="5.83203125" style="1" customWidth="1"/>
    <col min="3849" max="3849" width="6.33203125" style="1" customWidth="1"/>
    <col min="3850" max="3850" width="10.83203125" style="1"/>
    <col min="3851" max="3851" width="6.5" style="1" customWidth="1"/>
    <col min="3852" max="3852" width="5.6640625" style="1" customWidth="1"/>
    <col min="3853" max="3853" width="6.1640625" style="1" customWidth="1"/>
    <col min="3854" max="3854" width="10.83203125" style="1"/>
    <col min="3855" max="3855" width="6.33203125" style="1" customWidth="1"/>
    <col min="3856" max="3856" width="6" style="1" customWidth="1"/>
    <col min="3857" max="3857" width="7.1640625" style="1" customWidth="1"/>
    <col min="3858" max="4097" width="10.83203125" style="1"/>
    <col min="4098" max="4098" width="4.33203125" style="1" customWidth="1"/>
    <col min="4099" max="4099" width="26.33203125" style="1" customWidth="1"/>
    <col min="4100" max="4100" width="4.5" style="1" customWidth="1"/>
    <col min="4101" max="4101" width="5" style="1" customWidth="1"/>
    <col min="4102" max="4102" width="10.83203125" style="1"/>
    <col min="4103" max="4103" width="9.5" style="1" customWidth="1"/>
    <col min="4104" max="4104" width="5.83203125" style="1" customWidth="1"/>
    <col min="4105" max="4105" width="6.33203125" style="1" customWidth="1"/>
    <col min="4106" max="4106" width="10.83203125" style="1"/>
    <col min="4107" max="4107" width="6.5" style="1" customWidth="1"/>
    <col min="4108" max="4108" width="5.6640625" style="1" customWidth="1"/>
    <col min="4109" max="4109" width="6.1640625" style="1" customWidth="1"/>
    <col min="4110" max="4110" width="10.83203125" style="1"/>
    <col min="4111" max="4111" width="6.33203125" style="1" customWidth="1"/>
    <col min="4112" max="4112" width="6" style="1" customWidth="1"/>
    <col min="4113" max="4113" width="7.1640625" style="1" customWidth="1"/>
    <col min="4114" max="4353" width="10.83203125" style="1"/>
    <col min="4354" max="4354" width="4.33203125" style="1" customWidth="1"/>
    <col min="4355" max="4355" width="26.33203125" style="1" customWidth="1"/>
    <col min="4356" max="4356" width="4.5" style="1" customWidth="1"/>
    <col min="4357" max="4357" width="5" style="1" customWidth="1"/>
    <col min="4358" max="4358" width="10.83203125" style="1"/>
    <col min="4359" max="4359" width="9.5" style="1" customWidth="1"/>
    <col min="4360" max="4360" width="5.83203125" style="1" customWidth="1"/>
    <col min="4361" max="4361" width="6.33203125" style="1" customWidth="1"/>
    <col min="4362" max="4362" width="10.83203125" style="1"/>
    <col min="4363" max="4363" width="6.5" style="1" customWidth="1"/>
    <col min="4364" max="4364" width="5.6640625" style="1" customWidth="1"/>
    <col min="4365" max="4365" width="6.1640625" style="1" customWidth="1"/>
    <col min="4366" max="4366" width="10.83203125" style="1"/>
    <col min="4367" max="4367" width="6.33203125" style="1" customWidth="1"/>
    <col min="4368" max="4368" width="6" style="1" customWidth="1"/>
    <col min="4369" max="4369" width="7.1640625" style="1" customWidth="1"/>
    <col min="4370" max="4609" width="10.83203125" style="1"/>
    <col min="4610" max="4610" width="4.33203125" style="1" customWidth="1"/>
    <col min="4611" max="4611" width="26.33203125" style="1" customWidth="1"/>
    <col min="4612" max="4612" width="4.5" style="1" customWidth="1"/>
    <col min="4613" max="4613" width="5" style="1" customWidth="1"/>
    <col min="4614" max="4614" width="10.83203125" style="1"/>
    <col min="4615" max="4615" width="9.5" style="1" customWidth="1"/>
    <col min="4616" max="4616" width="5.83203125" style="1" customWidth="1"/>
    <col min="4617" max="4617" width="6.33203125" style="1" customWidth="1"/>
    <col min="4618" max="4618" width="10.83203125" style="1"/>
    <col min="4619" max="4619" width="6.5" style="1" customWidth="1"/>
    <col min="4620" max="4620" width="5.6640625" style="1" customWidth="1"/>
    <col min="4621" max="4621" width="6.1640625" style="1" customWidth="1"/>
    <col min="4622" max="4622" width="10.83203125" style="1"/>
    <col min="4623" max="4623" width="6.33203125" style="1" customWidth="1"/>
    <col min="4624" max="4624" width="6" style="1" customWidth="1"/>
    <col min="4625" max="4625" width="7.1640625" style="1" customWidth="1"/>
    <col min="4626" max="4865" width="10.83203125" style="1"/>
    <col min="4866" max="4866" width="4.33203125" style="1" customWidth="1"/>
    <col min="4867" max="4867" width="26.33203125" style="1" customWidth="1"/>
    <col min="4868" max="4868" width="4.5" style="1" customWidth="1"/>
    <col min="4869" max="4869" width="5" style="1" customWidth="1"/>
    <col min="4870" max="4870" width="10.83203125" style="1"/>
    <col min="4871" max="4871" width="9.5" style="1" customWidth="1"/>
    <col min="4872" max="4872" width="5.83203125" style="1" customWidth="1"/>
    <col min="4873" max="4873" width="6.33203125" style="1" customWidth="1"/>
    <col min="4874" max="4874" width="10.83203125" style="1"/>
    <col min="4875" max="4875" width="6.5" style="1" customWidth="1"/>
    <col min="4876" max="4876" width="5.6640625" style="1" customWidth="1"/>
    <col min="4877" max="4877" width="6.1640625" style="1" customWidth="1"/>
    <col min="4878" max="4878" width="10.83203125" style="1"/>
    <col min="4879" max="4879" width="6.33203125" style="1" customWidth="1"/>
    <col min="4880" max="4880" width="6" style="1" customWidth="1"/>
    <col min="4881" max="4881" width="7.1640625" style="1" customWidth="1"/>
    <col min="4882" max="5121" width="10.83203125" style="1"/>
    <col min="5122" max="5122" width="4.33203125" style="1" customWidth="1"/>
    <col min="5123" max="5123" width="26.33203125" style="1" customWidth="1"/>
    <col min="5124" max="5124" width="4.5" style="1" customWidth="1"/>
    <col min="5125" max="5125" width="5" style="1" customWidth="1"/>
    <col min="5126" max="5126" width="10.83203125" style="1"/>
    <col min="5127" max="5127" width="9.5" style="1" customWidth="1"/>
    <col min="5128" max="5128" width="5.83203125" style="1" customWidth="1"/>
    <col min="5129" max="5129" width="6.33203125" style="1" customWidth="1"/>
    <col min="5130" max="5130" width="10.83203125" style="1"/>
    <col min="5131" max="5131" width="6.5" style="1" customWidth="1"/>
    <col min="5132" max="5132" width="5.6640625" style="1" customWidth="1"/>
    <col min="5133" max="5133" width="6.1640625" style="1" customWidth="1"/>
    <col min="5134" max="5134" width="10.83203125" style="1"/>
    <col min="5135" max="5135" width="6.33203125" style="1" customWidth="1"/>
    <col min="5136" max="5136" width="6" style="1" customWidth="1"/>
    <col min="5137" max="5137" width="7.1640625" style="1" customWidth="1"/>
    <col min="5138" max="5377" width="10.83203125" style="1"/>
    <col min="5378" max="5378" width="4.33203125" style="1" customWidth="1"/>
    <col min="5379" max="5379" width="26.33203125" style="1" customWidth="1"/>
    <col min="5380" max="5380" width="4.5" style="1" customWidth="1"/>
    <col min="5381" max="5381" width="5" style="1" customWidth="1"/>
    <col min="5382" max="5382" width="10.83203125" style="1"/>
    <col min="5383" max="5383" width="9.5" style="1" customWidth="1"/>
    <col min="5384" max="5384" width="5.83203125" style="1" customWidth="1"/>
    <col min="5385" max="5385" width="6.33203125" style="1" customWidth="1"/>
    <col min="5386" max="5386" width="10.83203125" style="1"/>
    <col min="5387" max="5387" width="6.5" style="1" customWidth="1"/>
    <col min="5388" max="5388" width="5.6640625" style="1" customWidth="1"/>
    <col min="5389" max="5389" width="6.1640625" style="1" customWidth="1"/>
    <col min="5390" max="5390" width="10.83203125" style="1"/>
    <col min="5391" max="5391" width="6.33203125" style="1" customWidth="1"/>
    <col min="5392" max="5392" width="6" style="1" customWidth="1"/>
    <col min="5393" max="5393" width="7.1640625" style="1" customWidth="1"/>
    <col min="5394" max="5633" width="10.83203125" style="1"/>
    <col min="5634" max="5634" width="4.33203125" style="1" customWidth="1"/>
    <col min="5635" max="5635" width="26.33203125" style="1" customWidth="1"/>
    <col min="5636" max="5636" width="4.5" style="1" customWidth="1"/>
    <col min="5637" max="5637" width="5" style="1" customWidth="1"/>
    <col min="5638" max="5638" width="10.83203125" style="1"/>
    <col min="5639" max="5639" width="9.5" style="1" customWidth="1"/>
    <col min="5640" max="5640" width="5.83203125" style="1" customWidth="1"/>
    <col min="5641" max="5641" width="6.33203125" style="1" customWidth="1"/>
    <col min="5642" max="5642" width="10.83203125" style="1"/>
    <col min="5643" max="5643" width="6.5" style="1" customWidth="1"/>
    <col min="5644" max="5644" width="5.6640625" style="1" customWidth="1"/>
    <col min="5645" max="5645" width="6.1640625" style="1" customWidth="1"/>
    <col min="5646" max="5646" width="10.83203125" style="1"/>
    <col min="5647" max="5647" width="6.33203125" style="1" customWidth="1"/>
    <col min="5648" max="5648" width="6" style="1" customWidth="1"/>
    <col min="5649" max="5649" width="7.1640625" style="1" customWidth="1"/>
    <col min="5650" max="5889" width="10.83203125" style="1"/>
    <col min="5890" max="5890" width="4.33203125" style="1" customWidth="1"/>
    <col min="5891" max="5891" width="26.33203125" style="1" customWidth="1"/>
    <col min="5892" max="5892" width="4.5" style="1" customWidth="1"/>
    <col min="5893" max="5893" width="5" style="1" customWidth="1"/>
    <col min="5894" max="5894" width="10.83203125" style="1"/>
    <col min="5895" max="5895" width="9.5" style="1" customWidth="1"/>
    <col min="5896" max="5896" width="5.83203125" style="1" customWidth="1"/>
    <col min="5897" max="5897" width="6.33203125" style="1" customWidth="1"/>
    <col min="5898" max="5898" width="10.83203125" style="1"/>
    <col min="5899" max="5899" width="6.5" style="1" customWidth="1"/>
    <col min="5900" max="5900" width="5.6640625" style="1" customWidth="1"/>
    <col min="5901" max="5901" width="6.1640625" style="1" customWidth="1"/>
    <col min="5902" max="5902" width="10.83203125" style="1"/>
    <col min="5903" max="5903" width="6.33203125" style="1" customWidth="1"/>
    <col min="5904" max="5904" width="6" style="1" customWidth="1"/>
    <col min="5905" max="5905" width="7.1640625" style="1" customWidth="1"/>
    <col min="5906" max="6145" width="10.83203125" style="1"/>
    <col min="6146" max="6146" width="4.33203125" style="1" customWidth="1"/>
    <col min="6147" max="6147" width="26.33203125" style="1" customWidth="1"/>
    <col min="6148" max="6148" width="4.5" style="1" customWidth="1"/>
    <col min="6149" max="6149" width="5" style="1" customWidth="1"/>
    <col min="6150" max="6150" width="10.83203125" style="1"/>
    <col min="6151" max="6151" width="9.5" style="1" customWidth="1"/>
    <col min="6152" max="6152" width="5.83203125" style="1" customWidth="1"/>
    <col min="6153" max="6153" width="6.33203125" style="1" customWidth="1"/>
    <col min="6154" max="6154" width="10.83203125" style="1"/>
    <col min="6155" max="6155" width="6.5" style="1" customWidth="1"/>
    <col min="6156" max="6156" width="5.6640625" style="1" customWidth="1"/>
    <col min="6157" max="6157" width="6.1640625" style="1" customWidth="1"/>
    <col min="6158" max="6158" width="10.83203125" style="1"/>
    <col min="6159" max="6159" width="6.33203125" style="1" customWidth="1"/>
    <col min="6160" max="6160" width="6" style="1" customWidth="1"/>
    <col min="6161" max="6161" width="7.1640625" style="1" customWidth="1"/>
    <col min="6162" max="6401" width="10.83203125" style="1"/>
    <col min="6402" max="6402" width="4.33203125" style="1" customWidth="1"/>
    <col min="6403" max="6403" width="26.33203125" style="1" customWidth="1"/>
    <col min="6404" max="6404" width="4.5" style="1" customWidth="1"/>
    <col min="6405" max="6405" width="5" style="1" customWidth="1"/>
    <col min="6406" max="6406" width="10.83203125" style="1"/>
    <col min="6407" max="6407" width="9.5" style="1" customWidth="1"/>
    <col min="6408" max="6408" width="5.83203125" style="1" customWidth="1"/>
    <col min="6409" max="6409" width="6.33203125" style="1" customWidth="1"/>
    <col min="6410" max="6410" width="10.83203125" style="1"/>
    <col min="6411" max="6411" width="6.5" style="1" customWidth="1"/>
    <col min="6412" max="6412" width="5.6640625" style="1" customWidth="1"/>
    <col min="6413" max="6413" width="6.1640625" style="1" customWidth="1"/>
    <col min="6414" max="6414" width="10.83203125" style="1"/>
    <col min="6415" max="6415" width="6.33203125" style="1" customWidth="1"/>
    <col min="6416" max="6416" width="6" style="1" customWidth="1"/>
    <col min="6417" max="6417" width="7.1640625" style="1" customWidth="1"/>
    <col min="6418" max="6657" width="10.83203125" style="1"/>
    <col min="6658" max="6658" width="4.33203125" style="1" customWidth="1"/>
    <col min="6659" max="6659" width="26.33203125" style="1" customWidth="1"/>
    <col min="6660" max="6660" width="4.5" style="1" customWidth="1"/>
    <col min="6661" max="6661" width="5" style="1" customWidth="1"/>
    <col min="6662" max="6662" width="10.83203125" style="1"/>
    <col min="6663" max="6663" width="9.5" style="1" customWidth="1"/>
    <col min="6664" max="6664" width="5.83203125" style="1" customWidth="1"/>
    <col min="6665" max="6665" width="6.33203125" style="1" customWidth="1"/>
    <col min="6666" max="6666" width="10.83203125" style="1"/>
    <col min="6667" max="6667" width="6.5" style="1" customWidth="1"/>
    <col min="6668" max="6668" width="5.6640625" style="1" customWidth="1"/>
    <col min="6669" max="6669" width="6.1640625" style="1" customWidth="1"/>
    <col min="6670" max="6670" width="10.83203125" style="1"/>
    <col min="6671" max="6671" width="6.33203125" style="1" customWidth="1"/>
    <col min="6672" max="6672" width="6" style="1" customWidth="1"/>
    <col min="6673" max="6673" width="7.1640625" style="1" customWidth="1"/>
    <col min="6674" max="6913" width="10.83203125" style="1"/>
    <col min="6914" max="6914" width="4.33203125" style="1" customWidth="1"/>
    <col min="6915" max="6915" width="26.33203125" style="1" customWidth="1"/>
    <col min="6916" max="6916" width="4.5" style="1" customWidth="1"/>
    <col min="6917" max="6917" width="5" style="1" customWidth="1"/>
    <col min="6918" max="6918" width="10.83203125" style="1"/>
    <col min="6919" max="6919" width="9.5" style="1" customWidth="1"/>
    <col min="6920" max="6920" width="5.83203125" style="1" customWidth="1"/>
    <col min="6921" max="6921" width="6.33203125" style="1" customWidth="1"/>
    <col min="6922" max="6922" width="10.83203125" style="1"/>
    <col min="6923" max="6923" width="6.5" style="1" customWidth="1"/>
    <col min="6924" max="6924" width="5.6640625" style="1" customWidth="1"/>
    <col min="6925" max="6925" width="6.1640625" style="1" customWidth="1"/>
    <col min="6926" max="6926" width="10.83203125" style="1"/>
    <col min="6927" max="6927" width="6.33203125" style="1" customWidth="1"/>
    <col min="6928" max="6928" width="6" style="1" customWidth="1"/>
    <col min="6929" max="6929" width="7.1640625" style="1" customWidth="1"/>
    <col min="6930" max="7169" width="10.83203125" style="1"/>
    <col min="7170" max="7170" width="4.33203125" style="1" customWidth="1"/>
    <col min="7171" max="7171" width="26.33203125" style="1" customWidth="1"/>
    <col min="7172" max="7172" width="4.5" style="1" customWidth="1"/>
    <col min="7173" max="7173" width="5" style="1" customWidth="1"/>
    <col min="7174" max="7174" width="10.83203125" style="1"/>
    <col min="7175" max="7175" width="9.5" style="1" customWidth="1"/>
    <col min="7176" max="7176" width="5.83203125" style="1" customWidth="1"/>
    <col min="7177" max="7177" width="6.33203125" style="1" customWidth="1"/>
    <col min="7178" max="7178" width="10.83203125" style="1"/>
    <col min="7179" max="7179" width="6.5" style="1" customWidth="1"/>
    <col min="7180" max="7180" width="5.6640625" style="1" customWidth="1"/>
    <col min="7181" max="7181" width="6.1640625" style="1" customWidth="1"/>
    <col min="7182" max="7182" width="10.83203125" style="1"/>
    <col min="7183" max="7183" width="6.33203125" style="1" customWidth="1"/>
    <col min="7184" max="7184" width="6" style="1" customWidth="1"/>
    <col min="7185" max="7185" width="7.1640625" style="1" customWidth="1"/>
    <col min="7186" max="7425" width="10.83203125" style="1"/>
    <col min="7426" max="7426" width="4.33203125" style="1" customWidth="1"/>
    <col min="7427" max="7427" width="26.33203125" style="1" customWidth="1"/>
    <col min="7428" max="7428" width="4.5" style="1" customWidth="1"/>
    <col min="7429" max="7429" width="5" style="1" customWidth="1"/>
    <col min="7430" max="7430" width="10.83203125" style="1"/>
    <col min="7431" max="7431" width="9.5" style="1" customWidth="1"/>
    <col min="7432" max="7432" width="5.83203125" style="1" customWidth="1"/>
    <col min="7433" max="7433" width="6.33203125" style="1" customWidth="1"/>
    <col min="7434" max="7434" width="10.83203125" style="1"/>
    <col min="7435" max="7435" width="6.5" style="1" customWidth="1"/>
    <col min="7436" max="7436" width="5.6640625" style="1" customWidth="1"/>
    <col min="7437" max="7437" width="6.1640625" style="1" customWidth="1"/>
    <col min="7438" max="7438" width="10.83203125" style="1"/>
    <col min="7439" max="7439" width="6.33203125" style="1" customWidth="1"/>
    <col min="7440" max="7440" width="6" style="1" customWidth="1"/>
    <col min="7441" max="7441" width="7.1640625" style="1" customWidth="1"/>
    <col min="7442" max="7681" width="10.83203125" style="1"/>
    <col min="7682" max="7682" width="4.33203125" style="1" customWidth="1"/>
    <col min="7683" max="7683" width="26.33203125" style="1" customWidth="1"/>
    <col min="7684" max="7684" width="4.5" style="1" customWidth="1"/>
    <col min="7685" max="7685" width="5" style="1" customWidth="1"/>
    <col min="7686" max="7686" width="10.83203125" style="1"/>
    <col min="7687" max="7687" width="9.5" style="1" customWidth="1"/>
    <col min="7688" max="7688" width="5.83203125" style="1" customWidth="1"/>
    <col min="7689" max="7689" width="6.33203125" style="1" customWidth="1"/>
    <col min="7690" max="7690" width="10.83203125" style="1"/>
    <col min="7691" max="7691" width="6.5" style="1" customWidth="1"/>
    <col min="7692" max="7692" width="5.6640625" style="1" customWidth="1"/>
    <col min="7693" max="7693" width="6.1640625" style="1" customWidth="1"/>
    <col min="7694" max="7694" width="10.83203125" style="1"/>
    <col min="7695" max="7695" width="6.33203125" style="1" customWidth="1"/>
    <col min="7696" max="7696" width="6" style="1" customWidth="1"/>
    <col min="7697" max="7697" width="7.1640625" style="1" customWidth="1"/>
    <col min="7698" max="7937" width="10.83203125" style="1"/>
    <col min="7938" max="7938" width="4.33203125" style="1" customWidth="1"/>
    <col min="7939" max="7939" width="26.33203125" style="1" customWidth="1"/>
    <col min="7940" max="7940" width="4.5" style="1" customWidth="1"/>
    <col min="7941" max="7941" width="5" style="1" customWidth="1"/>
    <col min="7942" max="7942" width="10.83203125" style="1"/>
    <col min="7943" max="7943" width="9.5" style="1" customWidth="1"/>
    <col min="7944" max="7944" width="5.83203125" style="1" customWidth="1"/>
    <col min="7945" max="7945" width="6.33203125" style="1" customWidth="1"/>
    <col min="7946" max="7946" width="10.83203125" style="1"/>
    <col min="7947" max="7947" width="6.5" style="1" customWidth="1"/>
    <col min="7948" max="7948" width="5.6640625" style="1" customWidth="1"/>
    <col min="7949" max="7949" width="6.1640625" style="1" customWidth="1"/>
    <col min="7950" max="7950" width="10.83203125" style="1"/>
    <col min="7951" max="7951" width="6.33203125" style="1" customWidth="1"/>
    <col min="7952" max="7952" width="6" style="1" customWidth="1"/>
    <col min="7953" max="7953" width="7.1640625" style="1" customWidth="1"/>
    <col min="7954" max="8193" width="10.83203125" style="1"/>
    <col min="8194" max="8194" width="4.33203125" style="1" customWidth="1"/>
    <col min="8195" max="8195" width="26.33203125" style="1" customWidth="1"/>
    <col min="8196" max="8196" width="4.5" style="1" customWidth="1"/>
    <col min="8197" max="8197" width="5" style="1" customWidth="1"/>
    <col min="8198" max="8198" width="10.83203125" style="1"/>
    <col min="8199" max="8199" width="9.5" style="1" customWidth="1"/>
    <col min="8200" max="8200" width="5.83203125" style="1" customWidth="1"/>
    <col min="8201" max="8201" width="6.33203125" style="1" customWidth="1"/>
    <col min="8202" max="8202" width="10.83203125" style="1"/>
    <col min="8203" max="8203" width="6.5" style="1" customWidth="1"/>
    <col min="8204" max="8204" width="5.6640625" style="1" customWidth="1"/>
    <col min="8205" max="8205" width="6.1640625" style="1" customWidth="1"/>
    <col min="8206" max="8206" width="10.83203125" style="1"/>
    <col min="8207" max="8207" width="6.33203125" style="1" customWidth="1"/>
    <col min="8208" max="8208" width="6" style="1" customWidth="1"/>
    <col min="8209" max="8209" width="7.1640625" style="1" customWidth="1"/>
    <col min="8210" max="8449" width="10.83203125" style="1"/>
    <col min="8450" max="8450" width="4.33203125" style="1" customWidth="1"/>
    <col min="8451" max="8451" width="26.33203125" style="1" customWidth="1"/>
    <col min="8452" max="8452" width="4.5" style="1" customWidth="1"/>
    <col min="8453" max="8453" width="5" style="1" customWidth="1"/>
    <col min="8454" max="8454" width="10.83203125" style="1"/>
    <col min="8455" max="8455" width="9.5" style="1" customWidth="1"/>
    <col min="8456" max="8456" width="5.83203125" style="1" customWidth="1"/>
    <col min="8457" max="8457" width="6.33203125" style="1" customWidth="1"/>
    <col min="8458" max="8458" width="10.83203125" style="1"/>
    <col min="8459" max="8459" width="6.5" style="1" customWidth="1"/>
    <col min="8460" max="8460" width="5.6640625" style="1" customWidth="1"/>
    <col min="8461" max="8461" width="6.1640625" style="1" customWidth="1"/>
    <col min="8462" max="8462" width="10.83203125" style="1"/>
    <col min="8463" max="8463" width="6.33203125" style="1" customWidth="1"/>
    <col min="8464" max="8464" width="6" style="1" customWidth="1"/>
    <col min="8465" max="8465" width="7.1640625" style="1" customWidth="1"/>
    <col min="8466" max="8705" width="10.83203125" style="1"/>
    <col min="8706" max="8706" width="4.33203125" style="1" customWidth="1"/>
    <col min="8707" max="8707" width="26.33203125" style="1" customWidth="1"/>
    <col min="8708" max="8708" width="4.5" style="1" customWidth="1"/>
    <col min="8709" max="8709" width="5" style="1" customWidth="1"/>
    <col min="8710" max="8710" width="10.83203125" style="1"/>
    <col min="8711" max="8711" width="9.5" style="1" customWidth="1"/>
    <col min="8712" max="8712" width="5.83203125" style="1" customWidth="1"/>
    <col min="8713" max="8713" width="6.33203125" style="1" customWidth="1"/>
    <col min="8714" max="8714" width="10.83203125" style="1"/>
    <col min="8715" max="8715" width="6.5" style="1" customWidth="1"/>
    <col min="8716" max="8716" width="5.6640625" style="1" customWidth="1"/>
    <col min="8717" max="8717" width="6.1640625" style="1" customWidth="1"/>
    <col min="8718" max="8718" width="10.83203125" style="1"/>
    <col min="8719" max="8719" width="6.33203125" style="1" customWidth="1"/>
    <col min="8720" max="8720" width="6" style="1" customWidth="1"/>
    <col min="8721" max="8721" width="7.1640625" style="1" customWidth="1"/>
    <col min="8722" max="8961" width="10.83203125" style="1"/>
    <col min="8962" max="8962" width="4.33203125" style="1" customWidth="1"/>
    <col min="8963" max="8963" width="26.33203125" style="1" customWidth="1"/>
    <col min="8964" max="8964" width="4.5" style="1" customWidth="1"/>
    <col min="8965" max="8965" width="5" style="1" customWidth="1"/>
    <col min="8966" max="8966" width="10.83203125" style="1"/>
    <col min="8967" max="8967" width="9.5" style="1" customWidth="1"/>
    <col min="8968" max="8968" width="5.83203125" style="1" customWidth="1"/>
    <col min="8969" max="8969" width="6.33203125" style="1" customWidth="1"/>
    <col min="8970" max="8970" width="10.83203125" style="1"/>
    <col min="8971" max="8971" width="6.5" style="1" customWidth="1"/>
    <col min="8972" max="8972" width="5.6640625" style="1" customWidth="1"/>
    <col min="8973" max="8973" width="6.1640625" style="1" customWidth="1"/>
    <col min="8974" max="8974" width="10.83203125" style="1"/>
    <col min="8975" max="8975" width="6.33203125" style="1" customWidth="1"/>
    <col min="8976" max="8976" width="6" style="1" customWidth="1"/>
    <col min="8977" max="8977" width="7.1640625" style="1" customWidth="1"/>
    <col min="8978" max="9217" width="10.83203125" style="1"/>
    <col min="9218" max="9218" width="4.33203125" style="1" customWidth="1"/>
    <col min="9219" max="9219" width="26.33203125" style="1" customWidth="1"/>
    <col min="9220" max="9220" width="4.5" style="1" customWidth="1"/>
    <col min="9221" max="9221" width="5" style="1" customWidth="1"/>
    <col min="9222" max="9222" width="10.83203125" style="1"/>
    <col min="9223" max="9223" width="9.5" style="1" customWidth="1"/>
    <col min="9224" max="9224" width="5.83203125" style="1" customWidth="1"/>
    <col min="9225" max="9225" width="6.33203125" style="1" customWidth="1"/>
    <col min="9226" max="9226" width="10.83203125" style="1"/>
    <col min="9227" max="9227" width="6.5" style="1" customWidth="1"/>
    <col min="9228" max="9228" width="5.6640625" style="1" customWidth="1"/>
    <col min="9229" max="9229" width="6.1640625" style="1" customWidth="1"/>
    <col min="9230" max="9230" width="10.83203125" style="1"/>
    <col min="9231" max="9231" width="6.33203125" style="1" customWidth="1"/>
    <col min="9232" max="9232" width="6" style="1" customWidth="1"/>
    <col min="9233" max="9233" width="7.1640625" style="1" customWidth="1"/>
    <col min="9234" max="9473" width="10.83203125" style="1"/>
    <col min="9474" max="9474" width="4.33203125" style="1" customWidth="1"/>
    <col min="9475" max="9475" width="26.33203125" style="1" customWidth="1"/>
    <col min="9476" max="9476" width="4.5" style="1" customWidth="1"/>
    <col min="9477" max="9477" width="5" style="1" customWidth="1"/>
    <col min="9478" max="9478" width="10.83203125" style="1"/>
    <col min="9479" max="9479" width="9.5" style="1" customWidth="1"/>
    <col min="9480" max="9480" width="5.83203125" style="1" customWidth="1"/>
    <col min="9481" max="9481" width="6.33203125" style="1" customWidth="1"/>
    <col min="9482" max="9482" width="10.83203125" style="1"/>
    <col min="9483" max="9483" width="6.5" style="1" customWidth="1"/>
    <col min="9484" max="9484" width="5.6640625" style="1" customWidth="1"/>
    <col min="9485" max="9485" width="6.1640625" style="1" customWidth="1"/>
    <col min="9486" max="9486" width="10.83203125" style="1"/>
    <col min="9487" max="9487" width="6.33203125" style="1" customWidth="1"/>
    <col min="9488" max="9488" width="6" style="1" customWidth="1"/>
    <col min="9489" max="9489" width="7.1640625" style="1" customWidth="1"/>
    <col min="9490" max="9729" width="10.83203125" style="1"/>
    <col min="9730" max="9730" width="4.33203125" style="1" customWidth="1"/>
    <col min="9731" max="9731" width="26.33203125" style="1" customWidth="1"/>
    <col min="9732" max="9732" width="4.5" style="1" customWidth="1"/>
    <col min="9733" max="9733" width="5" style="1" customWidth="1"/>
    <col min="9734" max="9734" width="10.83203125" style="1"/>
    <col min="9735" max="9735" width="9.5" style="1" customWidth="1"/>
    <col min="9736" max="9736" width="5.83203125" style="1" customWidth="1"/>
    <col min="9737" max="9737" width="6.33203125" style="1" customWidth="1"/>
    <col min="9738" max="9738" width="10.83203125" style="1"/>
    <col min="9739" max="9739" width="6.5" style="1" customWidth="1"/>
    <col min="9740" max="9740" width="5.6640625" style="1" customWidth="1"/>
    <col min="9741" max="9741" width="6.1640625" style="1" customWidth="1"/>
    <col min="9742" max="9742" width="10.83203125" style="1"/>
    <col min="9743" max="9743" width="6.33203125" style="1" customWidth="1"/>
    <col min="9744" max="9744" width="6" style="1" customWidth="1"/>
    <col min="9745" max="9745" width="7.1640625" style="1" customWidth="1"/>
    <col min="9746" max="9985" width="10.83203125" style="1"/>
    <col min="9986" max="9986" width="4.33203125" style="1" customWidth="1"/>
    <col min="9987" max="9987" width="26.33203125" style="1" customWidth="1"/>
    <col min="9988" max="9988" width="4.5" style="1" customWidth="1"/>
    <col min="9989" max="9989" width="5" style="1" customWidth="1"/>
    <col min="9990" max="9990" width="10.83203125" style="1"/>
    <col min="9991" max="9991" width="9.5" style="1" customWidth="1"/>
    <col min="9992" max="9992" width="5.83203125" style="1" customWidth="1"/>
    <col min="9993" max="9993" width="6.33203125" style="1" customWidth="1"/>
    <col min="9994" max="9994" width="10.83203125" style="1"/>
    <col min="9995" max="9995" width="6.5" style="1" customWidth="1"/>
    <col min="9996" max="9996" width="5.6640625" style="1" customWidth="1"/>
    <col min="9997" max="9997" width="6.1640625" style="1" customWidth="1"/>
    <col min="9998" max="9998" width="10.83203125" style="1"/>
    <col min="9999" max="9999" width="6.33203125" style="1" customWidth="1"/>
    <col min="10000" max="10000" width="6" style="1" customWidth="1"/>
    <col min="10001" max="10001" width="7.1640625" style="1" customWidth="1"/>
    <col min="10002" max="10241" width="10.83203125" style="1"/>
    <col min="10242" max="10242" width="4.33203125" style="1" customWidth="1"/>
    <col min="10243" max="10243" width="26.33203125" style="1" customWidth="1"/>
    <col min="10244" max="10244" width="4.5" style="1" customWidth="1"/>
    <col min="10245" max="10245" width="5" style="1" customWidth="1"/>
    <col min="10246" max="10246" width="10.83203125" style="1"/>
    <col min="10247" max="10247" width="9.5" style="1" customWidth="1"/>
    <col min="10248" max="10248" width="5.83203125" style="1" customWidth="1"/>
    <col min="10249" max="10249" width="6.33203125" style="1" customWidth="1"/>
    <col min="10250" max="10250" width="10.83203125" style="1"/>
    <col min="10251" max="10251" width="6.5" style="1" customWidth="1"/>
    <col min="10252" max="10252" width="5.6640625" style="1" customWidth="1"/>
    <col min="10253" max="10253" width="6.1640625" style="1" customWidth="1"/>
    <col min="10254" max="10254" width="10.83203125" style="1"/>
    <col min="10255" max="10255" width="6.33203125" style="1" customWidth="1"/>
    <col min="10256" max="10256" width="6" style="1" customWidth="1"/>
    <col min="10257" max="10257" width="7.1640625" style="1" customWidth="1"/>
    <col min="10258" max="10497" width="10.83203125" style="1"/>
    <col min="10498" max="10498" width="4.33203125" style="1" customWidth="1"/>
    <col min="10499" max="10499" width="26.33203125" style="1" customWidth="1"/>
    <col min="10500" max="10500" width="4.5" style="1" customWidth="1"/>
    <col min="10501" max="10501" width="5" style="1" customWidth="1"/>
    <col min="10502" max="10502" width="10.83203125" style="1"/>
    <col min="10503" max="10503" width="9.5" style="1" customWidth="1"/>
    <col min="10504" max="10504" width="5.83203125" style="1" customWidth="1"/>
    <col min="10505" max="10505" width="6.33203125" style="1" customWidth="1"/>
    <col min="10506" max="10506" width="10.83203125" style="1"/>
    <col min="10507" max="10507" width="6.5" style="1" customWidth="1"/>
    <col min="10508" max="10508" width="5.6640625" style="1" customWidth="1"/>
    <col min="10509" max="10509" width="6.1640625" style="1" customWidth="1"/>
    <col min="10510" max="10510" width="10.83203125" style="1"/>
    <col min="10511" max="10511" width="6.33203125" style="1" customWidth="1"/>
    <col min="10512" max="10512" width="6" style="1" customWidth="1"/>
    <col min="10513" max="10513" width="7.1640625" style="1" customWidth="1"/>
    <col min="10514" max="10753" width="10.83203125" style="1"/>
    <col min="10754" max="10754" width="4.33203125" style="1" customWidth="1"/>
    <col min="10755" max="10755" width="26.33203125" style="1" customWidth="1"/>
    <col min="10756" max="10756" width="4.5" style="1" customWidth="1"/>
    <col min="10757" max="10757" width="5" style="1" customWidth="1"/>
    <col min="10758" max="10758" width="10.83203125" style="1"/>
    <col min="10759" max="10759" width="9.5" style="1" customWidth="1"/>
    <col min="10760" max="10760" width="5.83203125" style="1" customWidth="1"/>
    <col min="10761" max="10761" width="6.33203125" style="1" customWidth="1"/>
    <col min="10762" max="10762" width="10.83203125" style="1"/>
    <col min="10763" max="10763" width="6.5" style="1" customWidth="1"/>
    <col min="10764" max="10764" width="5.6640625" style="1" customWidth="1"/>
    <col min="10765" max="10765" width="6.1640625" style="1" customWidth="1"/>
    <col min="10766" max="10766" width="10.83203125" style="1"/>
    <col min="10767" max="10767" width="6.33203125" style="1" customWidth="1"/>
    <col min="10768" max="10768" width="6" style="1" customWidth="1"/>
    <col min="10769" max="10769" width="7.1640625" style="1" customWidth="1"/>
    <col min="10770" max="11009" width="10.83203125" style="1"/>
    <col min="11010" max="11010" width="4.33203125" style="1" customWidth="1"/>
    <col min="11011" max="11011" width="26.33203125" style="1" customWidth="1"/>
    <col min="11012" max="11012" width="4.5" style="1" customWidth="1"/>
    <col min="11013" max="11013" width="5" style="1" customWidth="1"/>
    <col min="11014" max="11014" width="10.83203125" style="1"/>
    <col min="11015" max="11015" width="9.5" style="1" customWidth="1"/>
    <col min="11016" max="11016" width="5.83203125" style="1" customWidth="1"/>
    <col min="11017" max="11017" width="6.33203125" style="1" customWidth="1"/>
    <col min="11018" max="11018" width="10.83203125" style="1"/>
    <col min="11019" max="11019" width="6.5" style="1" customWidth="1"/>
    <col min="11020" max="11020" width="5.6640625" style="1" customWidth="1"/>
    <col min="11021" max="11021" width="6.1640625" style="1" customWidth="1"/>
    <col min="11022" max="11022" width="10.83203125" style="1"/>
    <col min="11023" max="11023" width="6.33203125" style="1" customWidth="1"/>
    <col min="11024" max="11024" width="6" style="1" customWidth="1"/>
    <col min="11025" max="11025" width="7.1640625" style="1" customWidth="1"/>
    <col min="11026" max="11265" width="10.83203125" style="1"/>
    <col min="11266" max="11266" width="4.33203125" style="1" customWidth="1"/>
    <col min="11267" max="11267" width="26.33203125" style="1" customWidth="1"/>
    <col min="11268" max="11268" width="4.5" style="1" customWidth="1"/>
    <col min="11269" max="11269" width="5" style="1" customWidth="1"/>
    <col min="11270" max="11270" width="10.83203125" style="1"/>
    <col min="11271" max="11271" width="9.5" style="1" customWidth="1"/>
    <col min="11272" max="11272" width="5.83203125" style="1" customWidth="1"/>
    <col min="11273" max="11273" width="6.33203125" style="1" customWidth="1"/>
    <col min="11274" max="11274" width="10.83203125" style="1"/>
    <col min="11275" max="11275" width="6.5" style="1" customWidth="1"/>
    <col min="11276" max="11276" width="5.6640625" style="1" customWidth="1"/>
    <col min="11277" max="11277" width="6.1640625" style="1" customWidth="1"/>
    <col min="11278" max="11278" width="10.83203125" style="1"/>
    <col min="11279" max="11279" width="6.33203125" style="1" customWidth="1"/>
    <col min="11280" max="11280" width="6" style="1" customWidth="1"/>
    <col min="11281" max="11281" width="7.1640625" style="1" customWidth="1"/>
    <col min="11282" max="11521" width="10.83203125" style="1"/>
    <col min="11522" max="11522" width="4.33203125" style="1" customWidth="1"/>
    <col min="11523" max="11523" width="26.33203125" style="1" customWidth="1"/>
    <col min="11524" max="11524" width="4.5" style="1" customWidth="1"/>
    <col min="11525" max="11525" width="5" style="1" customWidth="1"/>
    <col min="11526" max="11526" width="10.83203125" style="1"/>
    <col min="11527" max="11527" width="9.5" style="1" customWidth="1"/>
    <col min="11528" max="11528" width="5.83203125" style="1" customWidth="1"/>
    <col min="11529" max="11529" width="6.33203125" style="1" customWidth="1"/>
    <col min="11530" max="11530" width="10.83203125" style="1"/>
    <col min="11531" max="11531" width="6.5" style="1" customWidth="1"/>
    <col min="11532" max="11532" width="5.6640625" style="1" customWidth="1"/>
    <col min="11533" max="11533" width="6.1640625" style="1" customWidth="1"/>
    <col min="11534" max="11534" width="10.83203125" style="1"/>
    <col min="11535" max="11535" width="6.33203125" style="1" customWidth="1"/>
    <col min="11536" max="11536" width="6" style="1" customWidth="1"/>
    <col min="11537" max="11537" width="7.1640625" style="1" customWidth="1"/>
    <col min="11538" max="11777" width="10.83203125" style="1"/>
    <col min="11778" max="11778" width="4.33203125" style="1" customWidth="1"/>
    <col min="11779" max="11779" width="26.33203125" style="1" customWidth="1"/>
    <col min="11780" max="11780" width="4.5" style="1" customWidth="1"/>
    <col min="11781" max="11781" width="5" style="1" customWidth="1"/>
    <col min="11782" max="11782" width="10.83203125" style="1"/>
    <col min="11783" max="11783" width="9.5" style="1" customWidth="1"/>
    <col min="11784" max="11784" width="5.83203125" style="1" customWidth="1"/>
    <col min="11785" max="11785" width="6.33203125" style="1" customWidth="1"/>
    <col min="11786" max="11786" width="10.83203125" style="1"/>
    <col min="11787" max="11787" width="6.5" style="1" customWidth="1"/>
    <col min="11788" max="11788" width="5.6640625" style="1" customWidth="1"/>
    <col min="11789" max="11789" width="6.1640625" style="1" customWidth="1"/>
    <col min="11790" max="11790" width="10.83203125" style="1"/>
    <col min="11791" max="11791" width="6.33203125" style="1" customWidth="1"/>
    <col min="11792" max="11792" width="6" style="1" customWidth="1"/>
    <col min="11793" max="11793" width="7.1640625" style="1" customWidth="1"/>
    <col min="11794" max="12033" width="10.83203125" style="1"/>
    <col min="12034" max="12034" width="4.33203125" style="1" customWidth="1"/>
    <col min="12035" max="12035" width="26.33203125" style="1" customWidth="1"/>
    <col min="12036" max="12036" width="4.5" style="1" customWidth="1"/>
    <col min="12037" max="12037" width="5" style="1" customWidth="1"/>
    <col min="12038" max="12038" width="10.83203125" style="1"/>
    <col min="12039" max="12039" width="9.5" style="1" customWidth="1"/>
    <col min="12040" max="12040" width="5.83203125" style="1" customWidth="1"/>
    <col min="12041" max="12041" width="6.33203125" style="1" customWidth="1"/>
    <col min="12042" max="12042" width="10.83203125" style="1"/>
    <col min="12043" max="12043" width="6.5" style="1" customWidth="1"/>
    <col min="12044" max="12044" width="5.6640625" style="1" customWidth="1"/>
    <col min="12045" max="12045" width="6.1640625" style="1" customWidth="1"/>
    <col min="12046" max="12046" width="10.83203125" style="1"/>
    <col min="12047" max="12047" width="6.33203125" style="1" customWidth="1"/>
    <col min="12048" max="12048" width="6" style="1" customWidth="1"/>
    <col min="12049" max="12049" width="7.1640625" style="1" customWidth="1"/>
    <col min="12050" max="12289" width="10.83203125" style="1"/>
    <col min="12290" max="12290" width="4.33203125" style="1" customWidth="1"/>
    <col min="12291" max="12291" width="26.33203125" style="1" customWidth="1"/>
    <col min="12292" max="12292" width="4.5" style="1" customWidth="1"/>
    <col min="12293" max="12293" width="5" style="1" customWidth="1"/>
    <col min="12294" max="12294" width="10.83203125" style="1"/>
    <col min="12295" max="12295" width="9.5" style="1" customWidth="1"/>
    <col min="12296" max="12296" width="5.83203125" style="1" customWidth="1"/>
    <col min="12297" max="12297" width="6.33203125" style="1" customWidth="1"/>
    <col min="12298" max="12298" width="10.83203125" style="1"/>
    <col min="12299" max="12299" width="6.5" style="1" customWidth="1"/>
    <col min="12300" max="12300" width="5.6640625" style="1" customWidth="1"/>
    <col min="12301" max="12301" width="6.1640625" style="1" customWidth="1"/>
    <col min="12302" max="12302" width="10.83203125" style="1"/>
    <col min="12303" max="12303" width="6.33203125" style="1" customWidth="1"/>
    <col min="12304" max="12304" width="6" style="1" customWidth="1"/>
    <col min="12305" max="12305" width="7.1640625" style="1" customWidth="1"/>
    <col min="12306" max="12545" width="10.83203125" style="1"/>
    <col min="12546" max="12546" width="4.33203125" style="1" customWidth="1"/>
    <col min="12547" max="12547" width="26.33203125" style="1" customWidth="1"/>
    <col min="12548" max="12548" width="4.5" style="1" customWidth="1"/>
    <col min="12549" max="12549" width="5" style="1" customWidth="1"/>
    <col min="12550" max="12550" width="10.83203125" style="1"/>
    <col min="12551" max="12551" width="9.5" style="1" customWidth="1"/>
    <col min="12552" max="12552" width="5.83203125" style="1" customWidth="1"/>
    <col min="12553" max="12553" width="6.33203125" style="1" customWidth="1"/>
    <col min="12554" max="12554" width="10.83203125" style="1"/>
    <col min="12555" max="12555" width="6.5" style="1" customWidth="1"/>
    <col min="12556" max="12556" width="5.6640625" style="1" customWidth="1"/>
    <col min="12557" max="12557" width="6.1640625" style="1" customWidth="1"/>
    <col min="12558" max="12558" width="10.83203125" style="1"/>
    <col min="12559" max="12559" width="6.33203125" style="1" customWidth="1"/>
    <col min="12560" max="12560" width="6" style="1" customWidth="1"/>
    <col min="12561" max="12561" width="7.1640625" style="1" customWidth="1"/>
    <col min="12562" max="12801" width="10.83203125" style="1"/>
    <col min="12802" max="12802" width="4.33203125" style="1" customWidth="1"/>
    <col min="12803" max="12803" width="26.33203125" style="1" customWidth="1"/>
    <col min="12804" max="12804" width="4.5" style="1" customWidth="1"/>
    <col min="12805" max="12805" width="5" style="1" customWidth="1"/>
    <col min="12806" max="12806" width="10.83203125" style="1"/>
    <col min="12807" max="12807" width="9.5" style="1" customWidth="1"/>
    <col min="12808" max="12808" width="5.83203125" style="1" customWidth="1"/>
    <col min="12809" max="12809" width="6.33203125" style="1" customWidth="1"/>
    <col min="12810" max="12810" width="10.83203125" style="1"/>
    <col min="12811" max="12811" width="6.5" style="1" customWidth="1"/>
    <col min="12812" max="12812" width="5.6640625" style="1" customWidth="1"/>
    <col min="12813" max="12813" width="6.1640625" style="1" customWidth="1"/>
    <col min="12814" max="12814" width="10.83203125" style="1"/>
    <col min="12815" max="12815" width="6.33203125" style="1" customWidth="1"/>
    <col min="12816" max="12816" width="6" style="1" customWidth="1"/>
    <col min="12817" max="12817" width="7.1640625" style="1" customWidth="1"/>
    <col min="12818" max="13057" width="10.83203125" style="1"/>
    <col min="13058" max="13058" width="4.33203125" style="1" customWidth="1"/>
    <col min="13059" max="13059" width="26.33203125" style="1" customWidth="1"/>
    <col min="13060" max="13060" width="4.5" style="1" customWidth="1"/>
    <col min="13061" max="13061" width="5" style="1" customWidth="1"/>
    <col min="13062" max="13062" width="10.83203125" style="1"/>
    <col min="13063" max="13063" width="9.5" style="1" customWidth="1"/>
    <col min="13064" max="13064" width="5.83203125" style="1" customWidth="1"/>
    <col min="13065" max="13065" width="6.33203125" style="1" customWidth="1"/>
    <col min="13066" max="13066" width="10.83203125" style="1"/>
    <col min="13067" max="13067" width="6.5" style="1" customWidth="1"/>
    <col min="13068" max="13068" width="5.6640625" style="1" customWidth="1"/>
    <col min="13069" max="13069" width="6.1640625" style="1" customWidth="1"/>
    <col min="13070" max="13070" width="10.83203125" style="1"/>
    <col min="13071" max="13071" width="6.33203125" style="1" customWidth="1"/>
    <col min="13072" max="13072" width="6" style="1" customWidth="1"/>
    <col min="13073" max="13073" width="7.1640625" style="1" customWidth="1"/>
    <col min="13074" max="13313" width="10.83203125" style="1"/>
    <col min="13314" max="13314" width="4.33203125" style="1" customWidth="1"/>
    <col min="13315" max="13315" width="26.33203125" style="1" customWidth="1"/>
    <col min="13316" max="13316" width="4.5" style="1" customWidth="1"/>
    <col min="13317" max="13317" width="5" style="1" customWidth="1"/>
    <col min="13318" max="13318" width="10.83203125" style="1"/>
    <col min="13319" max="13319" width="9.5" style="1" customWidth="1"/>
    <col min="13320" max="13320" width="5.83203125" style="1" customWidth="1"/>
    <col min="13321" max="13321" width="6.33203125" style="1" customWidth="1"/>
    <col min="13322" max="13322" width="10.83203125" style="1"/>
    <col min="13323" max="13323" width="6.5" style="1" customWidth="1"/>
    <col min="13324" max="13324" width="5.6640625" style="1" customWidth="1"/>
    <col min="13325" max="13325" width="6.1640625" style="1" customWidth="1"/>
    <col min="13326" max="13326" width="10.83203125" style="1"/>
    <col min="13327" max="13327" width="6.33203125" style="1" customWidth="1"/>
    <col min="13328" max="13328" width="6" style="1" customWidth="1"/>
    <col min="13329" max="13329" width="7.1640625" style="1" customWidth="1"/>
    <col min="13330" max="13569" width="10.83203125" style="1"/>
    <col min="13570" max="13570" width="4.33203125" style="1" customWidth="1"/>
    <col min="13571" max="13571" width="26.33203125" style="1" customWidth="1"/>
    <col min="13572" max="13572" width="4.5" style="1" customWidth="1"/>
    <col min="13573" max="13573" width="5" style="1" customWidth="1"/>
    <col min="13574" max="13574" width="10.83203125" style="1"/>
    <col min="13575" max="13575" width="9.5" style="1" customWidth="1"/>
    <col min="13576" max="13576" width="5.83203125" style="1" customWidth="1"/>
    <col min="13577" max="13577" width="6.33203125" style="1" customWidth="1"/>
    <col min="13578" max="13578" width="10.83203125" style="1"/>
    <col min="13579" max="13579" width="6.5" style="1" customWidth="1"/>
    <col min="13580" max="13580" width="5.6640625" style="1" customWidth="1"/>
    <col min="13581" max="13581" width="6.1640625" style="1" customWidth="1"/>
    <col min="13582" max="13582" width="10.83203125" style="1"/>
    <col min="13583" max="13583" width="6.33203125" style="1" customWidth="1"/>
    <col min="13584" max="13584" width="6" style="1" customWidth="1"/>
    <col min="13585" max="13585" width="7.1640625" style="1" customWidth="1"/>
    <col min="13586" max="13825" width="10.83203125" style="1"/>
    <col min="13826" max="13826" width="4.33203125" style="1" customWidth="1"/>
    <col min="13827" max="13827" width="26.33203125" style="1" customWidth="1"/>
    <col min="13828" max="13828" width="4.5" style="1" customWidth="1"/>
    <col min="13829" max="13829" width="5" style="1" customWidth="1"/>
    <col min="13830" max="13830" width="10.83203125" style="1"/>
    <col min="13831" max="13831" width="9.5" style="1" customWidth="1"/>
    <col min="13832" max="13832" width="5.83203125" style="1" customWidth="1"/>
    <col min="13833" max="13833" width="6.33203125" style="1" customWidth="1"/>
    <col min="13834" max="13834" width="10.83203125" style="1"/>
    <col min="13835" max="13835" width="6.5" style="1" customWidth="1"/>
    <col min="13836" max="13836" width="5.6640625" style="1" customWidth="1"/>
    <col min="13837" max="13837" width="6.1640625" style="1" customWidth="1"/>
    <col min="13838" max="13838" width="10.83203125" style="1"/>
    <col min="13839" max="13839" width="6.33203125" style="1" customWidth="1"/>
    <col min="13840" max="13840" width="6" style="1" customWidth="1"/>
    <col min="13841" max="13841" width="7.1640625" style="1" customWidth="1"/>
    <col min="13842" max="14081" width="10.83203125" style="1"/>
    <col min="14082" max="14082" width="4.33203125" style="1" customWidth="1"/>
    <col min="14083" max="14083" width="26.33203125" style="1" customWidth="1"/>
    <col min="14084" max="14084" width="4.5" style="1" customWidth="1"/>
    <col min="14085" max="14085" width="5" style="1" customWidth="1"/>
    <col min="14086" max="14086" width="10.83203125" style="1"/>
    <col min="14087" max="14087" width="9.5" style="1" customWidth="1"/>
    <col min="14088" max="14088" width="5.83203125" style="1" customWidth="1"/>
    <col min="14089" max="14089" width="6.33203125" style="1" customWidth="1"/>
    <col min="14090" max="14090" width="10.83203125" style="1"/>
    <col min="14091" max="14091" width="6.5" style="1" customWidth="1"/>
    <col min="14092" max="14092" width="5.6640625" style="1" customWidth="1"/>
    <col min="14093" max="14093" width="6.1640625" style="1" customWidth="1"/>
    <col min="14094" max="14094" width="10.83203125" style="1"/>
    <col min="14095" max="14095" width="6.33203125" style="1" customWidth="1"/>
    <col min="14096" max="14096" width="6" style="1" customWidth="1"/>
    <col min="14097" max="14097" width="7.1640625" style="1" customWidth="1"/>
    <col min="14098" max="14337" width="10.83203125" style="1"/>
    <col min="14338" max="14338" width="4.33203125" style="1" customWidth="1"/>
    <col min="14339" max="14339" width="26.33203125" style="1" customWidth="1"/>
    <col min="14340" max="14340" width="4.5" style="1" customWidth="1"/>
    <col min="14341" max="14341" width="5" style="1" customWidth="1"/>
    <col min="14342" max="14342" width="10.83203125" style="1"/>
    <col min="14343" max="14343" width="9.5" style="1" customWidth="1"/>
    <col min="14344" max="14344" width="5.83203125" style="1" customWidth="1"/>
    <col min="14345" max="14345" width="6.33203125" style="1" customWidth="1"/>
    <col min="14346" max="14346" width="10.83203125" style="1"/>
    <col min="14347" max="14347" width="6.5" style="1" customWidth="1"/>
    <col min="14348" max="14348" width="5.6640625" style="1" customWidth="1"/>
    <col min="14349" max="14349" width="6.1640625" style="1" customWidth="1"/>
    <col min="14350" max="14350" width="10.83203125" style="1"/>
    <col min="14351" max="14351" width="6.33203125" style="1" customWidth="1"/>
    <col min="14352" max="14352" width="6" style="1" customWidth="1"/>
    <col min="14353" max="14353" width="7.1640625" style="1" customWidth="1"/>
    <col min="14354" max="14593" width="10.83203125" style="1"/>
    <col min="14594" max="14594" width="4.33203125" style="1" customWidth="1"/>
    <col min="14595" max="14595" width="26.33203125" style="1" customWidth="1"/>
    <col min="14596" max="14596" width="4.5" style="1" customWidth="1"/>
    <col min="14597" max="14597" width="5" style="1" customWidth="1"/>
    <col min="14598" max="14598" width="10.83203125" style="1"/>
    <col min="14599" max="14599" width="9.5" style="1" customWidth="1"/>
    <col min="14600" max="14600" width="5.83203125" style="1" customWidth="1"/>
    <col min="14601" max="14601" width="6.33203125" style="1" customWidth="1"/>
    <col min="14602" max="14602" width="10.83203125" style="1"/>
    <col min="14603" max="14603" width="6.5" style="1" customWidth="1"/>
    <col min="14604" max="14604" width="5.6640625" style="1" customWidth="1"/>
    <col min="14605" max="14605" width="6.1640625" style="1" customWidth="1"/>
    <col min="14606" max="14606" width="10.83203125" style="1"/>
    <col min="14607" max="14607" width="6.33203125" style="1" customWidth="1"/>
    <col min="14608" max="14608" width="6" style="1" customWidth="1"/>
    <col min="14609" max="14609" width="7.1640625" style="1" customWidth="1"/>
    <col min="14610" max="14849" width="10.83203125" style="1"/>
    <col min="14850" max="14850" width="4.33203125" style="1" customWidth="1"/>
    <col min="14851" max="14851" width="26.33203125" style="1" customWidth="1"/>
    <col min="14852" max="14852" width="4.5" style="1" customWidth="1"/>
    <col min="14853" max="14853" width="5" style="1" customWidth="1"/>
    <col min="14854" max="14854" width="10.83203125" style="1"/>
    <col min="14855" max="14855" width="9.5" style="1" customWidth="1"/>
    <col min="14856" max="14856" width="5.83203125" style="1" customWidth="1"/>
    <col min="14857" max="14857" width="6.33203125" style="1" customWidth="1"/>
    <col min="14858" max="14858" width="10.83203125" style="1"/>
    <col min="14859" max="14859" width="6.5" style="1" customWidth="1"/>
    <col min="14860" max="14860" width="5.6640625" style="1" customWidth="1"/>
    <col min="14861" max="14861" width="6.1640625" style="1" customWidth="1"/>
    <col min="14862" max="14862" width="10.83203125" style="1"/>
    <col min="14863" max="14863" width="6.33203125" style="1" customWidth="1"/>
    <col min="14864" max="14864" width="6" style="1" customWidth="1"/>
    <col min="14865" max="14865" width="7.1640625" style="1" customWidth="1"/>
    <col min="14866" max="15105" width="10.83203125" style="1"/>
    <col min="15106" max="15106" width="4.33203125" style="1" customWidth="1"/>
    <col min="15107" max="15107" width="26.33203125" style="1" customWidth="1"/>
    <col min="15108" max="15108" width="4.5" style="1" customWidth="1"/>
    <col min="15109" max="15109" width="5" style="1" customWidth="1"/>
    <col min="15110" max="15110" width="10.83203125" style="1"/>
    <col min="15111" max="15111" width="9.5" style="1" customWidth="1"/>
    <col min="15112" max="15112" width="5.83203125" style="1" customWidth="1"/>
    <col min="15113" max="15113" width="6.33203125" style="1" customWidth="1"/>
    <col min="15114" max="15114" width="10.83203125" style="1"/>
    <col min="15115" max="15115" width="6.5" style="1" customWidth="1"/>
    <col min="15116" max="15116" width="5.6640625" style="1" customWidth="1"/>
    <col min="15117" max="15117" width="6.1640625" style="1" customWidth="1"/>
    <col min="15118" max="15118" width="10.83203125" style="1"/>
    <col min="15119" max="15119" width="6.33203125" style="1" customWidth="1"/>
    <col min="15120" max="15120" width="6" style="1" customWidth="1"/>
    <col min="15121" max="15121" width="7.1640625" style="1" customWidth="1"/>
    <col min="15122" max="15361" width="10.83203125" style="1"/>
    <col min="15362" max="15362" width="4.33203125" style="1" customWidth="1"/>
    <col min="15363" max="15363" width="26.33203125" style="1" customWidth="1"/>
    <col min="15364" max="15364" width="4.5" style="1" customWidth="1"/>
    <col min="15365" max="15365" width="5" style="1" customWidth="1"/>
    <col min="15366" max="15366" width="10.83203125" style="1"/>
    <col min="15367" max="15367" width="9.5" style="1" customWidth="1"/>
    <col min="15368" max="15368" width="5.83203125" style="1" customWidth="1"/>
    <col min="15369" max="15369" width="6.33203125" style="1" customWidth="1"/>
    <col min="15370" max="15370" width="10.83203125" style="1"/>
    <col min="15371" max="15371" width="6.5" style="1" customWidth="1"/>
    <col min="15372" max="15372" width="5.6640625" style="1" customWidth="1"/>
    <col min="15373" max="15373" width="6.1640625" style="1" customWidth="1"/>
    <col min="15374" max="15374" width="10.83203125" style="1"/>
    <col min="15375" max="15375" width="6.33203125" style="1" customWidth="1"/>
    <col min="15376" max="15376" width="6" style="1" customWidth="1"/>
    <col min="15377" max="15377" width="7.1640625" style="1" customWidth="1"/>
    <col min="15378" max="15617" width="10.83203125" style="1"/>
    <col min="15618" max="15618" width="4.33203125" style="1" customWidth="1"/>
    <col min="15619" max="15619" width="26.33203125" style="1" customWidth="1"/>
    <col min="15620" max="15620" width="4.5" style="1" customWidth="1"/>
    <col min="15621" max="15621" width="5" style="1" customWidth="1"/>
    <col min="15622" max="15622" width="10.83203125" style="1"/>
    <col min="15623" max="15623" width="9.5" style="1" customWidth="1"/>
    <col min="15624" max="15624" width="5.83203125" style="1" customWidth="1"/>
    <col min="15625" max="15625" width="6.33203125" style="1" customWidth="1"/>
    <col min="15626" max="15626" width="10.83203125" style="1"/>
    <col min="15627" max="15627" width="6.5" style="1" customWidth="1"/>
    <col min="15628" max="15628" width="5.6640625" style="1" customWidth="1"/>
    <col min="15629" max="15629" width="6.1640625" style="1" customWidth="1"/>
    <col min="15630" max="15630" width="10.83203125" style="1"/>
    <col min="15631" max="15631" width="6.33203125" style="1" customWidth="1"/>
    <col min="15632" max="15632" width="6" style="1" customWidth="1"/>
    <col min="15633" max="15633" width="7.1640625" style="1" customWidth="1"/>
    <col min="15634" max="15873" width="10.83203125" style="1"/>
    <col min="15874" max="15874" width="4.33203125" style="1" customWidth="1"/>
    <col min="15875" max="15875" width="26.33203125" style="1" customWidth="1"/>
    <col min="15876" max="15876" width="4.5" style="1" customWidth="1"/>
    <col min="15877" max="15877" width="5" style="1" customWidth="1"/>
    <col min="15878" max="15878" width="10.83203125" style="1"/>
    <col min="15879" max="15879" width="9.5" style="1" customWidth="1"/>
    <col min="15880" max="15880" width="5.83203125" style="1" customWidth="1"/>
    <col min="15881" max="15881" width="6.33203125" style="1" customWidth="1"/>
    <col min="15882" max="15882" width="10.83203125" style="1"/>
    <col min="15883" max="15883" width="6.5" style="1" customWidth="1"/>
    <col min="15884" max="15884" width="5.6640625" style="1" customWidth="1"/>
    <col min="15885" max="15885" width="6.1640625" style="1" customWidth="1"/>
    <col min="15886" max="15886" width="10.83203125" style="1"/>
    <col min="15887" max="15887" width="6.33203125" style="1" customWidth="1"/>
    <col min="15888" max="15888" width="6" style="1" customWidth="1"/>
    <col min="15889" max="15889" width="7.1640625" style="1" customWidth="1"/>
    <col min="15890" max="16129" width="10.83203125" style="1"/>
    <col min="16130" max="16130" width="4.33203125" style="1" customWidth="1"/>
    <col min="16131" max="16131" width="26.33203125" style="1" customWidth="1"/>
    <col min="16132" max="16132" width="4.5" style="1" customWidth="1"/>
    <col min="16133" max="16133" width="5" style="1" customWidth="1"/>
    <col min="16134" max="16134" width="10.83203125" style="1"/>
    <col min="16135" max="16135" width="9.5" style="1" customWidth="1"/>
    <col min="16136" max="16136" width="5.83203125" style="1" customWidth="1"/>
    <col min="16137" max="16137" width="6.33203125" style="1" customWidth="1"/>
    <col min="16138" max="16138" width="10.83203125" style="1"/>
    <col min="16139" max="16139" width="6.5" style="1" customWidth="1"/>
    <col min="16140" max="16140" width="5.6640625" style="1" customWidth="1"/>
    <col min="16141" max="16141" width="6.1640625" style="1" customWidth="1"/>
    <col min="16142" max="16142" width="10.83203125" style="1"/>
    <col min="16143" max="16143" width="6.33203125" style="1" customWidth="1"/>
    <col min="16144" max="16144" width="6" style="1" customWidth="1"/>
    <col min="16145" max="16145" width="7.1640625" style="1" customWidth="1"/>
    <col min="16146" max="16384" width="10.83203125" style="1"/>
  </cols>
  <sheetData>
    <row r="1" spans="2:24" ht="14" thickBot="1"/>
    <row r="2" spans="2:24" ht="16" customHeight="1">
      <c r="B2" s="449" t="s">
        <v>20</v>
      </c>
      <c r="C2" s="450"/>
      <c r="F2" s="372"/>
      <c r="G2" s="387"/>
      <c r="H2" s="387"/>
      <c r="I2" s="387"/>
      <c r="J2" s="387"/>
      <c r="K2" s="386"/>
    </row>
    <row r="3" spans="2:24">
      <c r="B3" s="381" t="s">
        <v>21</v>
      </c>
      <c r="C3" s="383" t="s">
        <v>22</v>
      </c>
      <c r="F3" s="388" t="s">
        <v>23</v>
      </c>
      <c r="K3" s="383"/>
    </row>
    <row r="4" spans="2:24">
      <c r="B4" s="389" t="s">
        <v>793</v>
      </c>
      <c r="C4" s="383" t="s">
        <v>27</v>
      </c>
      <c r="F4" s="373"/>
      <c r="K4" s="383"/>
      <c r="M4" s="1" t="s">
        <v>24</v>
      </c>
      <c r="N4" s="4" t="s">
        <v>16</v>
      </c>
      <c r="O4" s="4" t="s">
        <v>17</v>
      </c>
      <c r="P4" s="4" t="s">
        <v>18</v>
      </c>
      <c r="Q4" s="1" t="s">
        <v>25</v>
      </c>
      <c r="R4" s="4" t="s">
        <v>16</v>
      </c>
      <c r="S4" s="4" t="s">
        <v>17</v>
      </c>
      <c r="T4" s="4" t="s">
        <v>18</v>
      </c>
      <c r="U4" s="1" t="s">
        <v>26</v>
      </c>
      <c r="V4" s="4" t="s">
        <v>16</v>
      </c>
      <c r="W4" s="4" t="s">
        <v>17</v>
      </c>
      <c r="X4" s="4" t="s">
        <v>18</v>
      </c>
    </row>
    <row r="5" spans="2:24">
      <c r="B5" s="373"/>
      <c r="C5" s="383" t="s">
        <v>29</v>
      </c>
      <c r="F5" s="389" t="s">
        <v>741</v>
      </c>
      <c r="K5" s="383"/>
      <c r="L5" s="1" t="s">
        <v>28</v>
      </c>
      <c r="M5" s="1">
        <v>315</v>
      </c>
      <c r="N5" s="1">
        <v>0.01</v>
      </c>
      <c r="O5" s="13">
        <f>N5*$M$5</f>
        <v>3.15</v>
      </c>
      <c r="P5" s="1">
        <v>0.999</v>
      </c>
      <c r="Q5" s="1">
        <v>125</v>
      </c>
      <c r="R5" s="1">
        <v>0.01</v>
      </c>
      <c r="S5" s="13">
        <f t="shared" ref="S5:S12" si="0">R5*$Q$5</f>
        <v>1.25</v>
      </c>
      <c r="T5" s="1">
        <v>0.998</v>
      </c>
      <c r="U5" s="1">
        <v>315</v>
      </c>
      <c r="V5" s="1">
        <v>0.01</v>
      </c>
      <c r="W5" s="13">
        <f>V5*$U$5</f>
        <v>3.15</v>
      </c>
      <c r="X5" s="1">
        <v>0.995</v>
      </c>
    </row>
    <row r="6" spans="2:24">
      <c r="B6" s="373"/>
      <c r="C6" s="383" t="s">
        <v>31</v>
      </c>
      <c r="F6" s="373"/>
      <c r="K6" s="383"/>
      <c r="L6" s="1" t="s">
        <v>30</v>
      </c>
      <c r="M6" s="1">
        <v>10</v>
      </c>
      <c r="N6" s="1">
        <v>0.02</v>
      </c>
      <c r="O6" s="13">
        <f>N6*$M$5</f>
        <v>6.3</v>
      </c>
      <c r="P6" s="1">
        <v>0.94399999999999995</v>
      </c>
      <c r="Q6" s="1">
        <v>5</v>
      </c>
      <c r="R6" s="1">
        <v>0.02</v>
      </c>
      <c r="S6" s="13">
        <f t="shared" si="0"/>
        <v>2.5</v>
      </c>
      <c r="T6" s="1">
        <v>0.95799999999999996</v>
      </c>
      <c r="U6" s="1">
        <v>8</v>
      </c>
      <c r="V6" s="1">
        <v>0.02</v>
      </c>
      <c r="W6" s="13">
        <f>V6*$U$5</f>
        <v>6.3</v>
      </c>
      <c r="X6" s="1">
        <v>0.81499999999999995</v>
      </c>
    </row>
    <row r="7" spans="2:24">
      <c r="B7" s="373"/>
      <c r="C7" s="383" t="s">
        <v>32</v>
      </c>
      <c r="F7" s="373"/>
      <c r="K7" s="383"/>
      <c r="N7" s="1">
        <v>0.03</v>
      </c>
      <c r="O7" s="13">
        <f>N7*$M$5</f>
        <v>9.4499999999999993</v>
      </c>
      <c r="P7" s="1">
        <v>0.65100000000000002</v>
      </c>
      <c r="R7" s="1">
        <v>0.03</v>
      </c>
      <c r="S7" s="13">
        <f t="shared" si="0"/>
        <v>3.75</v>
      </c>
      <c r="T7" s="1">
        <v>0.82299999999999995</v>
      </c>
      <c r="V7" s="1">
        <v>0.03</v>
      </c>
      <c r="W7" s="13">
        <f>V7*$U$5</f>
        <v>9.4499999999999993</v>
      </c>
      <c r="X7" s="1">
        <v>0.40400000000000003</v>
      </c>
    </row>
    <row r="8" spans="2:24" ht="14" thickBot="1">
      <c r="B8" s="375"/>
      <c r="C8" s="377" t="s">
        <v>33</v>
      </c>
      <c r="F8" s="373"/>
      <c r="K8" s="383"/>
      <c r="N8" s="1">
        <v>0.04</v>
      </c>
      <c r="O8" s="13">
        <f>N8*$M$5</f>
        <v>12.6</v>
      </c>
      <c r="P8" s="1">
        <v>0.28799999999999998</v>
      </c>
      <c r="R8" s="1">
        <v>0.04</v>
      </c>
      <c r="S8" s="13">
        <f t="shared" si="0"/>
        <v>5</v>
      </c>
      <c r="T8" s="1">
        <v>0.61599999999999999</v>
      </c>
      <c r="V8" s="1">
        <v>0.04</v>
      </c>
      <c r="W8" s="13">
        <f>V8*$U$5</f>
        <v>12.6</v>
      </c>
      <c r="X8" s="1">
        <v>0.12</v>
      </c>
    </row>
    <row r="9" spans="2:24">
      <c r="F9" s="373"/>
      <c r="K9" s="383"/>
      <c r="N9" s="1">
        <v>0.05</v>
      </c>
      <c r="O9" s="13">
        <f>N9*$M$5</f>
        <v>15.75</v>
      </c>
      <c r="P9" s="1">
        <v>9.1999999999999998E-2</v>
      </c>
      <c r="R9" s="1">
        <v>0.05</v>
      </c>
      <c r="S9" s="13">
        <f t="shared" si="0"/>
        <v>6.25</v>
      </c>
      <c r="T9" s="1">
        <v>0.40600000000000003</v>
      </c>
      <c r="V9" s="1">
        <v>0.05</v>
      </c>
      <c r="W9" s="13">
        <f>V9*$U$5</f>
        <v>15.75</v>
      </c>
      <c r="X9" s="1">
        <v>2.5000000000000001E-2</v>
      </c>
    </row>
    <row r="10" spans="2:24">
      <c r="F10" s="373"/>
      <c r="K10" s="383"/>
      <c r="R10" s="1">
        <v>0.06</v>
      </c>
      <c r="S10" s="13">
        <f t="shared" si="0"/>
        <v>7.5</v>
      </c>
      <c r="T10" s="1">
        <v>0.24099999999999999</v>
      </c>
    </row>
    <row r="11" spans="2:24">
      <c r="F11" s="373"/>
      <c r="K11" s="383"/>
      <c r="R11" s="1">
        <v>7.0000000000000007E-2</v>
      </c>
      <c r="S11" s="13">
        <f t="shared" si="0"/>
        <v>8.75</v>
      </c>
      <c r="T11" s="1">
        <v>0.128</v>
      </c>
    </row>
    <row r="12" spans="2:24">
      <c r="F12" s="373"/>
      <c r="K12" s="383"/>
      <c r="M12" s="1" t="s">
        <v>18</v>
      </c>
      <c r="N12" s="1" t="s">
        <v>18</v>
      </c>
      <c r="O12" s="1" t="s">
        <v>18</v>
      </c>
      <c r="R12" s="1">
        <v>0.08</v>
      </c>
      <c r="S12" s="13">
        <f t="shared" si="0"/>
        <v>10</v>
      </c>
      <c r="T12" s="1">
        <v>7.0000000000000007E-2</v>
      </c>
    </row>
    <row r="13" spans="2:24">
      <c r="F13" s="373"/>
      <c r="K13" s="383"/>
      <c r="L13" s="4" t="s">
        <v>16</v>
      </c>
      <c r="M13" s="1" t="s">
        <v>34</v>
      </c>
      <c r="N13" s="1" t="s">
        <v>35</v>
      </c>
      <c r="O13" s="1" t="s">
        <v>36</v>
      </c>
    </row>
    <row r="14" spans="2:24">
      <c r="F14" s="373"/>
      <c r="K14" s="383"/>
      <c r="L14" s="1">
        <v>0.01</v>
      </c>
      <c r="M14" s="1">
        <v>0.999</v>
      </c>
      <c r="N14" s="1">
        <f>T5</f>
        <v>0.998</v>
      </c>
      <c r="O14" s="1">
        <v>0.995</v>
      </c>
    </row>
    <row r="15" spans="2:24">
      <c r="F15" s="373"/>
      <c r="K15" s="383"/>
      <c r="L15" s="1">
        <v>0.02</v>
      </c>
      <c r="M15" s="1">
        <v>0.94399999999999995</v>
      </c>
      <c r="N15" s="1">
        <f t="shared" ref="N15:N21" si="1">T6</f>
        <v>0.95799999999999996</v>
      </c>
      <c r="O15" s="1">
        <v>0.81499999999999995</v>
      </c>
    </row>
    <row r="16" spans="2:24">
      <c r="F16" s="373"/>
      <c r="K16" s="383"/>
      <c r="L16" s="1">
        <v>0.03</v>
      </c>
      <c r="M16" s="1">
        <v>0.65100000000000002</v>
      </c>
      <c r="N16" s="1">
        <f t="shared" si="1"/>
        <v>0.82299999999999995</v>
      </c>
      <c r="O16" s="1">
        <v>0.40400000000000003</v>
      </c>
    </row>
    <row r="17" spans="2:15">
      <c r="F17" s="373"/>
      <c r="K17" s="383"/>
      <c r="L17" s="1">
        <v>0.04</v>
      </c>
      <c r="M17" s="1">
        <v>0.28799999999999998</v>
      </c>
      <c r="N17" s="1">
        <f t="shared" si="1"/>
        <v>0.61599999999999999</v>
      </c>
      <c r="O17" s="1">
        <v>0.12</v>
      </c>
    </row>
    <row r="18" spans="2:15">
      <c r="F18" s="373"/>
      <c r="K18" s="383"/>
      <c r="L18" s="1">
        <v>0.05</v>
      </c>
      <c r="M18" s="1">
        <v>9.1999999999999998E-2</v>
      </c>
      <c r="N18" s="1">
        <f t="shared" si="1"/>
        <v>0.40600000000000003</v>
      </c>
      <c r="O18" s="1">
        <v>2.5000000000000001E-2</v>
      </c>
    </row>
    <row r="19" spans="2:15">
      <c r="F19" s="373"/>
      <c r="K19" s="383"/>
      <c r="L19" s="1">
        <v>0.06</v>
      </c>
      <c r="N19" s="1">
        <f t="shared" si="1"/>
        <v>0.24099999999999999</v>
      </c>
    </row>
    <row r="20" spans="2:15" ht="14" thickBot="1">
      <c r="F20" s="373"/>
      <c r="K20" s="383"/>
      <c r="L20" s="1">
        <v>7.0000000000000007E-2</v>
      </c>
      <c r="N20" s="1">
        <f t="shared" si="1"/>
        <v>0.128</v>
      </c>
    </row>
    <row r="21" spans="2:15">
      <c r="B21" s="449" t="s">
        <v>37</v>
      </c>
      <c r="C21" s="450"/>
      <c r="F21" s="373"/>
      <c r="K21" s="383"/>
      <c r="N21" s="1">
        <f t="shared" si="1"/>
        <v>7.0000000000000007E-2</v>
      </c>
    </row>
    <row r="22" spans="2:15" ht="14" thickBot="1">
      <c r="B22" s="381" t="s">
        <v>38</v>
      </c>
      <c r="C22" s="383" t="s">
        <v>39</v>
      </c>
      <c r="F22" s="375"/>
      <c r="G22" s="376"/>
      <c r="H22" s="376"/>
      <c r="I22" s="376"/>
      <c r="J22" s="376"/>
      <c r="K22" s="377"/>
    </row>
    <row r="23" spans="2:15">
      <c r="B23" s="389" t="s">
        <v>793</v>
      </c>
      <c r="C23" s="383" t="s">
        <v>27</v>
      </c>
    </row>
    <row r="24" spans="2:15">
      <c r="B24" s="373"/>
      <c r="C24" s="384" t="s">
        <v>40</v>
      </c>
    </row>
    <row r="25" spans="2:15">
      <c r="B25" s="385">
        <f>0.05/0.015</f>
        <v>3.3333333333333335</v>
      </c>
      <c r="C25" s="383" t="s">
        <v>41</v>
      </c>
    </row>
    <row r="26" spans="2:15" ht="14" thickBot="1">
      <c r="B26" s="375"/>
      <c r="C26" s="377" t="s">
        <v>42</v>
      </c>
    </row>
    <row r="27" spans="2:15" ht="14" thickBot="1"/>
    <row r="28" spans="2:15">
      <c r="B28" s="372"/>
      <c r="C28" s="387"/>
      <c r="D28" s="387"/>
      <c r="E28" s="387"/>
      <c r="F28" s="387"/>
      <c r="G28" s="387"/>
      <c r="H28" s="387"/>
      <c r="I28" s="387"/>
      <c r="J28" s="387"/>
      <c r="K28" s="387"/>
      <c r="L28" s="386"/>
    </row>
    <row r="29" spans="2:15">
      <c r="B29" s="373"/>
      <c r="L29" s="383"/>
    </row>
    <row r="30" spans="2:15">
      <c r="B30" s="381" t="s">
        <v>43</v>
      </c>
      <c r="L30" s="383"/>
    </row>
    <row r="31" spans="2:15">
      <c r="B31" s="373"/>
      <c r="L31" s="383"/>
    </row>
    <row r="32" spans="2:15">
      <c r="B32" s="389" t="s">
        <v>741</v>
      </c>
      <c r="L32" s="383"/>
      <c r="M32" s="1" t="s">
        <v>30</v>
      </c>
      <c r="N32" s="1">
        <v>12</v>
      </c>
    </row>
    <row r="33" spans="2:16">
      <c r="B33" s="373"/>
      <c r="L33" s="383"/>
      <c r="M33" s="1" t="s">
        <v>28</v>
      </c>
      <c r="N33" s="1">
        <v>218</v>
      </c>
    </row>
    <row r="34" spans="2:16">
      <c r="B34" s="373"/>
      <c r="L34" s="383"/>
      <c r="M34" s="4" t="s">
        <v>16</v>
      </c>
      <c r="N34" s="4" t="s">
        <v>17</v>
      </c>
      <c r="O34" s="4" t="s">
        <v>18</v>
      </c>
      <c r="P34" s="4" t="s">
        <v>44</v>
      </c>
    </row>
    <row r="35" spans="2:16">
      <c r="B35" s="373"/>
      <c r="L35" s="383"/>
      <c r="M35" s="1">
        <v>0.01</v>
      </c>
      <c r="N35" s="1">
        <f t="shared" ref="N35:N43" si="2">M35*$N$33</f>
        <v>2.1800000000000002</v>
      </c>
      <c r="O35" s="1">
        <v>1</v>
      </c>
      <c r="P35" s="1">
        <f>M35*O35</f>
        <v>0.01</v>
      </c>
    </row>
    <row r="36" spans="2:16">
      <c r="B36" s="373"/>
      <c r="L36" s="383"/>
      <c r="M36" s="1">
        <v>0.02</v>
      </c>
      <c r="N36" s="1">
        <f t="shared" si="2"/>
        <v>4.3600000000000003</v>
      </c>
      <c r="O36" s="1">
        <v>0.999</v>
      </c>
      <c r="P36" s="1">
        <f t="shared" ref="P36:P43" si="3">M36*O36</f>
        <v>1.9980000000000001E-2</v>
      </c>
    </row>
    <row r="37" spans="2:16">
      <c r="B37" s="373"/>
      <c r="L37" s="383"/>
      <c r="M37" s="1">
        <v>0.03</v>
      </c>
      <c r="N37" s="1">
        <f t="shared" si="2"/>
        <v>6.54</v>
      </c>
      <c r="O37" s="1">
        <v>0.98299999999999998</v>
      </c>
      <c r="P37" s="1">
        <f t="shared" si="3"/>
        <v>2.9489999999999999E-2</v>
      </c>
    </row>
    <row r="38" spans="2:16">
      <c r="B38" s="373"/>
      <c r="L38" s="383"/>
      <c r="M38" s="1">
        <v>0.04</v>
      </c>
      <c r="N38" s="1">
        <f t="shared" si="2"/>
        <v>8.7200000000000006</v>
      </c>
      <c r="O38" s="1">
        <v>0.83099999999999996</v>
      </c>
      <c r="P38" s="1">
        <f t="shared" si="3"/>
        <v>3.3239999999999999E-2</v>
      </c>
    </row>
    <row r="39" spans="2:16">
      <c r="B39" s="373"/>
      <c r="L39" s="383"/>
      <c r="M39" s="1">
        <v>0.05</v>
      </c>
      <c r="N39" s="1">
        <f t="shared" si="2"/>
        <v>10.9</v>
      </c>
      <c r="O39" s="1">
        <v>0.71</v>
      </c>
      <c r="P39" s="1">
        <f t="shared" si="3"/>
        <v>3.5499999999999997E-2</v>
      </c>
    </row>
    <row r="40" spans="2:16">
      <c r="B40" s="373"/>
      <c r="L40" s="383"/>
      <c r="M40" s="1">
        <v>0.06</v>
      </c>
      <c r="N40" s="1">
        <f t="shared" si="2"/>
        <v>13.08</v>
      </c>
      <c r="O40" s="1">
        <v>0.46300000000000002</v>
      </c>
      <c r="P40" s="1">
        <f t="shared" si="3"/>
        <v>2.7779999999999999E-2</v>
      </c>
    </row>
    <row r="41" spans="2:16">
      <c r="B41" s="373"/>
      <c r="L41" s="383"/>
      <c r="M41" s="1">
        <v>7.0000000000000007E-2</v>
      </c>
      <c r="N41" s="1">
        <f t="shared" si="2"/>
        <v>15.260000000000002</v>
      </c>
      <c r="O41" s="1">
        <v>0.251</v>
      </c>
      <c r="P41" s="1">
        <f t="shared" si="3"/>
        <v>1.7570000000000002E-2</v>
      </c>
    </row>
    <row r="42" spans="2:16">
      <c r="B42" s="373"/>
      <c r="L42" s="383"/>
      <c r="M42" s="1">
        <v>0.08</v>
      </c>
      <c r="N42" s="1">
        <f t="shared" si="2"/>
        <v>17.440000000000001</v>
      </c>
      <c r="O42" s="1">
        <v>0.11600000000000001</v>
      </c>
      <c r="P42" s="1">
        <f t="shared" si="3"/>
        <v>9.2800000000000001E-3</v>
      </c>
    </row>
    <row r="43" spans="2:16">
      <c r="B43" s="373"/>
      <c r="L43" s="383"/>
      <c r="M43" s="1">
        <v>0.09</v>
      </c>
      <c r="N43" s="1">
        <f t="shared" si="2"/>
        <v>19.62</v>
      </c>
      <c r="O43" s="1">
        <v>4.7E-2</v>
      </c>
      <c r="P43" s="1">
        <f t="shared" si="3"/>
        <v>4.2300000000000003E-3</v>
      </c>
    </row>
    <row r="44" spans="2:16">
      <c r="B44" s="373"/>
      <c r="L44" s="383"/>
    </row>
    <row r="45" spans="2:16">
      <c r="B45" s="373"/>
      <c r="L45" s="383"/>
    </row>
    <row r="46" spans="2:16">
      <c r="B46" s="373"/>
      <c r="L46" s="383"/>
    </row>
    <row r="47" spans="2:16">
      <c r="B47" s="373"/>
      <c r="L47" s="383"/>
    </row>
    <row r="48" spans="2:16" ht="14" thickBot="1">
      <c r="B48" s="375"/>
      <c r="C48" s="376"/>
      <c r="D48" s="376"/>
      <c r="E48" s="376"/>
      <c r="F48" s="376"/>
      <c r="G48" s="376"/>
      <c r="H48" s="376"/>
      <c r="I48" s="376"/>
      <c r="J48" s="376"/>
      <c r="K48" s="376"/>
      <c r="L48" s="377"/>
    </row>
  </sheetData>
  <mergeCells count="2">
    <mergeCell ref="B21:C21"/>
    <mergeCell ref="B2:C2"/>
  </mergeCells>
  <pageMargins left="0.75" right="0.75" top="1" bottom="1" header="0.5" footer="0.5"/>
  <pageSetup paperSize="0" orientation="portrait" horizontalDpi="4294967292" verticalDpi="4294967292"/>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9760-0386-9741-ABE5-205F6F16FF1D}">
  <dimension ref="C3:H33"/>
  <sheetViews>
    <sheetView topLeftCell="A4" zoomScale="120" zoomScaleNormal="120" zoomScalePageLayoutView="150" workbookViewId="0">
      <selection activeCell="M31" sqref="M31"/>
    </sheetView>
  </sheetViews>
  <sheetFormatPr baseColWidth="10" defaultRowHeight="16"/>
  <cols>
    <col min="2000" max="2000" width="2.5" customWidth="1"/>
  </cols>
  <sheetData>
    <row r="3" spans="3:6">
      <c r="C3" s="107" t="s">
        <v>16</v>
      </c>
      <c r="D3" s="83">
        <v>3.5000000000000003E-2</v>
      </c>
    </row>
    <row r="4" spans="3:6">
      <c r="C4" s="107" t="s">
        <v>0</v>
      </c>
      <c r="D4" s="83">
        <v>2.5000000000000001E-2</v>
      </c>
    </row>
    <row r="5" spans="3:6">
      <c r="C5" s="107" t="s">
        <v>55</v>
      </c>
      <c r="D5" s="83">
        <v>0.05</v>
      </c>
    </row>
    <row r="8" spans="3:6">
      <c r="C8" s="107" t="s">
        <v>21</v>
      </c>
      <c r="D8" t="s">
        <v>57</v>
      </c>
      <c r="E8" t="s">
        <v>319</v>
      </c>
    </row>
    <row r="9" spans="3:6">
      <c r="D9" t="s">
        <v>5</v>
      </c>
      <c r="E9">
        <v>18</v>
      </c>
    </row>
    <row r="10" spans="3:6">
      <c r="D10" t="s">
        <v>101</v>
      </c>
      <c r="E10">
        <f>E11/D4</f>
        <v>460</v>
      </c>
    </row>
    <row r="11" spans="3:6">
      <c r="D11" t="s">
        <v>17</v>
      </c>
      <c r="E11">
        <v>11.5</v>
      </c>
    </row>
    <row r="14" spans="3:6">
      <c r="C14" s="107" t="s">
        <v>23</v>
      </c>
    </row>
    <row r="15" spans="3:6">
      <c r="C15" s="64" t="s">
        <v>16</v>
      </c>
      <c r="D15" s="64" t="s">
        <v>17</v>
      </c>
      <c r="E15" s="64" t="s">
        <v>18</v>
      </c>
      <c r="F15" s="64" t="s">
        <v>45</v>
      </c>
    </row>
    <row r="16" spans="3:6">
      <c r="C16">
        <v>0.01</v>
      </c>
      <c r="D16">
        <f>C16*460</f>
        <v>4.6000000000000005</v>
      </c>
      <c r="E16" s="155">
        <f>POISSON(18,D16,TRUE)</f>
        <v>0.99999958186035709</v>
      </c>
      <c r="F16" s="135">
        <f>C16*E16</f>
        <v>9.9999958186035715E-3</v>
      </c>
    </row>
    <row r="17" spans="3:8">
      <c r="C17">
        <v>0.02</v>
      </c>
      <c r="D17">
        <f t="shared" ref="D17:D26" si="0">C17*460</f>
        <v>9.2000000000000011</v>
      </c>
      <c r="E17" s="155">
        <f t="shared" ref="E17:E26" si="1">POISSON(18,D17,TRUE)</f>
        <v>0.99693402655377028</v>
      </c>
      <c r="F17" s="135">
        <f t="shared" ref="F17:F26" si="2">C17*E17</f>
        <v>1.9938680531075406E-2</v>
      </c>
    </row>
    <row r="18" spans="3:8">
      <c r="C18">
        <v>0.03</v>
      </c>
      <c r="D18">
        <f t="shared" si="0"/>
        <v>13.799999999999999</v>
      </c>
      <c r="E18" s="155">
        <f t="shared" si="1"/>
        <v>0.89341391247082691</v>
      </c>
      <c r="F18" s="135">
        <f t="shared" si="2"/>
        <v>2.6802417374124806E-2</v>
      </c>
    </row>
    <row r="19" spans="3:8">
      <c r="C19">
        <v>3.5000000000000003E-2</v>
      </c>
      <c r="D19">
        <f t="shared" si="0"/>
        <v>16.100000000000001</v>
      </c>
      <c r="E19" s="155">
        <f t="shared" si="1"/>
        <v>0.73399747766741963</v>
      </c>
      <c r="F19" s="135">
        <f t="shared" si="2"/>
        <v>2.568991171835969E-2</v>
      </c>
    </row>
    <row r="20" spans="3:8">
      <c r="C20">
        <v>0.04</v>
      </c>
      <c r="D20">
        <f t="shared" si="0"/>
        <v>18.400000000000002</v>
      </c>
      <c r="E20" s="155">
        <f t="shared" si="1"/>
        <v>0.52486084425444046</v>
      </c>
      <c r="F20" s="135">
        <f t="shared" si="2"/>
        <v>2.0994433770177619E-2</v>
      </c>
    </row>
    <row r="21" spans="3:8">
      <c r="C21">
        <v>0.05</v>
      </c>
      <c r="D21">
        <f t="shared" si="0"/>
        <v>23</v>
      </c>
      <c r="E21" s="155">
        <f t="shared" si="1"/>
        <v>0.17476871956919537</v>
      </c>
      <c r="F21" s="135">
        <f t="shared" si="2"/>
        <v>8.7384359784597691E-3</v>
      </c>
    </row>
    <row r="22" spans="3:8">
      <c r="C22">
        <v>0.06</v>
      </c>
      <c r="D22">
        <f t="shared" si="0"/>
        <v>27.599999999999998</v>
      </c>
      <c r="E22" s="155">
        <f t="shared" si="1"/>
        <v>3.5190319126632091E-2</v>
      </c>
      <c r="F22" s="135">
        <f t="shared" si="2"/>
        <v>2.1114191475979254E-3</v>
      </c>
    </row>
    <row r="23" spans="3:8">
      <c r="C23">
        <v>7.0000000000000007E-2</v>
      </c>
      <c r="D23">
        <f t="shared" si="0"/>
        <v>32.200000000000003</v>
      </c>
      <c r="E23" s="155">
        <f t="shared" si="1"/>
        <v>4.7488860596386091E-3</v>
      </c>
      <c r="F23" s="135">
        <f t="shared" si="2"/>
        <v>3.3242202417470268E-4</v>
      </c>
    </row>
    <row r="24" spans="3:8">
      <c r="C24">
        <v>0.08</v>
      </c>
      <c r="D24">
        <f t="shared" si="0"/>
        <v>36.800000000000004</v>
      </c>
      <c r="E24" s="155">
        <f t="shared" si="1"/>
        <v>4.6797341199123448E-4</v>
      </c>
      <c r="F24" s="135">
        <f t="shared" si="2"/>
        <v>3.7437872959298761E-5</v>
      </c>
    </row>
    <row r="25" spans="3:8">
      <c r="C25">
        <v>0.09</v>
      </c>
      <c r="D25">
        <f t="shared" si="0"/>
        <v>41.4</v>
      </c>
      <c r="E25" s="155">
        <f t="shared" si="1"/>
        <v>3.591414822197216E-5</v>
      </c>
      <c r="F25" s="135">
        <f t="shared" si="2"/>
        <v>3.2322733399774941E-6</v>
      </c>
    </row>
    <row r="26" spans="3:8">
      <c r="C26">
        <v>0.1</v>
      </c>
      <c r="D26">
        <f t="shared" si="0"/>
        <v>46</v>
      </c>
      <c r="E26" s="155">
        <f t="shared" si="1"/>
        <v>2.2513610123216842E-6</v>
      </c>
      <c r="F26" s="135">
        <f t="shared" si="2"/>
        <v>2.2513610123216843E-7</v>
      </c>
    </row>
    <row r="28" spans="3:8">
      <c r="C28" t="s">
        <v>320</v>
      </c>
    </row>
    <row r="30" spans="3:8">
      <c r="C30" s="158" t="s">
        <v>60</v>
      </c>
      <c r="D30" s="156" t="s">
        <v>321</v>
      </c>
      <c r="E30" s="156"/>
      <c r="F30" s="156"/>
      <c r="G30" s="156"/>
      <c r="H30" s="156"/>
    </row>
    <row r="31" spans="3:8">
      <c r="C31" s="156"/>
      <c r="D31" s="156" t="s">
        <v>101</v>
      </c>
      <c r="E31" s="156">
        <v>180</v>
      </c>
      <c r="F31" s="156"/>
      <c r="G31" s="156"/>
      <c r="H31" s="156"/>
    </row>
    <row r="32" spans="3:8">
      <c r="C32" s="156"/>
      <c r="D32" s="156" t="s">
        <v>5</v>
      </c>
      <c r="E32" s="156">
        <v>5</v>
      </c>
      <c r="F32" s="156"/>
      <c r="G32" s="156"/>
      <c r="H32" s="156"/>
    </row>
    <row r="33" spans="3:8">
      <c r="C33" s="156"/>
      <c r="D33" s="156" t="s">
        <v>116</v>
      </c>
      <c r="E33" s="157">
        <v>1.6E-2</v>
      </c>
      <c r="F33" s="156"/>
      <c r="G33" s="156"/>
      <c r="H33" s="156"/>
    </row>
  </sheetData>
  <pageMargins left="0.75" right="0.75" top="1" bottom="1" header="0.5" footer="0.5"/>
  <pageSetup orientation="portrait" horizontalDpi="4294967292" verticalDpi="429496729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7658-9D2B-F941-94C3-CE63BEF2062F}">
  <dimension ref="A1:D25"/>
  <sheetViews>
    <sheetView zoomScale="130" zoomScaleNormal="130" workbookViewId="0">
      <selection activeCell="N32" sqref="N32"/>
    </sheetView>
  </sheetViews>
  <sheetFormatPr baseColWidth="10" defaultRowHeight="13"/>
  <cols>
    <col min="1" max="1" width="19.5" style="1" customWidth="1"/>
    <col min="2" max="16384" width="10.83203125" style="1"/>
  </cols>
  <sheetData>
    <row r="1" spans="1:4">
      <c r="A1" s="1" t="s">
        <v>457</v>
      </c>
    </row>
    <row r="2" spans="1:4">
      <c r="A2" s="454" t="s">
        <v>458</v>
      </c>
      <c r="B2" s="454"/>
      <c r="C2" s="454"/>
      <c r="D2" s="454"/>
    </row>
    <row r="3" spans="1:4">
      <c r="A3" s="1" t="s">
        <v>459</v>
      </c>
    </row>
    <row r="4" spans="1:4">
      <c r="A4" s="1" t="s">
        <v>460</v>
      </c>
      <c r="B4" s="258">
        <v>2.5000000000000001E-2</v>
      </c>
    </row>
    <row r="5" spans="1:4">
      <c r="A5" s="1" t="s">
        <v>461</v>
      </c>
      <c r="B5" s="1">
        <v>200</v>
      </c>
    </row>
    <row r="6" spans="1:4">
      <c r="A6" s="1" t="s">
        <v>462</v>
      </c>
      <c r="B6" s="1">
        <v>40</v>
      </c>
    </row>
    <row r="8" spans="1:4">
      <c r="A8" s="1" t="s">
        <v>463</v>
      </c>
    </row>
    <row r="9" spans="1:4">
      <c r="A9" s="2" t="s">
        <v>464</v>
      </c>
      <c r="B9" s="159">
        <v>5</v>
      </c>
    </row>
    <row r="10" spans="1:4">
      <c r="A10" s="2" t="s">
        <v>465</v>
      </c>
      <c r="B10" s="259">
        <v>9.8000000000000004E-2</v>
      </c>
    </row>
    <row r="12" spans="1:4">
      <c r="A12" s="1" t="s">
        <v>466</v>
      </c>
    </row>
    <row r="13" spans="1:4">
      <c r="A13" s="4" t="s">
        <v>467</v>
      </c>
      <c r="B13" s="4" t="s">
        <v>468</v>
      </c>
    </row>
    <row r="14" spans="1:4">
      <c r="A14" s="4">
        <v>1</v>
      </c>
      <c r="B14" s="4">
        <v>204</v>
      </c>
    </row>
    <row r="15" spans="1:4">
      <c r="A15" s="4">
        <v>2</v>
      </c>
      <c r="B15" s="4">
        <v>211</v>
      </c>
    </row>
    <row r="16" spans="1:4">
      <c r="A16" s="4">
        <v>3</v>
      </c>
      <c r="B16" s="4">
        <v>199</v>
      </c>
    </row>
    <row r="17" spans="1:3">
      <c r="A17" s="4">
        <v>4</v>
      </c>
      <c r="B17" s="4">
        <v>209</v>
      </c>
    </row>
    <row r="18" spans="1:3">
      <c r="A18" s="4">
        <v>5</v>
      </c>
      <c r="B18" s="4">
        <v>208</v>
      </c>
    </row>
    <row r="19" spans="1:3">
      <c r="A19" s="2" t="s">
        <v>469</v>
      </c>
      <c r="B19" s="4">
        <f>AVERAGE(B14:B18)</f>
        <v>206.2</v>
      </c>
    </row>
    <row r="20" spans="1:3">
      <c r="A20" s="2" t="s">
        <v>470</v>
      </c>
      <c r="B20" s="5">
        <f>STDEV(B14:B18)</f>
        <v>4.7644516998286379</v>
      </c>
    </row>
    <row r="21" spans="1:3" ht="15">
      <c r="A21" s="2" t="s">
        <v>471</v>
      </c>
      <c r="B21" s="5">
        <f>(B19-B5)/B20</f>
        <v>1.3013039884994495</v>
      </c>
    </row>
    <row r="22" spans="1:3" ht="15">
      <c r="A22" s="451" t="s">
        <v>472</v>
      </c>
      <c r="B22" s="451"/>
      <c r="C22" s="260">
        <v>9.5799999999999996E-2</v>
      </c>
    </row>
    <row r="24" spans="1:3" ht="15">
      <c r="B24" s="502" t="s">
        <v>473</v>
      </c>
      <c r="C24" s="502"/>
    </row>
    <row r="25" spans="1:3">
      <c r="B25" s="502" t="s">
        <v>474</v>
      </c>
      <c r="C25" s="502"/>
    </row>
  </sheetData>
  <mergeCells count="4">
    <mergeCell ref="A2:D2"/>
    <mergeCell ref="A22:B22"/>
    <mergeCell ref="B24:C24"/>
    <mergeCell ref="B25:C2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52DF6-EF50-3549-B01C-CFE5432ADAD0}">
  <dimension ref="A1:G44"/>
  <sheetViews>
    <sheetView zoomScale="120" zoomScaleNormal="120" workbookViewId="0">
      <selection activeCell="D22" sqref="D22"/>
    </sheetView>
  </sheetViews>
  <sheetFormatPr baseColWidth="10" defaultColWidth="11" defaultRowHeight="13"/>
  <cols>
    <col min="1" max="1" width="24.5" style="1" customWidth="1"/>
    <col min="2" max="256" width="11" style="1"/>
    <col min="257" max="257" width="24.5" style="1" customWidth="1"/>
    <col min="258" max="512" width="11" style="1"/>
    <col min="513" max="513" width="24.5" style="1" customWidth="1"/>
    <col min="514" max="768" width="11" style="1"/>
    <col min="769" max="769" width="24.5" style="1" customWidth="1"/>
    <col min="770" max="1024" width="11" style="1"/>
    <col min="1025" max="1025" width="24.5" style="1" customWidth="1"/>
    <col min="1026" max="1280" width="11" style="1"/>
    <col min="1281" max="1281" width="24.5" style="1" customWidth="1"/>
    <col min="1282" max="1536" width="11" style="1"/>
    <col min="1537" max="1537" width="24.5" style="1" customWidth="1"/>
    <col min="1538" max="1792" width="11" style="1"/>
    <col min="1793" max="1793" width="24.5" style="1" customWidth="1"/>
    <col min="1794" max="2048" width="11" style="1"/>
    <col min="2049" max="2049" width="24.5" style="1" customWidth="1"/>
    <col min="2050" max="2304" width="11" style="1"/>
    <col min="2305" max="2305" width="24.5" style="1" customWidth="1"/>
    <col min="2306" max="2560" width="11" style="1"/>
    <col min="2561" max="2561" width="24.5" style="1" customWidth="1"/>
    <col min="2562" max="2816" width="11" style="1"/>
    <col min="2817" max="2817" width="24.5" style="1" customWidth="1"/>
    <col min="2818" max="3072" width="11" style="1"/>
    <col min="3073" max="3073" width="24.5" style="1" customWidth="1"/>
    <col min="3074" max="3328" width="11" style="1"/>
    <col min="3329" max="3329" width="24.5" style="1" customWidth="1"/>
    <col min="3330" max="3584" width="11" style="1"/>
    <col min="3585" max="3585" width="24.5" style="1" customWidth="1"/>
    <col min="3586" max="3840" width="11" style="1"/>
    <col min="3841" max="3841" width="24.5" style="1" customWidth="1"/>
    <col min="3842" max="4096" width="11" style="1"/>
    <col min="4097" max="4097" width="24.5" style="1" customWidth="1"/>
    <col min="4098" max="4352" width="11" style="1"/>
    <col min="4353" max="4353" width="24.5" style="1" customWidth="1"/>
    <col min="4354" max="4608" width="11" style="1"/>
    <col min="4609" max="4609" width="24.5" style="1" customWidth="1"/>
    <col min="4610" max="4864" width="11" style="1"/>
    <col min="4865" max="4865" width="24.5" style="1" customWidth="1"/>
    <col min="4866" max="5120" width="11" style="1"/>
    <col min="5121" max="5121" width="24.5" style="1" customWidth="1"/>
    <col min="5122" max="5376" width="11" style="1"/>
    <col min="5377" max="5377" width="24.5" style="1" customWidth="1"/>
    <col min="5378" max="5632" width="11" style="1"/>
    <col min="5633" max="5633" width="24.5" style="1" customWidth="1"/>
    <col min="5634" max="5888" width="11" style="1"/>
    <col min="5889" max="5889" width="24.5" style="1" customWidth="1"/>
    <col min="5890" max="6144" width="11" style="1"/>
    <col min="6145" max="6145" width="24.5" style="1" customWidth="1"/>
    <col min="6146" max="6400" width="11" style="1"/>
    <col min="6401" max="6401" width="24.5" style="1" customWidth="1"/>
    <col min="6402" max="6656" width="11" style="1"/>
    <col min="6657" max="6657" width="24.5" style="1" customWidth="1"/>
    <col min="6658" max="6912" width="11" style="1"/>
    <col min="6913" max="6913" width="24.5" style="1" customWidth="1"/>
    <col min="6914" max="7168" width="11" style="1"/>
    <col min="7169" max="7169" width="24.5" style="1" customWidth="1"/>
    <col min="7170" max="7424" width="11" style="1"/>
    <col min="7425" max="7425" width="24.5" style="1" customWidth="1"/>
    <col min="7426" max="7680" width="11" style="1"/>
    <col min="7681" max="7681" width="24.5" style="1" customWidth="1"/>
    <col min="7682" max="7936" width="11" style="1"/>
    <col min="7937" max="7937" width="24.5" style="1" customWidth="1"/>
    <col min="7938" max="8192" width="11" style="1"/>
    <col min="8193" max="8193" width="24.5" style="1" customWidth="1"/>
    <col min="8194" max="8448" width="11" style="1"/>
    <col min="8449" max="8449" width="24.5" style="1" customWidth="1"/>
    <col min="8450" max="8704" width="11" style="1"/>
    <col min="8705" max="8705" width="24.5" style="1" customWidth="1"/>
    <col min="8706" max="8960" width="11" style="1"/>
    <col min="8961" max="8961" width="24.5" style="1" customWidth="1"/>
    <col min="8962" max="9216" width="11" style="1"/>
    <col min="9217" max="9217" width="24.5" style="1" customWidth="1"/>
    <col min="9218" max="9472" width="11" style="1"/>
    <col min="9473" max="9473" width="24.5" style="1" customWidth="1"/>
    <col min="9474" max="9728" width="11" style="1"/>
    <col min="9729" max="9729" width="24.5" style="1" customWidth="1"/>
    <col min="9730" max="9984" width="11" style="1"/>
    <col min="9985" max="9985" width="24.5" style="1" customWidth="1"/>
    <col min="9986" max="10240" width="11" style="1"/>
    <col min="10241" max="10241" width="24.5" style="1" customWidth="1"/>
    <col min="10242" max="10496" width="11" style="1"/>
    <col min="10497" max="10497" width="24.5" style="1" customWidth="1"/>
    <col min="10498" max="10752" width="11" style="1"/>
    <col min="10753" max="10753" width="24.5" style="1" customWidth="1"/>
    <col min="10754" max="11008" width="11" style="1"/>
    <col min="11009" max="11009" width="24.5" style="1" customWidth="1"/>
    <col min="11010" max="11264" width="11" style="1"/>
    <col min="11265" max="11265" width="24.5" style="1" customWidth="1"/>
    <col min="11266" max="11520" width="11" style="1"/>
    <col min="11521" max="11521" width="24.5" style="1" customWidth="1"/>
    <col min="11522" max="11776" width="11" style="1"/>
    <col min="11777" max="11777" width="24.5" style="1" customWidth="1"/>
    <col min="11778" max="12032" width="11" style="1"/>
    <col min="12033" max="12033" width="24.5" style="1" customWidth="1"/>
    <col min="12034" max="12288" width="11" style="1"/>
    <col min="12289" max="12289" width="24.5" style="1" customWidth="1"/>
    <col min="12290" max="12544" width="11" style="1"/>
    <col min="12545" max="12545" width="24.5" style="1" customWidth="1"/>
    <col min="12546" max="12800" width="11" style="1"/>
    <col min="12801" max="12801" width="24.5" style="1" customWidth="1"/>
    <col min="12802" max="13056" width="11" style="1"/>
    <col min="13057" max="13057" width="24.5" style="1" customWidth="1"/>
    <col min="13058" max="13312" width="11" style="1"/>
    <col min="13313" max="13313" width="24.5" style="1" customWidth="1"/>
    <col min="13314" max="13568" width="11" style="1"/>
    <col min="13569" max="13569" width="24.5" style="1" customWidth="1"/>
    <col min="13570" max="13824" width="11" style="1"/>
    <col min="13825" max="13825" width="24.5" style="1" customWidth="1"/>
    <col min="13826" max="14080" width="11" style="1"/>
    <col min="14081" max="14081" width="24.5" style="1" customWidth="1"/>
    <col min="14082" max="14336" width="11" style="1"/>
    <col min="14337" max="14337" width="24.5" style="1" customWidth="1"/>
    <col min="14338" max="14592" width="11" style="1"/>
    <col min="14593" max="14593" width="24.5" style="1" customWidth="1"/>
    <col min="14594" max="14848" width="11" style="1"/>
    <col min="14849" max="14849" width="24.5" style="1" customWidth="1"/>
    <col min="14850" max="15104" width="11" style="1"/>
    <col min="15105" max="15105" width="24.5" style="1" customWidth="1"/>
    <col min="15106" max="15360" width="11" style="1"/>
    <col min="15361" max="15361" width="24.5" style="1" customWidth="1"/>
    <col min="15362" max="15616" width="11" style="1"/>
    <col min="15617" max="15617" width="24.5" style="1" customWidth="1"/>
    <col min="15618" max="15872" width="11" style="1"/>
    <col min="15873" max="15873" width="24.5" style="1" customWidth="1"/>
    <col min="15874" max="16128" width="11" style="1"/>
    <col min="16129" max="16129" width="24.5" style="1" customWidth="1"/>
    <col min="16130" max="16384" width="11" style="1"/>
  </cols>
  <sheetData>
    <row r="1" spans="1:2">
      <c r="A1" s="1" t="s">
        <v>475</v>
      </c>
      <c r="B1" s="1">
        <v>8</v>
      </c>
    </row>
    <row r="2" spans="1:2">
      <c r="A2" s="1" t="s">
        <v>476</v>
      </c>
      <c r="B2" s="15">
        <v>9</v>
      </c>
    </row>
    <row r="3" spans="1:2" ht="28">
      <c r="A3" s="261" t="s">
        <v>477</v>
      </c>
      <c r="B3" s="1">
        <v>50</v>
      </c>
    </row>
    <row r="4" spans="1:2">
      <c r="A4" s="1" t="s">
        <v>478</v>
      </c>
      <c r="B4" s="16">
        <v>0.04</v>
      </c>
    </row>
    <row r="5" spans="1:2">
      <c r="A5" s="1" t="s">
        <v>479</v>
      </c>
      <c r="B5" s="15">
        <v>10</v>
      </c>
    </row>
    <row r="7" spans="1:2">
      <c r="A7" s="10" t="s">
        <v>480</v>
      </c>
    </row>
    <row r="8" spans="1:2">
      <c r="A8" s="262" t="s">
        <v>481</v>
      </c>
    </row>
    <row r="9" spans="1:2">
      <c r="A9" s="1" t="s">
        <v>482</v>
      </c>
      <c r="B9" s="15">
        <f>B2*B1</f>
        <v>72</v>
      </c>
    </row>
    <row r="10" spans="1:2">
      <c r="A10" s="1" t="s">
        <v>483</v>
      </c>
      <c r="B10" s="15">
        <f>B5*0</f>
        <v>0</v>
      </c>
    </row>
    <row r="11" spans="1:2">
      <c r="A11" s="1" t="s">
        <v>272</v>
      </c>
      <c r="B11" s="15">
        <f>SUM(B9:B10)</f>
        <v>72</v>
      </c>
    </row>
    <row r="13" spans="1:2">
      <c r="A13" s="262" t="s">
        <v>484</v>
      </c>
    </row>
    <row r="14" spans="1:2">
      <c r="A14" s="1" t="s">
        <v>482</v>
      </c>
      <c r="B14" s="15">
        <v>0</v>
      </c>
    </row>
    <row r="15" spans="1:2">
      <c r="A15" s="1" t="s">
        <v>479</v>
      </c>
      <c r="B15" s="15">
        <f>B3*B1*B4*B5</f>
        <v>160</v>
      </c>
    </row>
    <row r="16" spans="1:2">
      <c r="A16" s="1" t="s">
        <v>272</v>
      </c>
      <c r="B16" s="15">
        <f>SUM(B14:B15)</f>
        <v>160</v>
      </c>
    </row>
    <row r="18" spans="1:7">
      <c r="A18" s="1" t="s">
        <v>485</v>
      </c>
    </row>
    <row r="20" spans="1:7">
      <c r="A20" s="10" t="s">
        <v>486</v>
      </c>
      <c r="C20" s="4"/>
      <c r="D20" s="260"/>
    </row>
    <row r="21" spans="1:7">
      <c r="A21" s="262" t="s">
        <v>487</v>
      </c>
      <c r="C21" s="4" t="s">
        <v>5</v>
      </c>
      <c r="D21" s="4" t="s">
        <v>17</v>
      </c>
      <c r="E21" s="4" t="s">
        <v>101</v>
      </c>
    </row>
    <row r="22" spans="1:7">
      <c r="A22" s="1" t="s">
        <v>268</v>
      </c>
      <c r="B22" s="15">
        <f>(B2/B3)*E22</f>
        <v>9</v>
      </c>
      <c r="C22" s="4">
        <v>1</v>
      </c>
      <c r="D22" s="4">
        <v>0.35</v>
      </c>
      <c r="E22" s="17">
        <v>50</v>
      </c>
    </row>
    <row r="23" spans="1:7">
      <c r="A23" s="1" t="s">
        <v>479</v>
      </c>
      <c r="B23" s="15">
        <f>(B3*B1*F27)*B5</f>
        <v>66.960000000000008</v>
      </c>
    </row>
    <row r="24" spans="1:7">
      <c r="A24" s="1" t="s">
        <v>272</v>
      </c>
      <c r="B24" s="15">
        <f>SUM(B22:B23)</f>
        <v>75.960000000000008</v>
      </c>
      <c r="C24" s="4" t="s">
        <v>16</v>
      </c>
      <c r="D24" s="4" t="s">
        <v>17</v>
      </c>
      <c r="E24" s="4" t="s">
        <v>18</v>
      </c>
      <c r="F24" s="4" t="s">
        <v>45</v>
      </c>
    </row>
    <row r="25" spans="1:7">
      <c r="C25" s="4">
        <v>0.01</v>
      </c>
      <c r="D25" s="5">
        <f t="shared" ref="D25:D30" si="0">C25*$E$22</f>
        <v>0.5</v>
      </c>
      <c r="E25" s="4">
        <v>0.91</v>
      </c>
      <c r="F25" s="12">
        <f t="shared" ref="F25:F30" si="1">C25*E25</f>
        <v>9.1000000000000004E-3</v>
      </c>
    </row>
    <row r="26" spans="1:7">
      <c r="C26" s="4">
        <v>0.02</v>
      </c>
      <c r="D26" s="5">
        <f t="shared" si="0"/>
        <v>1</v>
      </c>
      <c r="E26" s="4">
        <v>0.73599999999999999</v>
      </c>
      <c r="F26" s="12">
        <f t="shared" si="1"/>
        <v>1.472E-2</v>
      </c>
    </row>
    <row r="27" spans="1:7">
      <c r="C27" s="4">
        <v>0.03</v>
      </c>
      <c r="D27" s="5">
        <f t="shared" si="0"/>
        <v>1.5</v>
      </c>
      <c r="E27" s="4">
        <v>0.55800000000000005</v>
      </c>
      <c r="F27" s="263">
        <f t="shared" si="1"/>
        <v>1.6740000000000001E-2</v>
      </c>
      <c r="G27" s="1" t="s">
        <v>116</v>
      </c>
    </row>
    <row r="28" spans="1:7">
      <c r="C28" s="4">
        <v>0.04</v>
      </c>
      <c r="D28" s="5">
        <f t="shared" si="0"/>
        <v>2</v>
      </c>
      <c r="E28" s="4">
        <v>0.40600000000000003</v>
      </c>
      <c r="F28" s="12">
        <f t="shared" si="1"/>
        <v>1.6240000000000001E-2</v>
      </c>
    </row>
    <row r="29" spans="1:7">
      <c r="C29" s="4">
        <v>0.05</v>
      </c>
      <c r="D29" s="5">
        <f t="shared" si="0"/>
        <v>2.5</v>
      </c>
      <c r="E29" s="4">
        <v>0.28699999999999998</v>
      </c>
      <c r="F29" s="12">
        <f t="shared" si="1"/>
        <v>1.435E-2</v>
      </c>
    </row>
    <row r="30" spans="1:7">
      <c r="C30" s="4">
        <v>0.06</v>
      </c>
      <c r="D30" s="5">
        <f t="shared" si="0"/>
        <v>3</v>
      </c>
      <c r="E30" s="4">
        <v>0.19900000000000001</v>
      </c>
      <c r="F30" s="12">
        <f t="shared" si="1"/>
        <v>1.1940000000000001E-2</v>
      </c>
    </row>
    <row r="31" spans="1:7">
      <c r="C31" s="4"/>
      <c r="D31" s="5"/>
      <c r="E31" s="4"/>
      <c r="F31" s="12"/>
    </row>
    <row r="32" spans="1:7">
      <c r="A32" s="1" t="s">
        <v>488</v>
      </c>
      <c r="C32" s="4"/>
      <c r="D32" s="5"/>
      <c r="E32" s="4"/>
      <c r="F32" s="12"/>
    </row>
    <row r="33" spans="1:6">
      <c r="A33" s="1" t="s">
        <v>489</v>
      </c>
      <c r="C33" s="4"/>
      <c r="D33" s="5"/>
      <c r="E33" s="4"/>
      <c r="F33" s="12"/>
    </row>
    <row r="34" spans="1:6">
      <c r="C34" s="4"/>
      <c r="D34" s="5"/>
      <c r="E34" s="4"/>
      <c r="F34" s="12"/>
    </row>
    <row r="35" spans="1:6">
      <c r="C35" s="4"/>
      <c r="D35" s="5"/>
      <c r="E35" s="4"/>
      <c r="F35" s="12"/>
    </row>
    <row r="36" spans="1:6">
      <c r="C36" s="4"/>
      <c r="D36" s="5"/>
      <c r="E36" s="4"/>
      <c r="F36" s="12"/>
    </row>
    <row r="37" spans="1:6">
      <c r="C37" s="4"/>
      <c r="D37" s="5"/>
      <c r="E37" s="4"/>
      <c r="F37" s="12"/>
    </row>
    <row r="38" spans="1:6">
      <c r="C38" s="4"/>
      <c r="D38" s="5"/>
      <c r="E38" s="4"/>
      <c r="F38" s="12"/>
    </row>
    <row r="39" spans="1:6">
      <c r="C39" s="4"/>
      <c r="D39" s="5"/>
      <c r="E39" s="4"/>
      <c r="F39" s="12"/>
    </row>
    <row r="40" spans="1:6">
      <c r="C40" s="4"/>
      <c r="D40" s="5"/>
      <c r="E40" s="4"/>
      <c r="F40" s="12"/>
    </row>
    <row r="41" spans="1:6">
      <c r="C41" s="4"/>
      <c r="D41" s="5"/>
      <c r="E41" s="4"/>
      <c r="F41" s="12"/>
    </row>
    <row r="42" spans="1:6">
      <c r="C42" s="4"/>
      <c r="D42" s="5"/>
      <c r="E42" s="4"/>
      <c r="F42" s="12"/>
    </row>
    <row r="43" spans="1:6">
      <c r="C43" s="4"/>
      <c r="D43" s="5"/>
      <c r="E43" s="4"/>
      <c r="F43" s="12"/>
    </row>
    <row r="44" spans="1:6">
      <c r="C44" s="4"/>
      <c r="D44" s="5"/>
      <c r="E44" s="4"/>
      <c r="F44" s="12"/>
    </row>
  </sheetData>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1ACDF-C3B3-3045-A6B1-DB702882DB7F}">
  <dimension ref="B3:S45"/>
  <sheetViews>
    <sheetView zoomScale="90" zoomScaleNormal="90" workbookViewId="0">
      <selection activeCell="F34" sqref="F34"/>
    </sheetView>
  </sheetViews>
  <sheetFormatPr baseColWidth="10" defaultRowHeight="16"/>
  <cols>
    <col min="1" max="1" width="3.83203125" customWidth="1"/>
    <col min="5" max="5" width="13.1640625" customWidth="1"/>
    <col min="7" max="8" width="10.83203125" style="64"/>
    <col min="9" max="9" width="10.83203125" bestFit="1" customWidth="1"/>
    <col min="10" max="19" width="6.6640625" customWidth="1"/>
    <col min="20" max="34" width="4.6640625" customWidth="1"/>
  </cols>
  <sheetData>
    <row r="3" spans="2:19">
      <c r="B3" s="64" t="s">
        <v>339</v>
      </c>
      <c r="C3" s="64" t="s">
        <v>343</v>
      </c>
      <c r="D3" s="64" t="s">
        <v>342</v>
      </c>
      <c r="E3" s="64" t="s">
        <v>341</v>
      </c>
      <c r="F3" s="64" t="s">
        <v>340</v>
      </c>
      <c r="G3" s="172" t="s">
        <v>338</v>
      </c>
      <c r="H3" s="64" t="s">
        <v>337</v>
      </c>
      <c r="I3" s="108" t="s">
        <v>339</v>
      </c>
      <c r="J3" s="108">
        <v>1</v>
      </c>
      <c r="K3" s="108">
        <v>2</v>
      </c>
      <c r="L3" s="108">
        <v>3</v>
      </c>
      <c r="M3" s="108">
        <v>4</v>
      </c>
      <c r="N3" s="108">
        <v>5</v>
      </c>
      <c r="O3" s="108">
        <v>6</v>
      </c>
      <c r="P3" s="108">
        <v>7</v>
      </c>
      <c r="Q3" s="108">
        <v>8</v>
      </c>
      <c r="R3" s="108">
        <v>9</v>
      </c>
      <c r="S3" s="108">
        <v>10</v>
      </c>
    </row>
    <row r="4" spans="2:19">
      <c r="B4" s="64">
        <v>1</v>
      </c>
      <c r="C4" s="64">
        <v>95</v>
      </c>
      <c r="D4" s="64">
        <v>90</v>
      </c>
      <c r="E4" s="64">
        <v>93</v>
      </c>
      <c r="F4" s="64">
        <v>120</v>
      </c>
      <c r="G4" s="169">
        <f t="shared" ref="G4:G28" si="0">AVERAGE(C4:F4)</f>
        <v>99.5</v>
      </c>
      <c r="H4" s="64">
        <f>F4-D4</f>
        <v>30</v>
      </c>
      <c r="I4" t="s">
        <v>338</v>
      </c>
      <c r="J4" s="77">
        <v>99.5</v>
      </c>
      <c r="K4" s="77">
        <v>80.25</v>
      </c>
      <c r="L4" s="77">
        <v>92.25</v>
      </c>
      <c r="M4" s="77">
        <v>84.25</v>
      </c>
      <c r="N4" s="77">
        <v>99</v>
      </c>
      <c r="O4" s="77">
        <v>89</v>
      </c>
      <c r="P4" s="77">
        <v>97.5</v>
      </c>
      <c r="Q4" s="77">
        <v>93.5</v>
      </c>
      <c r="R4" s="77">
        <v>94.25</v>
      </c>
      <c r="S4" s="77">
        <v>89.25</v>
      </c>
    </row>
    <row r="5" spans="2:19">
      <c r="B5" s="64">
        <v>2</v>
      </c>
      <c r="C5" s="64">
        <v>76</v>
      </c>
      <c r="D5" s="64">
        <v>81</v>
      </c>
      <c r="E5" s="64">
        <v>81</v>
      </c>
      <c r="F5" s="64">
        <v>83</v>
      </c>
      <c r="G5" s="169">
        <f t="shared" si="0"/>
        <v>80.25</v>
      </c>
      <c r="H5" s="64">
        <f>F5-C5</f>
        <v>7</v>
      </c>
      <c r="I5" t="s">
        <v>337</v>
      </c>
      <c r="J5">
        <v>30</v>
      </c>
      <c r="K5">
        <v>7</v>
      </c>
      <c r="L5">
        <v>27</v>
      </c>
      <c r="M5">
        <v>13</v>
      </c>
      <c r="N5">
        <v>12</v>
      </c>
      <c r="O5">
        <v>21</v>
      </c>
      <c r="P5">
        <v>16</v>
      </c>
      <c r="Q5">
        <v>6</v>
      </c>
      <c r="R5">
        <v>11</v>
      </c>
      <c r="S5">
        <v>15</v>
      </c>
    </row>
    <row r="6" spans="2:19">
      <c r="B6" s="64">
        <v>3</v>
      </c>
      <c r="C6" s="64">
        <v>107</v>
      </c>
      <c r="D6" s="64">
        <v>80</v>
      </c>
      <c r="E6" s="64">
        <v>87</v>
      </c>
      <c r="F6" s="64">
        <v>95</v>
      </c>
      <c r="G6" s="169">
        <f t="shared" si="0"/>
        <v>92.25</v>
      </c>
      <c r="H6" s="64">
        <f>C6-D6</f>
        <v>27</v>
      </c>
      <c r="I6" s="108" t="s">
        <v>339</v>
      </c>
      <c r="J6" s="108">
        <v>11</v>
      </c>
      <c r="K6" s="108">
        <v>12</v>
      </c>
      <c r="L6" s="108">
        <v>13</v>
      </c>
      <c r="M6" s="108">
        <v>14</v>
      </c>
      <c r="N6" s="108">
        <v>15</v>
      </c>
      <c r="O6" s="108">
        <v>16</v>
      </c>
      <c r="P6" s="108">
        <v>17</v>
      </c>
      <c r="Q6" s="108">
        <v>18</v>
      </c>
      <c r="R6" s="108">
        <v>19</v>
      </c>
      <c r="S6" s="108">
        <v>20</v>
      </c>
    </row>
    <row r="7" spans="2:19">
      <c r="B7" s="64">
        <v>4</v>
      </c>
      <c r="C7" s="64">
        <v>83</v>
      </c>
      <c r="D7" s="64">
        <v>77</v>
      </c>
      <c r="E7" s="64">
        <v>87</v>
      </c>
      <c r="F7" s="64">
        <v>90</v>
      </c>
      <c r="G7" s="169">
        <f t="shared" si="0"/>
        <v>84.25</v>
      </c>
      <c r="H7" s="64">
        <f>F7-D7</f>
        <v>13</v>
      </c>
      <c r="I7" t="s">
        <v>338</v>
      </c>
      <c r="J7" s="77">
        <v>98.25</v>
      </c>
      <c r="K7" s="77">
        <v>85.5</v>
      </c>
      <c r="L7" s="77">
        <v>86.25</v>
      </c>
      <c r="M7" s="77">
        <v>93.75</v>
      </c>
      <c r="N7" s="77">
        <v>94.25</v>
      </c>
      <c r="O7" s="77">
        <v>97</v>
      </c>
      <c r="P7" s="77">
        <v>95</v>
      </c>
      <c r="Q7" s="77">
        <v>90.5</v>
      </c>
      <c r="R7" s="77">
        <v>93.75</v>
      </c>
      <c r="S7" s="77">
        <v>86.5</v>
      </c>
    </row>
    <row r="8" spans="2:19">
      <c r="B8" s="64">
        <v>5</v>
      </c>
      <c r="C8" s="64">
        <v>105</v>
      </c>
      <c r="D8" s="64">
        <v>93</v>
      </c>
      <c r="E8" s="64">
        <v>95</v>
      </c>
      <c r="F8" s="64">
        <v>103</v>
      </c>
      <c r="G8" s="169">
        <f t="shared" si="0"/>
        <v>99</v>
      </c>
      <c r="H8" s="64">
        <f>C8-D8</f>
        <v>12</v>
      </c>
      <c r="I8" t="s">
        <v>337</v>
      </c>
      <c r="J8">
        <v>16</v>
      </c>
      <c r="K8">
        <v>11</v>
      </c>
      <c r="L8">
        <v>20</v>
      </c>
      <c r="M8">
        <v>13</v>
      </c>
      <c r="N8">
        <v>7</v>
      </c>
      <c r="O8">
        <v>24</v>
      </c>
      <c r="P8">
        <v>10</v>
      </c>
      <c r="Q8">
        <v>16</v>
      </c>
      <c r="R8">
        <v>14</v>
      </c>
      <c r="S8">
        <v>28</v>
      </c>
    </row>
    <row r="9" spans="2:19">
      <c r="B9" s="64">
        <v>6</v>
      </c>
      <c r="C9" s="64">
        <v>88</v>
      </c>
      <c r="D9" s="64">
        <v>76</v>
      </c>
      <c r="E9" s="64">
        <v>95</v>
      </c>
      <c r="F9" s="64">
        <v>97</v>
      </c>
      <c r="G9" s="169">
        <f t="shared" si="0"/>
        <v>89</v>
      </c>
      <c r="H9" s="64">
        <f>F9-D9</f>
        <v>21</v>
      </c>
      <c r="I9" s="108" t="s">
        <v>339</v>
      </c>
      <c r="J9" s="108">
        <v>21</v>
      </c>
      <c r="K9" s="108">
        <v>22</v>
      </c>
      <c r="L9" s="108">
        <v>23</v>
      </c>
      <c r="M9" s="108">
        <v>24</v>
      </c>
      <c r="N9" s="108">
        <v>25</v>
      </c>
      <c r="O9" s="171"/>
      <c r="P9" s="171"/>
      <c r="Q9" s="171"/>
      <c r="R9" s="171"/>
      <c r="S9" s="171"/>
    </row>
    <row r="10" spans="2:19">
      <c r="B10" s="64">
        <v>7</v>
      </c>
      <c r="C10" s="64">
        <v>100</v>
      </c>
      <c r="D10" s="64">
        <v>87</v>
      </c>
      <c r="E10" s="64">
        <v>100</v>
      </c>
      <c r="F10" s="64">
        <v>103</v>
      </c>
      <c r="G10" s="169">
        <f t="shared" si="0"/>
        <v>97.5</v>
      </c>
      <c r="H10" s="64">
        <f>F10-D10</f>
        <v>16</v>
      </c>
      <c r="I10" t="s">
        <v>338</v>
      </c>
      <c r="J10" s="77">
        <v>89.5</v>
      </c>
      <c r="K10" s="77">
        <v>88.25</v>
      </c>
      <c r="L10" s="77">
        <v>96.25</v>
      </c>
      <c r="M10" s="77">
        <v>95.5</v>
      </c>
      <c r="N10" s="77">
        <v>89.25</v>
      </c>
    </row>
    <row r="11" spans="2:19">
      <c r="B11" s="64">
        <v>8</v>
      </c>
      <c r="C11" s="64">
        <v>97</v>
      </c>
      <c r="D11" s="64">
        <v>91</v>
      </c>
      <c r="E11" s="64">
        <v>92</v>
      </c>
      <c r="F11" s="64">
        <v>94</v>
      </c>
      <c r="G11" s="169">
        <f t="shared" si="0"/>
        <v>93.5</v>
      </c>
      <c r="H11" s="64">
        <f>C11-D11</f>
        <v>6</v>
      </c>
      <c r="I11" s="170" t="s">
        <v>337</v>
      </c>
      <c r="J11" s="170">
        <v>4</v>
      </c>
      <c r="K11" s="170">
        <v>30</v>
      </c>
      <c r="L11" s="170">
        <v>7</v>
      </c>
      <c r="M11" s="170">
        <v>7</v>
      </c>
      <c r="N11" s="170">
        <v>7</v>
      </c>
      <c r="O11" s="170"/>
      <c r="P11" s="170"/>
      <c r="Q11" s="170"/>
      <c r="R11" s="170"/>
      <c r="S11" s="170"/>
    </row>
    <row r="12" spans="2:19">
      <c r="B12" s="64">
        <v>9</v>
      </c>
      <c r="C12" s="64">
        <v>90</v>
      </c>
      <c r="D12" s="64">
        <v>91</v>
      </c>
      <c r="E12" s="64">
        <v>95</v>
      </c>
      <c r="F12" s="64">
        <v>101</v>
      </c>
      <c r="G12" s="169">
        <f t="shared" si="0"/>
        <v>94.25</v>
      </c>
      <c r="H12" s="64">
        <f>F12-C12</f>
        <v>11</v>
      </c>
    </row>
    <row r="13" spans="2:19">
      <c r="B13" s="64">
        <v>10</v>
      </c>
      <c r="C13" s="64">
        <v>93</v>
      </c>
      <c r="D13" s="64">
        <v>79</v>
      </c>
      <c r="E13" s="64">
        <v>91</v>
      </c>
      <c r="F13" s="64">
        <v>94</v>
      </c>
      <c r="G13" s="169">
        <f t="shared" si="0"/>
        <v>89.25</v>
      </c>
      <c r="H13" s="64">
        <f>F13-D13</f>
        <v>15</v>
      </c>
    </row>
    <row r="14" spans="2:19">
      <c r="B14" s="64">
        <v>11</v>
      </c>
      <c r="C14" s="64">
        <v>106</v>
      </c>
      <c r="D14" s="64">
        <v>97</v>
      </c>
      <c r="E14" s="64">
        <v>100</v>
      </c>
      <c r="F14" s="64">
        <v>90</v>
      </c>
      <c r="G14" s="169">
        <f t="shared" si="0"/>
        <v>98.25</v>
      </c>
      <c r="H14" s="64">
        <f>C14-F14</f>
        <v>16</v>
      </c>
    </row>
    <row r="15" spans="2:19">
      <c r="B15" s="64">
        <v>12</v>
      </c>
      <c r="C15" s="64">
        <v>89</v>
      </c>
      <c r="D15" s="64">
        <v>91</v>
      </c>
      <c r="E15" s="64">
        <v>80</v>
      </c>
      <c r="F15" s="64">
        <v>82</v>
      </c>
      <c r="G15" s="169">
        <f t="shared" si="0"/>
        <v>85.5</v>
      </c>
      <c r="H15" s="64">
        <f>D15-E15</f>
        <v>11</v>
      </c>
    </row>
    <row r="16" spans="2:19">
      <c r="B16" s="64">
        <v>13</v>
      </c>
      <c r="C16" s="64">
        <v>92</v>
      </c>
      <c r="D16" s="64">
        <v>83</v>
      </c>
      <c r="E16" s="64">
        <v>95</v>
      </c>
      <c r="F16" s="64">
        <v>75</v>
      </c>
      <c r="G16" s="169">
        <f t="shared" si="0"/>
        <v>86.25</v>
      </c>
      <c r="H16" s="64">
        <f>E16-F16</f>
        <v>20</v>
      </c>
    </row>
    <row r="17" spans="2:8">
      <c r="B17" s="64">
        <v>14</v>
      </c>
      <c r="C17" s="64">
        <v>87</v>
      </c>
      <c r="D17" s="64">
        <v>90</v>
      </c>
      <c r="E17" s="64">
        <v>100</v>
      </c>
      <c r="F17" s="64">
        <v>98</v>
      </c>
      <c r="G17" s="169">
        <f t="shared" si="0"/>
        <v>93.75</v>
      </c>
      <c r="H17" s="64">
        <f>E17-C17</f>
        <v>13</v>
      </c>
    </row>
    <row r="18" spans="2:8">
      <c r="B18" s="64">
        <v>15</v>
      </c>
      <c r="C18" s="64">
        <v>97</v>
      </c>
      <c r="D18" s="64">
        <v>95</v>
      </c>
      <c r="E18" s="64">
        <v>95</v>
      </c>
      <c r="F18" s="64">
        <v>90</v>
      </c>
      <c r="G18" s="169">
        <f t="shared" si="0"/>
        <v>94.25</v>
      </c>
      <c r="H18" s="64">
        <f>C18-F18</f>
        <v>7</v>
      </c>
    </row>
    <row r="19" spans="2:8">
      <c r="B19" s="64">
        <v>16</v>
      </c>
      <c r="C19" s="64">
        <v>82</v>
      </c>
      <c r="D19" s="64">
        <v>106</v>
      </c>
      <c r="E19" s="64">
        <v>99</v>
      </c>
      <c r="F19" s="64">
        <v>101</v>
      </c>
      <c r="G19" s="169">
        <f t="shared" si="0"/>
        <v>97</v>
      </c>
      <c r="H19" s="64">
        <f>D19-C19</f>
        <v>24</v>
      </c>
    </row>
    <row r="20" spans="2:8">
      <c r="B20" s="64">
        <v>17</v>
      </c>
      <c r="C20" s="64">
        <v>100</v>
      </c>
      <c r="D20" s="64">
        <v>95</v>
      </c>
      <c r="E20" s="64">
        <v>95</v>
      </c>
      <c r="F20" s="64">
        <v>90</v>
      </c>
      <c r="G20" s="169">
        <f t="shared" si="0"/>
        <v>95</v>
      </c>
      <c r="H20" s="64">
        <f>C20-F20</f>
        <v>10</v>
      </c>
    </row>
    <row r="21" spans="2:8">
      <c r="B21" s="64">
        <v>18</v>
      </c>
      <c r="C21" s="64">
        <v>81</v>
      </c>
      <c r="D21" s="64">
        <v>94</v>
      </c>
      <c r="E21" s="64">
        <v>97</v>
      </c>
      <c r="F21" s="64">
        <v>90</v>
      </c>
      <c r="G21" s="169">
        <f t="shared" si="0"/>
        <v>90.5</v>
      </c>
      <c r="H21" s="64">
        <f>E21-C21</f>
        <v>16</v>
      </c>
    </row>
    <row r="22" spans="2:8">
      <c r="B22" s="64">
        <v>19</v>
      </c>
      <c r="C22" s="64">
        <v>98</v>
      </c>
      <c r="D22" s="64">
        <v>101</v>
      </c>
      <c r="E22" s="64">
        <v>87</v>
      </c>
      <c r="F22" s="64">
        <v>89</v>
      </c>
      <c r="G22" s="169">
        <f t="shared" si="0"/>
        <v>93.75</v>
      </c>
      <c r="H22" s="64">
        <f>D22-E22</f>
        <v>14</v>
      </c>
    </row>
    <row r="23" spans="2:8">
      <c r="B23" s="64">
        <v>20</v>
      </c>
      <c r="C23" s="64">
        <v>78</v>
      </c>
      <c r="D23" s="64">
        <v>96</v>
      </c>
      <c r="E23" s="64">
        <v>100</v>
      </c>
      <c r="F23" s="64">
        <v>72</v>
      </c>
      <c r="G23" s="169">
        <f t="shared" si="0"/>
        <v>86.5</v>
      </c>
      <c r="H23" s="64">
        <f>E23-F23</f>
        <v>28</v>
      </c>
    </row>
    <row r="24" spans="2:8">
      <c r="B24" s="64">
        <v>21</v>
      </c>
      <c r="C24" s="64">
        <v>91</v>
      </c>
      <c r="D24" s="64">
        <v>91</v>
      </c>
      <c r="E24" s="64">
        <v>87</v>
      </c>
      <c r="F24" s="64">
        <v>89</v>
      </c>
      <c r="G24" s="169">
        <f t="shared" si="0"/>
        <v>89.5</v>
      </c>
      <c r="H24" s="64">
        <f>D24-E24</f>
        <v>4</v>
      </c>
    </row>
    <row r="25" spans="2:8">
      <c r="B25" s="64">
        <v>22</v>
      </c>
      <c r="C25" s="64">
        <v>76</v>
      </c>
      <c r="D25" s="64">
        <v>91</v>
      </c>
      <c r="E25" s="64">
        <v>106</v>
      </c>
      <c r="F25" s="64">
        <v>80</v>
      </c>
      <c r="G25" s="169">
        <f t="shared" si="0"/>
        <v>88.25</v>
      </c>
      <c r="H25" s="64">
        <f>E25-C25</f>
        <v>30</v>
      </c>
    </row>
    <row r="26" spans="2:8">
      <c r="B26" s="64">
        <v>23</v>
      </c>
      <c r="C26" s="64">
        <v>95</v>
      </c>
      <c r="D26" s="64">
        <v>97</v>
      </c>
      <c r="E26" s="64">
        <v>100</v>
      </c>
      <c r="F26" s="64">
        <v>93</v>
      </c>
      <c r="G26" s="169">
        <f t="shared" si="0"/>
        <v>96.25</v>
      </c>
      <c r="H26" s="64">
        <f>E26-F26</f>
        <v>7</v>
      </c>
    </row>
    <row r="27" spans="2:8">
      <c r="B27" s="64">
        <v>24</v>
      </c>
      <c r="C27" s="64">
        <v>92</v>
      </c>
      <c r="D27" s="64">
        <v>99</v>
      </c>
      <c r="E27" s="64">
        <v>97</v>
      </c>
      <c r="F27" s="64">
        <v>94</v>
      </c>
      <c r="G27" s="169">
        <f t="shared" si="0"/>
        <v>95.5</v>
      </c>
      <c r="H27" s="64">
        <f>D27-C27</f>
        <v>7</v>
      </c>
    </row>
    <row r="28" spans="2:8">
      <c r="B28" s="64">
        <v>25</v>
      </c>
      <c r="C28" s="64">
        <v>92</v>
      </c>
      <c r="D28" s="64">
        <v>85</v>
      </c>
      <c r="E28" s="64">
        <v>90</v>
      </c>
      <c r="F28" s="64">
        <v>90</v>
      </c>
      <c r="G28" s="169">
        <f t="shared" si="0"/>
        <v>89.25</v>
      </c>
      <c r="H28" s="64">
        <f>C28-D28</f>
        <v>7</v>
      </c>
    </row>
    <row r="29" spans="2:8">
      <c r="G29" s="169">
        <f>AVERAGE(G4:G28)</f>
        <v>91.93</v>
      </c>
      <c r="H29" s="64">
        <f>AVERAGE(H4:H28)</f>
        <v>14.88</v>
      </c>
    </row>
    <row r="30" spans="2:8">
      <c r="G30" s="169">
        <f>SUM(G4:G28)</f>
        <v>2298.25</v>
      </c>
    </row>
    <row r="31" spans="2:8" ht="19">
      <c r="B31" s="164" t="s">
        <v>159</v>
      </c>
      <c r="C31" s="164"/>
      <c r="D31" s="164"/>
      <c r="E31" s="164"/>
      <c r="G31" s="169">
        <f>(G30-G5)/(25-1)</f>
        <v>92.416666666666671</v>
      </c>
    </row>
    <row r="32" spans="2:8" ht="19">
      <c r="B32" s="164" t="s">
        <v>336</v>
      </c>
      <c r="C32" s="164">
        <v>130</v>
      </c>
      <c r="D32" s="164"/>
      <c r="E32" s="164"/>
    </row>
    <row r="33" spans="2:9" ht="19">
      <c r="B33" s="164" t="s">
        <v>335</v>
      </c>
      <c r="C33" s="164">
        <v>102.5</v>
      </c>
      <c r="D33" s="164"/>
      <c r="E33" s="164"/>
    </row>
    <row r="34" spans="2:9" ht="19">
      <c r="B34" s="164" t="s">
        <v>334</v>
      </c>
      <c r="C34" s="164">
        <v>75</v>
      </c>
      <c r="D34" s="164"/>
      <c r="E34" s="164"/>
    </row>
    <row r="35" spans="2:9" ht="19">
      <c r="B35" s="164" t="s">
        <v>333</v>
      </c>
      <c r="C35" s="164">
        <v>2.06</v>
      </c>
      <c r="D35" s="164"/>
      <c r="E35" s="164"/>
    </row>
    <row r="36" spans="2:9" ht="19">
      <c r="B36" s="164" t="s">
        <v>332</v>
      </c>
      <c r="C36" s="167">
        <f>H29/C35</f>
        <v>7.2233009708737868</v>
      </c>
      <c r="D36" s="167"/>
      <c r="E36" s="164"/>
    </row>
    <row r="37" spans="2:9" ht="19">
      <c r="B37" s="166" t="s">
        <v>331</v>
      </c>
      <c r="C37" s="168">
        <f>(C32-C34)/(6*C36)</f>
        <v>1.2690412186379927</v>
      </c>
      <c r="D37" s="164"/>
      <c r="E37" s="164"/>
    </row>
    <row r="38" spans="2:9" ht="19">
      <c r="B38" s="166" t="s">
        <v>330</v>
      </c>
      <c r="C38" s="168">
        <f>(G31-C34)/(3*C36)</f>
        <v>0.80372610513739562</v>
      </c>
      <c r="D38" s="167">
        <f>(C32-G31)/(3*C36)</f>
        <v>1.73435633213859</v>
      </c>
      <c r="E38" s="164"/>
    </row>
    <row r="39" spans="2:9" ht="19">
      <c r="B39" s="166" t="s">
        <v>329</v>
      </c>
      <c r="C39" s="168">
        <f>(C32-C34)/(6*E40)</f>
        <v>0.73903180505877131</v>
      </c>
      <c r="D39" s="164"/>
      <c r="E39" s="164"/>
    </row>
    <row r="40" spans="2:9" ht="19">
      <c r="B40" s="164" t="s">
        <v>328</v>
      </c>
      <c r="C40" s="167">
        <f>POWER(C36,2)</f>
        <v>52.176076915826194</v>
      </c>
      <c r="D40" s="167">
        <f>POWER(G31-C33,2)</f>
        <v>101.67361111111101</v>
      </c>
      <c r="E40" s="167">
        <f>SQRT(C40+D40)</f>
        <v>12.403615925484681</v>
      </c>
    </row>
    <row r="41" spans="2:9" ht="19">
      <c r="B41" s="166" t="s">
        <v>327</v>
      </c>
      <c r="C41" s="165">
        <f>1/50</f>
        <v>0.02</v>
      </c>
      <c r="D41" s="164"/>
      <c r="E41" s="164"/>
    </row>
    <row r="42" spans="2:9" ht="19">
      <c r="B42" s="163" t="s">
        <v>326</v>
      </c>
      <c r="C42" s="163" t="s">
        <v>325</v>
      </c>
      <c r="D42" s="162" t="s">
        <v>324</v>
      </c>
      <c r="E42" s="162" t="s">
        <v>323</v>
      </c>
    </row>
    <row r="43" spans="2:9" ht="19">
      <c r="B43" s="161">
        <f>_xlfn.NORM.DIST(C32,G31,C36,1)</f>
        <v>0.99999990198797517</v>
      </c>
      <c r="C43" s="161">
        <f>_xlfn.NORM.DIST(C34,G31,C36,1)</f>
        <v>7.9505360453234128E-3</v>
      </c>
      <c r="D43" s="160">
        <f>B43-C43</f>
        <v>0.99204936594265181</v>
      </c>
      <c r="E43" s="160">
        <f>1-D43</f>
        <v>7.9506340573481937E-3</v>
      </c>
    </row>
    <row r="44" spans="2:9">
      <c r="B44" s="503" t="s">
        <v>322</v>
      </c>
      <c r="C44" s="503"/>
      <c r="D44" s="503"/>
      <c r="E44" s="503"/>
      <c r="F44" s="503"/>
      <c r="G44" s="503"/>
      <c r="H44" s="503"/>
      <c r="I44" s="503"/>
    </row>
    <row r="45" spans="2:9">
      <c r="B45" s="503"/>
      <c r="C45" s="503"/>
      <c r="D45" s="503"/>
      <c r="E45" s="503"/>
      <c r="F45" s="503"/>
      <c r="G45" s="503"/>
      <c r="H45" s="503"/>
      <c r="I45" s="503"/>
    </row>
  </sheetData>
  <mergeCells count="1">
    <mergeCell ref="B44:I45"/>
  </mergeCells>
  <pageMargins left="0.75" right="0.75" top="1" bottom="1" header="0.5" footer="0.5"/>
  <pageSetup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A04E-4012-874B-A631-CEC831AD4592}">
  <dimension ref="A1:G31"/>
  <sheetViews>
    <sheetView zoomScale="120" zoomScaleNormal="120" workbookViewId="0">
      <selection activeCell="E41" sqref="E41"/>
    </sheetView>
  </sheetViews>
  <sheetFormatPr baseColWidth="10" defaultColWidth="8.83203125" defaultRowHeight="13"/>
  <cols>
    <col min="1" max="2" width="8.83203125" style="175" customWidth="1"/>
    <col min="3" max="4" width="12.83203125" style="175" customWidth="1"/>
    <col min="5" max="7" width="9.33203125" style="175" bestFit="1" customWidth="1"/>
    <col min="8" max="16384" width="8.83203125" style="175"/>
  </cols>
  <sheetData>
    <row r="1" spans="1:7" ht="28">
      <c r="A1" s="173" t="s">
        <v>167</v>
      </c>
      <c r="B1" s="173" t="s">
        <v>344</v>
      </c>
      <c r="C1" s="173" t="s">
        <v>345</v>
      </c>
      <c r="D1" s="173" t="s">
        <v>346</v>
      </c>
      <c r="E1" s="174" t="s">
        <v>347</v>
      </c>
      <c r="F1" s="174" t="s">
        <v>348</v>
      </c>
      <c r="G1" s="174" t="s">
        <v>349</v>
      </c>
    </row>
    <row r="2" spans="1:7">
      <c r="A2" s="173">
        <v>1</v>
      </c>
      <c r="B2" s="173">
        <v>120</v>
      </c>
      <c r="C2" s="173">
        <v>11</v>
      </c>
      <c r="D2" s="176">
        <f t="shared" ref="D2:D21" si="0">+C2/B2</f>
        <v>9.166666666666666E-2</v>
      </c>
      <c r="E2" s="176">
        <f t="shared" ref="E2:E21" si="1">+$B$23+(3*SQRT(($B$23*$B$25)/$B$24))</f>
        <v>0.14230512408659246</v>
      </c>
      <c r="F2" s="176">
        <f t="shared" ref="F2:F21" si="2">+$B$23</f>
        <v>7.166666666666667E-2</v>
      </c>
      <c r="G2" s="176">
        <f t="shared" ref="G2:G21" si="3">+$B$23-(3*SQRT(($B$23*$B$25)/$B$24))</f>
        <v>1.0282092467408938E-3</v>
      </c>
    </row>
    <row r="3" spans="1:7">
      <c r="A3" s="173">
        <v>2</v>
      </c>
      <c r="B3" s="173">
        <v>120</v>
      </c>
      <c r="C3" s="173">
        <v>10</v>
      </c>
      <c r="D3" s="176">
        <f t="shared" si="0"/>
        <v>8.3333333333333329E-2</v>
      </c>
      <c r="E3" s="176">
        <f t="shared" si="1"/>
        <v>0.14230512408659246</v>
      </c>
      <c r="F3" s="176">
        <f t="shared" si="2"/>
        <v>7.166666666666667E-2</v>
      </c>
      <c r="G3" s="176">
        <f t="shared" si="3"/>
        <v>1.0282092467408938E-3</v>
      </c>
    </row>
    <row r="4" spans="1:7">
      <c r="A4" s="173">
        <v>3</v>
      </c>
      <c r="B4" s="173">
        <v>120</v>
      </c>
      <c r="C4" s="173">
        <v>7</v>
      </c>
      <c r="D4" s="176">
        <f t="shared" si="0"/>
        <v>5.8333333333333334E-2</v>
      </c>
      <c r="E4" s="176">
        <f t="shared" si="1"/>
        <v>0.14230512408659246</v>
      </c>
      <c r="F4" s="176">
        <f t="shared" si="2"/>
        <v>7.166666666666667E-2</v>
      </c>
      <c r="G4" s="176">
        <f t="shared" si="3"/>
        <v>1.0282092467408938E-3</v>
      </c>
    </row>
    <row r="5" spans="1:7">
      <c r="A5" s="173">
        <v>4</v>
      </c>
      <c r="B5" s="173">
        <v>120</v>
      </c>
      <c r="C5" s="173">
        <v>10</v>
      </c>
      <c r="D5" s="176">
        <f t="shared" si="0"/>
        <v>8.3333333333333329E-2</v>
      </c>
      <c r="E5" s="176">
        <f t="shared" si="1"/>
        <v>0.14230512408659246</v>
      </c>
      <c r="F5" s="176">
        <f t="shared" si="2"/>
        <v>7.166666666666667E-2</v>
      </c>
      <c r="G5" s="176">
        <f t="shared" si="3"/>
        <v>1.0282092467408938E-3</v>
      </c>
    </row>
    <row r="6" spans="1:7">
      <c r="A6" s="173">
        <v>5</v>
      </c>
      <c r="B6" s="173">
        <v>120</v>
      </c>
      <c r="C6" s="173">
        <v>4</v>
      </c>
      <c r="D6" s="176">
        <f t="shared" si="0"/>
        <v>3.3333333333333333E-2</v>
      </c>
      <c r="E6" s="176">
        <f t="shared" si="1"/>
        <v>0.14230512408659246</v>
      </c>
      <c r="F6" s="176">
        <f t="shared" si="2"/>
        <v>7.166666666666667E-2</v>
      </c>
      <c r="G6" s="176">
        <f t="shared" si="3"/>
        <v>1.0282092467408938E-3</v>
      </c>
    </row>
    <row r="7" spans="1:7">
      <c r="A7" s="173">
        <v>6</v>
      </c>
      <c r="B7" s="173">
        <v>120</v>
      </c>
      <c r="C7" s="173">
        <v>12</v>
      </c>
      <c r="D7" s="176">
        <f t="shared" si="0"/>
        <v>0.1</v>
      </c>
      <c r="E7" s="176">
        <f t="shared" si="1"/>
        <v>0.14230512408659246</v>
      </c>
      <c r="F7" s="176">
        <f t="shared" si="2"/>
        <v>7.166666666666667E-2</v>
      </c>
      <c r="G7" s="176">
        <f t="shared" si="3"/>
        <v>1.0282092467408938E-3</v>
      </c>
    </row>
    <row r="8" spans="1:7">
      <c r="A8" s="173">
        <v>7</v>
      </c>
      <c r="B8" s="173">
        <v>120</v>
      </c>
      <c r="C8" s="173">
        <v>8</v>
      </c>
      <c r="D8" s="176">
        <f t="shared" si="0"/>
        <v>6.6666666666666666E-2</v>
      </c>
      <c r="E8" s="176">
        <f t="shared" si="1"/>
        <v>0.14230512408659246</v>
      </c>
      <c r="F8" s="176">
        <f t="shared" si="2"/>
        <v>7.166666666666667E-2</v>
      </c>
      <c r="G8" s="176">
        <f t="shared" si="3"/>
        <v>1.0282092467408938E-3</v>
      </c>
    </row>
    <row r="9" spans="1:7">
      <c r="A9" s="173">
        <v>8</v>
      </c>
      <c r="B9" s="173">
        <v>120</v>
      </c>
      <c r="C9" s="173">
        <v>5</v>
      </c>
      <c r="D9" s="176">
        <f t="shared" si="0"/>
        <v>4.1666666666666664E-2</v>
      </c>
      <c r="E9" s="176">
        <f t="shared" si="1"/>
        <v>0.14230512408659246</v>
      </c>
      <c r="F9" s="176">
        <f t="shared" si="2"/>
        <v>7.166666666666667E-2</v>
      </c>
      <c r="G9" s="176">
        <f t="shared" si="3"/>
        <v>1.0282092467408938E-3</v>
      </c>
    </row>
    <row r="10" spans="1:7">
      <c r="A10" s="173">
        <v>9</v>
      </c>
      <c r="B10" s="173">
        <v>120</v>
      </c>
      <c r="C10" s="173">
        <v>14</v>
      </c>
      <c r="D10" s="176">
        <f t="shared" si="0"/>
        <v>0.11666666666666667</v>
      </c>
      <c r="E10" s="176">
        <f t="shared" si="1"/>
        <v>0.14230512408659246</v>
      </c>
      <c r="F10" s="176">
        <f t="shared" si="2"/>
        <v>7.166666666666667E-2</v>
      </c>
      <c r="G10" s="176">
        <f t="shared" si="3"/>
        <v>1.0282092467408938E-3</v>
      </c>
    </row>
    <row r="11" spans="1:7">
      <c r="A11" s="173">
        <v>10</v>
      </c>
      <c r="B11" s="173">
        <v>120</v>
      </c>
      <c r="C11" s="173">
        <v>12</v>
      </c>
      <c r="D11" s="176">
        <f t="shared" si="0"/>
        <v>0.1</v>
      </c>
      <c r="E11" s="176">
        <f t="shared" si="1"/>
        <v>0.14230512408659246</v>
      </c>
      <c r="F11" s="176">
        <f t="shared" si="2"/>
        <v>7.166666666666667E-2</v>
      </c>
      <c r="G11" s="176">
        <f t="shared" si="3"/>
        <v>1.0282092467408938E-3</v>
      </c>
    </row>
    <row r="12" spans="1:7">
      <c r="A12" s="173">
        <v>11</v>
      </c>
      <c r="B12" s="173">
        <v>120</v>
      </c>
      <c r="C12" s="173">
        <v>8</v>
      </c>
      <c r="D12" s="176">
        <f t="shared" si="0"/>
        <v>6.6666666666666666E-2</v>
      </c>
      <c r="E12" s="176">
        <f t="shared" si="1"/>
        <v>0.14230512408659246</v>
      </c>
      <c r="F12" s="176">
        <f t="shared" si="2"/>
        <v>7.166666666666667E-2</v>
      </c>
      <c r="G12" s="176">
        <f t="shared" si="3"/>
        <v>1.0282092467408938E-3</v>
      </c>
    </row>
    <row r="13" spans="1:7">
      <c r="A13" s="173">
        <v>12</v>
      </c>
      <c r="B13" s="173">
        <v>120</v>
      </c>
      <c r="C13" s="173">
        <v>7</v>
      </c>
      <c r="D13" s="176">
        <f t="shared" si="0"/>
        <v>5.8333333333333334E-2</v>
      </c>
      <c r="E13" s="176">
        <f t="shared" si="1"/>
        <v>0.14230512408659246</v>
      </c>
      <c r="F13" s="176">
        <f t="shared" si="2"/>
        <v>7.166666666666667E-2</v>
      </c>
      <c r="G13" s="176">
        <f t="shared" si="3"/>
        <v>1.0282092467408938E-3</v>
      </c>
    </row>
    <row r="14" spans="1:7">
      <c r="A14" s="173">
        <v>13</v>
      </c>
      <c r="B14" s="173">
        <v>120</v>
      </c>
      <c r="C14" s="173">
        <v>9</v>
      </c>
      <c r="D14" s="176">
        <f t="shared" si="0"/>
        <v>7.4999999999999997E-2</v>
      </c>
      <c r="E14" s="176">
        <f t="shared" si="1"/>
        <v>0.14230512408659246</v>
      </c>
      <c r="F14" s="176">
        <f t="shared" si="2"/>
        <v>7.166666666666667E-2</v>
      </c>
      <c r="G14" s="176">
        <f t="shared" si="3"/>
        <v>1.0282092467408938E-3</v>
      </c>
    </row>
    <row r="15" spans="1:7">
      <c r="A15" s="173">
        <f t="shared" ref="A15:A21" si="4">+A14+1</f>
        <v>14</v>
      </c>
      <c r="B15" s="173">
        <v>120</v>
      </c>
      <c r="C15" s="173">
        <v>6</v>
      </c>
      <c r="D15" s="176">
        <f t="shared" si="0"/>
        <v>0.05</v>
      </c>
      <c r="E15" s="176">
        <f t="shared" si="1"/>
        <v>0.14230512408659246</v>
      </c>
      <c r="F15" s="176">
        <f t="shared" si="2"/>
        <v>7.166666666666667E-2</v>
      </c>
      <c r="G15" s="176">
        <f t="shared" si="3"/>
        <v>1.0282092467408938E-3</v>
      </c>
    </row>
    <row r="16" spans="1:7">
      <c r="A16" s="173">
        <f t="shared" si="4"/>
        <v>15</v>
      </c>
      <c r="B16" s="173">
        <v>120</v>
      </c>
      <c r="C16" s="173">
        <v>6</v>
      </c>
      <c r="D16" s="176">
        <f t="shared" si="0"/>
        <v>0.05</v>
      </c>
      <c r="E16" s="176">
        <f t="shared" si="1"/>
        <v>0.14230512408659246</v>
      </c>
      <c r="F16" s="176">
        <f t="shared" si="2"/>
        <v>7.166666666666667E-2</v>
      </c>
      <c r="G16" s="176">
        <f t="shared" si="3"/>
        <v>1.0282092467408938E-3</v>
      </c>
    </row>
    <row r="17" spans="1:7">
      <c r="A17" s="173">
        <f t="shared" si="4"/>
        <v>16</v>
      </c>
      <c r="B17" s="173">
        <v>120</v>
      </c>
      <c r="C17" s="173">
        <v>11</v>
      </c>
      <c r="D17" s="176">
        <f t="shared" si="0"/>
        <v>9.166666666666666E-2</v>
      </c>
      <c r="E17" s="176">
        <f t="shared" si="1"/>
        <v>0.14230512408659246</v>
      </c>
      <c r="F17" s="176">
        <f t="shared" si="2"/>
        <v>7.166666666666667E-2</v>
      </c>
      <c r="G17" s="176">
        <f t="shared" si="3"/>
        <v>1.0282092467408938E-3</v>
      </c>
    </row>
    <row r="18" spans="1:7">
      <c r="A18" s="173">
        <f t="shared" si="4"/>
        <v>17</v>
      </c>
      <c r="B18" s="173">
        <v>120</v>
      </c>
      <c r="C18" s="173">
        <v>9</v>
      </c>
      <c r="D18" s="176">
        <f t="shared" si="0"/>
        <v>7.4999999999999997E-2</v>
      </c>
      <c r="E18" s="176">
        <f t="shared" si="1"/>
        <v>0.14230512408659246</v>
      </c>
      <c r="F18" s="176">
        <f t="shared" si="2"/>
        <v>7.166666666666667E-2</v>
      </c>
      <c r="G18" s="176">
        <f t="shared" si="3"/>
        <v>1.0282092467408938E-3</v>
      </c>
    </row>
    <row r="19" spans="1:7">
      <c r="A19" s="173">
        <f t="shared" si="4"/>
        <v>18</v>
      </c>
      <c r="B19" s="173">
        <v>120</v>
      </c>
      <c r="C19" s="173">
        <v>7</v>
      </c>
      <c r="D19" s="176">
        <f t="shared" si="0"/>
        <v>5.8333333333333334E-2</v>
      </c>
      <c r="E19" s="176">
        <f t="shared" si="1"/>
        <v>0.14230512408659246</v>
      </c>
      <c r="F19" s="176">
        <f t="shared" si="2"/>
        <v>7.166666666666667E-2</v>
      </c>
      <c r="G19" s="176">
        <f t="shared" si="3"/>
        <v>1.0282092467408938E-3</v>
      </c>
    </row>
    <row r="20" spans="1:7">
      <c r="A20" s="173">
        <f t="shared" si="4"/>
        <v>19</v>
      </c>
      <c r="B20" s="173">
        <v>120</v>
      </c>
      <c r="C20" s="173">
        <v>6</v>
      </c>
      <c r="D20" s="176">
        <f t="shared" si="0"/>
        <v>0.05</v>
      </c>
      <c r="E20" s="176">
        <f t="shared" si="1"/>
        <v>0.14230512408659246</v>
      </c>
      <c r="F20" s="176">
        <f t="shared" si="2"/>
        <v>7.166666666666667E-2</v>
      </c>
      <c r="G20" s="176">
        <f t="shared" si="3"/>
        <v>1.0282092467408938E-3</v>
      </c>
    </row>
    <row r="21" spans="1:7">
      <c r="A21" s="173">
        <f t="shared" si="4"/>
        <v>20</v>
      </c>
      <c r="B21" s="173">
        <v>120</v>
      </c>
      <c r="C21" s="173">
        <v>10</v>
      </c>
      <c r="D21" s="176">
        <f t="shared" si="0"/>
        <v>8.3333333333333329E-2</v>
      </c>
      <c r="E21" s="176">
        <f t="shared" si="1"/>
        <v>0.14230512408659246</v>
      </c>
      <c r="F21" s="176">
        <f t="shared" si="2"/>
        <v>7.166666666666667E-2</v>
      </c>
      <c r="G21" s="176">
        <f t="shared" si="3"/>
        <v>1.0282092467408938E-3</v>
      </c>
    </row>
    <row r="22" spans="1:7">
      <c r="B22" s="173">
        <f>SUM(B2:B21)</f>
        <v>2400</v>
      </c>
      <c r="C22" s="173">
        <f>SUM(C2:C21)</f>
        <v>172</v>
      </c>
      <c r="D22" s="173"/>
    </row>
    <row r="23" spans="1:7">
      <c r="A23" s="177" t="s">
        <v>16</v>
      </c>
      <c r="B23" s="178">
        <f>+C22/B22</f>
        <v>7.166666666666667E-2</v>
      </c>
    </row>
    <row r="24" spans="1:7">
      <c r="A24" s="177" t="s">
        <v>101</v>
      </c>
      <c r="B24" s="175">
        <f>+B22/20</f>
        <v>120</v>
      </c>
    </row>
    <row r="25" spans="1:7">
      <c r="A25" s="177" t="s">
        <v>350</v>
      </c>
      <c r="B25" s="178">
        <f>1-B23</f>
        <v>0.92833333333333334</v>
      </c>
    </row>
    <row r="28" spans="1:7">
      <c r="A28" s="175" t="s">
        <v>351</v>
      </c>
    </row>
    <row r="29" spans="1:7">
      <c r="A29" s="175" t="s">
        <v>352</v>
      </c>
    </row>
    <row r="30" spans="1:7">
      <c r="A30" s="175" t="s">
        <v>353</v>
      </c>
    </row>
    <row r="31" spans="1:7">
      <c r="A31" s="175" t="s">
        <v>354</v>
      </c>
    </row>
  </sheetData>
  <pageMargins left="0.75" right="0.75" top="0.49" bottom="1" header="0.5" footer="0.5"/>
  <pageSetup orientation="portrait" horizontalDpi="4294967293"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3F29-8B67-384C-A6DC-6A84959E18EF}">
  <dimension ref="A2:M57"/>
  <sheetViews>
    <sheetView zoomScaleNormal="100" zoomScalePageLayoutView="110" workbookViewId="0">
      <selection activeCell="B26" sqref="B26"/>
    </sheetView>
  </sheetViews>
  <sheetFormatPr baseColWidth="10" defaultRowHeight="16"/>
  <cols>
    <col min="4" max="4" width="13.5" customWidth="1"/>
    <col min="5" max="5" width="11.5" customWidth="1"/>
    <col min="9" max="9" width="3.1640625" customWidth="1"/>
    <col min="13" max="13" width="18.1640625" customWidth="1"/>
  </cols>
  <sheetData>
    <row r="2" spans="1:13">
      <c r="B2" s="179">
        <v>0.5</v>
      </c>
      <c r="C2" s="179">
        <v>4.1666666666666664E-2</v>
      </c>
      <c r="D2" s="179">
        <v>8.3333333333333329E-2</v>
      </c>
      <c r="E2" s="179">
        <v>0.125</v>
      </c>
      <c r="F2" s="179">
        <v>0.16666666666666666</v>
      </c>
      <c r="J2" s="64" t="str">
        <f>$A$9</f>
        <v>X</v>
      </c>
      <c r="K2" s="64" t="s">
        <v>355</v>
      </c>
      <c r="L2" s="64" t="s">
        <v>356</v>
      </c>
      <c r="M2" s="64" t="s">
        <v>357</v>
      </c>
    </row>
    <row r="3" spans="1:13">
      <c r="B3" s="68">
        <v>24</v>
      </c>
      <c r="C3" s="68">
        <v>25</v>
      </c>
      <c r="D3" s="68">
        <v>32</v>
      </c>
      <c r="E3" s="68">
        <v>18</v>
      </c>
      <c r="F3" s="68">
        <v>30</v>
      </c>
      <c r="J3" s="64">
        <f>B9</f>
        <v>28.8</v>
      </c>
      <c r="K3" s="79">
        <f>$G$13</f>
        <v>33.152999999999999</v>
      </c>
      <c r="L3" s="64">
        <f>$G$14</f>
        <v>27.96</v>
      </c>
      <c r="M3" s="79">
        <f>$G$15</f>
        <v>22.767000000000003</v>
      </c>
    </row>
    <row r="4" spans="1:13">
      <c r="B4" s="68">
        <v>33</v>
      </c>
      <c r="C4" s="68">
        <v>28</v>
      </c>
      <c r="D4" s="68">
        <v>31</v>
      </c>
      <c r="E4" s="68">
        <v>24</v>
      </c>
      <c r="F4" s="68">
        <v>26</v>
      </c>
      <c r="J4" s="64">
        <f>C9</f>
        <v>27.6</v>
      </c>
      <c r="K4" s="79">
        <f t="shared" ref="K4:K7" si="0">$G$13</f>
        <v>33.152999999999999</v>
      </c>
      <c r="L4" s="64">
        <f t="shared" ref="L4:L7" si="1">$G$14</f>
        <v>27.96</v>
      </c>
      <c r="M4" s="79">
        <f t="shared" ref="M4:M7" si="2">$G$15</f>
        <v>22.767000000000003</v>
      </c>
    </row>
    <row r="5" spans="1:13">
      <c r="B5" s="68">
        <v>29</v>
      </c>
      <c r="C5" s="68">
        <v>27</v>
      </c>
      <c r="D5" s="180">
        <v>30</v>
      </c>
      <c r="E5" s="68">
        <v>21</v>
      </c>
      <c r="F5" s="68">
        <v>33</v>
      </c>
      <c r="J5" s="64">
        <f>D9</f>
        <v>30.4</v>
      </c>
      <c r="K5" s="79">
        <f t="shared" si="0"/>
        <v>33.152999999999999</v>
      </c>
      <c r="L5" s="64">
        <f t="shared" si="1"/>
        <v>27.96</v>
      </c>
      <c r="M5" s="79">
        <f t="shared" si="2"/>
        <v>22.767000000000003</v>
      </c>
    </row>
    <row r="6" spans="1:13">
      <c r="B6" s="68">
        <v>30</v>
      </c>
      <c r="C6" s="68">
        <v>28</v>
      </c>
      <c r="D6" s="180">
        <v>29</v>
      </c>
      <c r="E6" s="68">
        <v>23</v>
      </c>
      <c r="F6" s="68">
        <v>27</v>
      </c>
      <c r="J6" s="64">
        <f>E9</f>
        <v>24.8</v>
      </c>
      <c r="K6" s="79">
        <f t="shared" si="0"/>
        <v>33.152999999999999</v>
      </c>
      <c r="L6" s="64">
        <f t="shared" si="1"/>
        <v>27.96</v>
      </c>
      <c r="M6" s="79">
        <f t="shared" si="2"/>
        <v>22.767000000000003</v>
      </c>
    </row>
    <row r="7" spans="1:13">
      <c r="B7" s="68">
        <v>28</v>
      </c>
      <c r="C7" s="68">
        <v>30</v>
      </c>
      <c r="D7" s="180">
        <v>30</v>
      </c>
      <c r="E7" s="68">
        <v>38</v>
      </c>
      <c r="F7" s="68">
        <v>25</v>
      </c>
      <c r="J7" s="64">
        <f>F9</f>
        <v>28.2</v>
      </c>
      <c r="K7" s="79">
        <f t="shared" si="0"/>
        <v>33.152999999999999</v>
      </c>
      <c r="L7" s="64">
        <f t="shared" si="1"/>
        <v>27.96</v>
      </c>
      <c r="M7" s="79">
        <f t="shared" si="2"/>
        <v>22.767000000000003</v>
      </c>
    </row>
    <row r="9" spans="1:13">
      <c r="A9" s="181" t="s">
        <v>358</v>
      </c>
      <c r="B9" s="64">
        <f>AVERAGE(B3:B7)</f>
        <v>28.8</v>
      </c>
      <c r="C9" s="64">
        <f t="shared" ref="C9:F9" si="3">AVERAGE(C3:C7)</f>
        <v>27.6</v>
      </c>
      <c r="D9" s="64">
        <f t="shared" si="3"/>
        <v>30.4</v>
      </c>
      <c r="E9" s="64">
        <f t="shared" si="3"/>
        <v>24.8</v>
      </c>
      <c r="F9" s="64">
        <f t="shared" si="3"/>
        <v>28.2</v>
      </c>
      <c r="G9" t="s">
        <v>359</v>
      </c>
      <c r="H9" s="64">
        <f>AVERAGE(B9:F9)</f>
        <v>27.96</v>
      </c>
      <c r="J9" s="64" t="str">
        <f>$A$10</f>
        <v>R</v>
      </c>
      <c r="K9" s="64" t="s">
        <v>355</v>
      </c>
      <c r="L9" s="64" t="s">
        <v>356</v>
      </c>
      <c r="M9" s="64" t="s">
        <v>357</v>
      </c>
    </row>
    <row r="10" spans="1:13">
      <c r="A10" s="181" t="s">
        <v>285</v>
      </c>
      <c r="B10" s="64">
        <f>(MAX(B3:B7)-MIN(B3:B7))</f>
        <v>9</v>
      </c>
      <c r="C10" s="64">
        <f t="shared" ref="C10:F10" si="4">(MAX(C3:C7)-MIN(C3:C7))</f>
        <v>5</v>
      </c>
      <c r="D10" s="64">
        <f t="shared" si="4"/>
        <v>3</v>
      </c>
      <c r="E10" s="64">
        <f t="shared" si="4"/>
        <v>20</v>
      </c>
      <c r="F10" s="64">
        <f t="shared" si="4"/>
        <v>8</v>
      </c>
      <c r="G10" t="s">
        <v>360</v>
      </c>
      <c r="H10" s="64">
        <f>AVERAGE(B10:F10)</f>
        <v>9</v>
      </c>
      <c r="J10" s="64">
        <f>B10</f>
        <v>9</v>
      </c>
      <c r="K10" s="79">
        <f>$G$17</f>
        <v>19.035000000000004</v>
      </c>
      <c r="L10" s="64">
        <f>$G$18</f>
        <v>9</v>
      </c>
      <c r="M10" s="169">
        <f>$G$19</f>
        <v>0</v>
      </c>
    </row>
    <row r="11" spans="1:13">
      <c r="J11" s="64">
        <f>C10</f>
        <v>5</v>
      </c>
      <c r="K11" s="79">
        <f t="shared" ref="K11:K14" si="5">$G$17</f>
        <v>19.035000000000004</v>
      </c>
      <c r="L11" s="64">
        <f t="shared" ref="L11:L14" si="6">$G$18</f>
        <v>9</v>
      </c>
      <c r="M11" s="169">
        <f t="shared" ref="M11:M14" si="7">$G$19</f>
        <v>0</v>
      </c>
    </row>
    <row r="12" spans="1:13">
      <c r="J12" s="64">
        <f>D10</f>
        <v>3</v>
      </c>
      <c r="K12" s="79">
        <f t="shared" si="5"/>
        <v>19.035000000000004</v>
      </c>
      <c r="L12" s="64">
        <f t="shared" si="6"/>
        <v>9</v>
      </c>
      <c r="M12" s="169">
        <f t="shared" si="7"/>
        <v>0</v>
      </c>
    </row>
    <row r="13" spans="1:13">
      <c r="A13" s="68" t="s">
        <v>361</v>
      </c>
      <c r="B13" s="68">
        <v>0.57699999999999996</v>
      </c>
      <c r="D13" t="s">
        <v>362</v>
      </c>
      <c r="F13" s="182" t="s">
        <v>363</v>
      </c>
      <c r="G13" s="183">
        <f>$H$9+$B$13*H10</f>
        <v>33.152999999999999</v>
      </c>
      <c r="J13" s="64">
        <f>E10</f>
        <v>20</v>
      </c>
      <c r="K13" s="79">
        <f t="shared" si="5"/>
        <v>19.035000000000004</v>
      </c>
      <c r="L13" s="64">
        <f t="shared" si="6"/>
        <v>9</v>
      </c>
      <c r="M13" s="169">
        <f t="shared" si="7"/>
        <v>0</v>
      </c>
    </row>
    <row r="14" spans="1:13">
      <c r="A14" s="68" t="s">
        <v>364</v>
      </c>
      <c r="B14" s="68">
        <v>2.1150000000000002</v>
      </c>
      <c r="F14" s="182" t="s">
        <v>365</v>
      </c>
      <c r="G14" s="68">
        <f>$H$9</f>
        <v>27.96</v>
      </c>
      <c r="H14" t="s">
        <v>366</v>
      </c>
      <c r="J14" s="64">
        <f>F10</f>
        <v>8</v>
      </c>
      <c r="K14" s="79">
        <f t="shared" si="5"/>
        <v>19.035000000000004</v>
      </c>
      <c r="L14" s="64">
        <f t="shared" si="6"/>
        <v>9</v>
      </c>
      <c r="M14" s="169">
        <f t="shared" si="7"/>
        <v>0</v>
      </c>
    </row>
    <row r="15" spans="1:13">
      <c r="A15" s="68" t="s">
        <v>367</v>
      </c>
      <c r="B15" s="68">
        <v>0</v>
      </c>
      <c r="F15" s="182" t="s">
        <v>368</v>
      </c>
      <c r="G15" s="183">
        <f>$H$9-$B$13*H10</f>
        <v>22.767000000000003</v>
      </c>
    </row>
    <row r="16" spans="1:13">
      <c r="A16" s="68" t="s">
        <v>333</v>
      </c>
      <c r="B16" s="68">
        <v>2.3260000000000001</v>
      </c>
    </row>
    <row r="17" spans="2:13">
      <c r="D17" t="s">
        <v>369</v>
      </c>
      <c r="F17" s="182" t="s">
        <v>363</v>
      </c>
      <c r="G17" s="183">
        <f>H10*$B$14</f>
        <v>19.035000000000004</v>
      </c>
    </row>
    <row r="18" spans="2:13">
      <c r="F18" s="182" t="s">
        <v>365</v>
      </c>
      <c r="G18" s="68">
        <f>H10</f>
        <v>9</v>
      </c>
      <c r="H18" t="s">
        <v>370</v>
      </c>
    </row>
    <row r="19" spans="2:13">
      <c r="F19" s="182" t="s">
        <v>368</v>
      </c>
      <c r="G19" s="184">
        <f>H10*$B$15</f>
        <v>0</v>
      </c>
    </row>
    <row r="21" spans="2:13">
      <c r="B21" t="s">
        <v>371</v>
      </c>
      <c r="D21" s="68">
        <f>(SUM(B10:F10)-E10)/(5-1)</f>
        <v>6.25</v>
      </c>
      <c r="E21" s="65" t="s">
        <v>372</v>
      </c>
    </row>
    <row r="23" spans="2:13">
      <c r="B23" t="s">
        <v>373</v>
      </c>
      <c r="J23" s="64" t="str">
        <f>$A$9</f>
        <v>X</v>
      </c>
      <c r="K23" s="64" t="s">
        <v>355</v>
      </c>
      <c r="L23" s="64" t="s">
        <v>356</v>
      </c>
      <c r="M23" s="64" t="s">
        <v>357</v>
      </c>
    </row>
    <row r="24" spans="2:13">
      <c r="J24" s="64">
        <f>J3</f>
        <v>28.8</v>
      </c>
      <c r="K24" s="79">
        <f>G25</f>
        <v>31.56625</v>
      </c>
      <c r="L24" s="64">
        <f>G26</f>
        <v>27.96</v>
      </c>
      <c r="M24" s="79">
        <f>G27</f>
        <v>24.353750000000002</v>
      </c>
    </row>
    <row r="25" spans="2:13">
      <c r="D25" t="s">
        <v>374</v>
      </c>
      <c r="F25" s="185" t="s">
        <v>363</v>
      </c>
      <c r="G25" s="186">
        <f>$H$9+$B$13*D21</f>
        <v>31.56625</v>
      </c>
      <c r="J25" s="64">
        <f t="shared" ref="J25:J27" si="8">J4</f>
        <v>27.6</v>
      </c>
      <c r="K25" s="79">
        <f>K24</f>
        <v>31.56625</v>
      </c>
      <c r="L25" s="64">
        <f t="shared" ref="L25:L28" si="9">$G$14</f>
        <v>27.96</v>
      </c>
      <c r="M25" s="79">
        <f>M24</f>
        <v>24.353750000000002</v>
      </c>
    </row>
    <row r="26" spans="2:13">
      <c r="F26" s="185" t="s">
        <v>365</v>
      </c>
      <c r="G26" s="66">
        <f>$H$9</f>
        <v>27.96</v>
      </c>
      <c r="H26" t="s">
        <v>366</v>
      </c>
      <c r="J26" s="64">
        <f t="shared" si="8"/>
        <v>30.4</v>
      </c>
      <c r="K26" s="79">
        <f t="shared" ref="K26:K28" si="10">K25</f>
        <v>31.56625</v>
      </c>
      <c r="L26" s="64">
        <f t="shared" si="9"/>
        <v>27.96</v>
      </c>
      <c r="M26" s="79">
        <f t="shared" ref="M26:M28" si="11">M25</f>
        <v>24.353750000000002</v>
      </c>
    </row>
    <row r="27" spans="2:13">
      <c r="F27" s="185" t="s">
        <v>368</v>
      </c>
      <c r="G27" s="186">
        <f>$H$9-$B$13*D21</f>
        <v>24.353750000000002</v>
      </c>
      <c r="J27" s="64">
        <f t="shared" si="8"/>
        <v>24.8</v>
      </c>
      <c r="K27" s="79">
        <f t="shared" si="10"/>
        <v>31.56625</v>
      </c>
      <c r="L27" s="64">
        <f t="shared" si="9"/>
        <v>27.96</v>
      </c>
      <c r="M27" s="79">
        <f t="shared" si="11"/>
        <v>24.353750000000002</v>
      </c>
    </row>
    <row r="28" spans="2:13">
      <c r="J28" s="64">
        <f>J7</f>
        <v>28.2</v>
      </c>
      <c r="K28" s="79">
        <f t="shared" si="10"/>
        <v>31.56625</v>
      </c>
      <c r="L28" s="64">
        <f t="shared" si="9"/>
        <v>27.96</v>
      </c>
      <c r="M28" s="79">
        <f t="shared" si="11"/>
        <v>24.353750000000002</v>
      </c>
    </row>
    <row r="29" spans="2:13">
      <c r="D29" t="s">
        <v>375</v>
      </c>
      <c r="F29" s="185" t="s">
        <v>363</v>
      </c>
      <c r="G29" s="186">
        <f>D21*$B$14</f>
        <v>13.218750000000002</v>
      </c>
    </row>
    <row r="30" spans="2:13">
      <c r="F30" s="185" t="s">
        <v>365</v>
      </c>
      <c r="G30" s="66">
        <f>D21</f>
        <v>6.25</v>
      </c>
      <c r="H30" t="s">
        <v>366</v>
      </c>
      <c r="J30" s="64" t="str">
        <f>$A$10</f>
        <v>R</v>
      </c>
      <c r="K30" s="64" t="s">
        <v>355</v>
      </c>
      <c r="L30" s="64" t="s">
        <v>356</v>
      </c>
      <c r="M30" s="64" t="s">
        <v>357</v>
      </c>
    </row>
    <row r="31" spans="2:13">
      <c r="F31" s="185" t="s">
        <v>368</v>
      </c>
      <c r="G31" s="187">
        <f>D21*$B$15</f>
        <v>0</v>
      </c>
      <c r="J31" s="64">
        <f>J10</f>
        <v>9</v>
      </c>
      <c r="K31" s="79">
        <f>G29</f>
        <v>13.218750000000002</v>
      </c>
      <c r="L31" s="64">
        <f>G30</f>
        <v>6.25</v>
      </c>
      <c r="M31" s="169">
        <f>G31</f>
        <v>0</v>
      </c>
    </row>
    <row r="32" spans="2:13">
      <c r="J32" s="64">
        <f t="shared" ref="J32:J33" si="12">J11</f>
        <v>5</v>
      </c>
      <c r="K32" s="79">
        <f>K31</f>
        <v>13.218750000000002</v>
      </c>
      <c r="L32" s="64">
        <f>L31</f>
        <v>6.25</v>
      </c>
      <c r="M32" s="169">
        <f t="shared" ref="M32:M33" si="13">$G$19</f>
        <v>0</v>
      </c>
    </row>
    <row r="33" spans="4:13">
      <c r="D33" s="188" t="s">
        <v>376</v>
      </c>
      <c r="E33" s="188"/>
      <c r="F33" s="188"/>
      <c r="G33" s="188"/>
      <c r="J33" s="64">
        <f t="shared" si="12"/>
        <v>3</v>
      </c>
      <c r="K33" s="79">
        <f t="shared" ref="K33:M34" si="14">K32</f>
        <v>13.218750000000002</v>
      </c>
      <c r="L33" s="64">
        <f t="shared" si="14"/>
        <v>6.25</v>
      </c>
      <c r="M33" s="169">
        <f t="shared" si="13"/>
        <v>0</v>
      </c>
    </row>
    <row r="34" spans="4:13">
      <c r="J34" s="64">
        <f>J14</f>
        <v>8</v>
      </c>
      <c r="K34" s="79">
        <f>K33</f>
        <v>13.218750000000002</v>
      </c>
      <c r="L34" s="79">
        <f t="shared" si="14"/>
        <v>6.25</v>
      </c>
      <c r="M34" s="79">
        <f t="shared" si="14"/>
        <v>0</v>
      </c>
    </row>
    <row r="35" spans="4:13">
      <c r="D35" t="s">
        <v>377</v>
      </c>
      <c r="F35" s="79">
        <f>D21/B16</f>
        <v>2.6870163370593292</v>
      </c>
    </row>
    <row r="37" spans="4:13">
      <c r="D37" s="181" t="s">
        <v>378</v>
      </c>
      <c r="E37" s="189">
        <f>(31-27)/(6*F35)</f>
        <v>0.2481066666666667</v>
      </c>
      <c r="F37" t="s">
        <v>379</v>
      </c>
    </row>
    <row r="39" spans="4:13">
      <c r="D39" s="181" t="s">
        <v>380</v>
      </c>
      <c r="E39" s="190">
        <f>(31-$G$26)/(3*F35)</f>
        <v>0.37712213333333328</v>
      </c>
    </row>
    <row r="40" spans="4:13">
      <c r="D40" s="181" t="s">
        <v>381</v>
      </c>
      <c r="E40" s="189">
        <f>($G$26-27)/(3*F35)</f>
        <v>0.11909120000000012</v>
      </c>
      <c r="F40" s="141" t="s">
        <v>382</v>
      </c>
      <c r="G40" s="141"/>
      <c r="H40" s="141"/>
      <c r="I40" s="141"/>
      <c r="J40" s="141"/>
      <c r="K40" s="141"/>
      <c r="L40" s="141"/>
      <c r="M40" s="141"/>
    </row>
    <row r="42" spans="4:13">
      <c r="D42" t="s">
        <v>383</v>
      </c>
    </row>
    <row r="44" spans="4:13">
      <c r="D44" s="181" t="s">
        <v>384</v>
      </c>
      <c r="E44" s="191">
        <f>(31-G26)/F35</f>
        <v>1.1313663999999997</v>
      </c>
      <c r="F44" s="181" t="s">
        <v>385</v>
      </c>
      <c r="G44" s="191">
        <f>(27-G26)/F35</f>
        <v>-0.35727360000000036</v>
      </c>
    </row>
    <row r="45" spans="4:13">
      <c r="D45" t="s">
        <v>386</v>
      </c>
      <c r="E45" s="192">
        <v>0.86860000000000004</v>
      </c>
      <c r="F45" t="s">
        <v>386</v>
      </c>
      <c r="G45" s="192">
        <v>0.35570000000000002</v>
      </c>
    </row>
    <row r="47" spans="4:13">
      <c r="D47" s="181" t="s">
        <v>387</v>
      </c>
      <c r="E47" s="192">
        <f>E45-G45</f>
        <v>0.51290000000000002</v>
      </c>
    </row>
    <row r="49" spans="3:13">
      <c r="C49" t="s">
        <v>388</v>
      </c>
      <c r="F49" s="192">
        <f>1-E47</f>
        <v>0.48709999999999998</v>
      </c>
      <c r="G49" s="72">
        <f>F49</f>
        <v>0.48709999999999998</v>
      </c>
      <c r="H49" s="188" t="s">
        <v>389</v>
      </c>
      <c r="I49" s="188"/>
      <c r="J49" s="188"/>
      <c r="K49" s="188"/>
      <c r="L49" s="188"/>
      <c r="M49" s="188"/>
    </row>
    <row r="50" spans="3:13">
      <c r="H50" s="188" t="s">
        <v>390</v>
      </c>
      <c r="I50" s="188"/>
      <c r="J50" s="188"/>
      <c r="K50" s="188"/>
      <c r="L50" s="188"/>
      <c r="M50" s="188"/>
    </row>
    <row r="51" spans="3:13">
      <c r="D51" s="181"/>
      <c r="E51" s="191"/>
      <c r="F51" s="181"/>
      <c r="G51" s="190"/>
    </row>
    <row r="52" spans="3:13">
      <c r="E52" s="192"/>
      <c r="G52" s="192"/>
    </row>
    <row r="54" spans="3:13">
      <c r="D54" s="181"/>
      <c r="E54" s="192"/>
    </row>
    <row r="56" spans="3:13">
      <c r="F56" s="193"/>
    </row>
    <row r="57" spans="3:13">
      <c r="F57" s="193"/>
    </row>
  </sheetData>
  <pageMargins left="0.75" right="0.75" top="1" bottom="1" header="0.5" footer="0.5"/>
  <pageSetup paperSize="9" orientation="portrait" horizontalDpi="4294967292" verticalDpi="4294967292"/>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CDBA4-0634-3746-89F6-E3D22789CA86}">
  <dimension ref="A1:U56"/>
  <sheetViews>
    <sheetView workbookViewId="0">
      <selection activeCell="W44" sqref="W44"/>
    </sheetView>
  </sheetViews>
  <sheetFormatPr baseColWidth="10" defaultColWidth="11" defaultRowHeight="13"/>
  <cols>
    <col min="1" max="1" width="9.1640625" style="195" customWidth="1"/>
    <col min="2" max="2" width="7.5" style="195" customWidth="1"/>
    <col min="3" max="3" width="7.83203125" style="195" customWidth="1"/>
    <col min="4" max="4" width="9.5" style="195" customWidth="1"/>
    <col min="5" max="5" width="7.83203125" style="195" customWidth="1"/>
    <col min="6" max="6" width="7" style="195" customWidth="1"/>
    <col min="7" max="7" width="8" style="195" customWidth="1"/>
    <col min="8" max="8" width="6.5" style="195" customWidth="1"/>
    <col min="9" max="9" width="9" style="195" customWidth="1"/>
    <col min="10" max="16" width="11" style="195"/>
    <col min="17" max="17" width="8.83203125" style="195" customWidth="1"/>
    <col min="18" max="19" width="6.5" style="195" bestFit="1" customWidth="1"/>
    <col min="20" max="20" width="5.83203125" style="195" bestFit="1" customWidth="1"/>
    <col min="21" max="21" width="3.1640625" style="195" customWidth="1"/>
    <col min="22" max="22" width="5.33203125" style="195" customWidth="1"/>
    <col min="23" max="23" width="4.5" style="195" customWidth="1"/>
    <col min="24" max="24" width="4" style="195" customWidth="1"/>
    <col min="25" max="25" width="6.1640625" style="195" customWidth="1"/>
    <col min="26" max="256" width="11" style="195"/>
    <col min="257" max="257" width="9.1640625" style="195" customWidth="1"/>
    <col min="258" max="258" width="7.5" style="195" customWidth="1"/>
    <col min="259" max="259" width="7.83203125" style="195" customWidth="1"/>
    <col min="260" max="260" width="9.5" style="195" customWidth="1"/>
    <col min="261" max="261" width="7.83203125" style="195" customWidth="1"/>
    <col min="262" max="262" width="7" style="195" customWidth="1"/>
    <col min="263" max="263" width="8" style="195" customWidth="1"/>
    <col min="264" max="264" width="6.5" style="195" customWidth="1"/>
    <col min="265" max="265" width="9" style="195" customWidth="1"/>
    <col min="266" max="272" width="11" style="195"/>
    <col min="273" max="273" width="8.83203125" style="195" customWidth="1"/>
    <col min="274" max="275" width="6.5" style="195" bestFit="1" customWidth="1"/>
    <col min="276" max="276" width="5.33203125" style="195" customWidth="1"/>
    <col min="277" max="277" width="3.1640625" style="195" customWidth="1"/>
    <col min="278" max="278" width="5.33203125" style="195" customWidth="1"/>
    <col min="279" max="279" width="4.5" style="195" customWidth="1"/>
    <col min="280" max="280" width="4" style="195" customWidth="1"/>
    <col min="281" max="281" width="6.1640625" style="195" customWidth="1"/>
    <col min="282" max="512" width="11" style="195"/>
    <col min="513" max="513" width="9.1640625" style="195" customWidth="1"/>
    <col min="514" max="514" width="7.5" style="195" customWidth="1"/>
    <col min="515" max="515" width="7.83203125" style="195" customWidth="1"/>
    <col min="516" max="516" width="9.5" style="195" customWidth="1"/>
    <col min="517" max="517" width="7.83203125" style="195" customWidth="1"/>
    <col min="518" max="518" width="7" style="195" customWidth="1"/>
    <col min="519" max="519" width="8" style="195" customWidth="1"/>
    <col min="520" max="520" width="6.5" style="195" customWidth="1"/>
    <col min="521" max="521" width="9" style="195" customWidth="1"/>
    <col min="522" max="528" width="11" style="195"/>
    <col min="529" max="529" width="8.83203125" style="195" customWidth="1"/>
    <col min="530" max="531" width="6.5" style="195" bestFit="1" customWidth="1"/>
    <col min="532" max="532" width="5.33203125" style="195" customWidth="1"/>
    <col min="533" max="533" width="3.1640625" style="195" customWidth="1"/>
    <col min="534" max="534" width="5.33203125" style="195" customWidth="1"/>
    <col min="535" max="535" width="4.5" style="195" customWidth="1"/>
    <col min="536" max="536" width="4" style="195" customWidth="1"/>
    <col min="537" max="537" width="6.1640625" style="195" customWidth="1"/>
    <col min="538" max="768" width="11" style="195"/>
    <col min="769" max="769" width="9.1640625" style="195" customWidth="1"/>
    <col min="770" max="770" width="7.5" style="195" customWidth="1"/>
    <col min="771" max="771" width="7.83203125" style="195" customWidth="1"/>
    <col min="772" max="772" width="9.5" style="195" customWidth="1"/>
    <col min="773" max="773" width="7.83203125" style="195" customWidth="1"/>
    <col min="774" max="774" width="7" style="195" customWidth="1"/>
    <col min="775" max="775" width="8" style="195" customWidth="1"/>
    <col min="776" max="776" width="6.5" style="195" customWidth="1"/>
    <col min="777" max="777" width="9" style="195" customWidth="1"/>
    <col min="778" max="784" width="11" style="195"/>
    <col min="785" max="785" width="8.83203125" style="195" customWidth="1"/>
    <col min="786" max="787" width="6.5" style="195" bestFit="1" customWidth="1"/>
    <col min="788" max="788" width="5.33203125" style="195" customWidth="1"/>
    <col min="789" max="789" width="3.1640625" style="195" customWidth="1"/>
    <col min="790" max="790" width="5.33203125" style="195" customWidth="1"/>
    <col min="791" max="791" width="4.5" style="195" customWidth="1"/>
    <col min="792" max="792" width="4" style="195" customWidth="1"/>
    <col min="793" max="793" width="6.1640625" style="195" customWidth="1"/>
    <col min="794" max="1024" width="11" style="195"/>
    <col min="1025" max="1025" width="9.1640625" style="195" customWidth="1"/>
    <col min="1026" max="1026" width="7.5" style="195" customWidth="1"/>
    <col min="1027" max="1027" width="7.83203125" style="195" customWidth="1"/>
    <col min="1028" max="1028" width="9.5" style="195" customWidth="1"/>
    <col min="1029" max="1029" width="7.83203125" style="195" customWidth="1"/>
    <col min="1030" max="1030" width="7" style="195" customWidth="1"/>
    <col min="1031" max="1031" width="8" style="195" customWidth="1"/>
    <col min="1032" max="1032" width="6.5" style="195" customWidth="1"/>
    <col min="1033" max="1033" width="9" style="195" customWidth="1"/>
    <col min="1034" max="1040" width="11" style="195"/>
    <col min="1041" max="1041" width="8.83203125" style="195" customWidth="1"/>
    <col min="1042" max="1043" width="6.5" style="195" bestFit="1" customWidth="1"/>
    <col min="1044" max="1044" width="5.33203125" style="195" customWidth="1"/>
    <col min="1045" max="1045" width="3.1640625" style="195" customWidth="1"/>
    <col min="1046" max="1046" width="5.33203125" style="195" customWidth="1"/>
    <col min="1047" max="1047" width="4.5" style="195" customWidth="1"/>
    <col min="1048" max="1048" width="4" style="195" customWidth="1"/>
    <col min="1049" max="1049" width="6.1640625" style="195" customWidth="1"/>
    <col min="1050" max="1280" width="11" style="195"/>
    <col min="1281" max="1281" width="9.1640625" style="195" customWidth="1"/>
    <col min="1282" max="1282" width="7.5" style="195" customWidth="1"/>
    <col min="1283" max="1283" width="7.83203125" style="195" customWidth="1"/>
    <col min="1284" max="1284" width="9.5" style="195" customWidth="1"/>
    <col min="1285" max="1285" width="7.83203125" style="195" customWidth="1"/>
    <col min="1286" max="1286" width="7" style="195" customWidth="1"/>
    <col min="1287" max="1287" width="8" style="195" customWidth="1"/>
    <col min="1288" max="1288" width="6.5" style="195" customWidth="1"/>
    <col min="1289" max="1289" width="9" style="195" customWidth="1"/>
    <col min="1290" max="1296" width="11" style="195"/>
    <col min="1297" max="1297" width="8.83203125" style="195" customWidth="1"/>
    <col min="1298" max="1299" width="6.5" style="195" bestFit="1" customWidth="1"/>
    <col min="1300" max="1300" width="5.33203125" style="195" customWidth="1"/>
    <col min="1301" max="1301" width="3.1640625" style="195" customWidth="1"/>
    <col min="1302" max="1302" width="5.33203125" style="195" customWidth="1"/>
    <col min="1303" max="1303" width="4.5" style="195" customWidth="1"/>
    <col min="1304" max="1304" width="4" style="195" customWidth="1"/>
    <col min="1305" max="1305" width="6.1640625" style="195" customWidth="1"/>
    <col min="1306" max="1536" width="11" style="195"/>
    <col min="1537" max="1537" width="9.1640625" style="195" customWidth="1"/>
    <col min="1538" max="1538" width="7.5" style="195" customWidth="1"/>
    <col min="1539" max="1539" width="7.83203125" style="195" customWidth="1"/>
    <col min="1540" max="1540" width="9.5" style="195" customWidth="1"/>
    <col min="1541" max="1541" width="7.83203125" style="195" customWidth="1"/>
    <col min="1542" max="1542" width="7" style="195" customWidth="1"/>
    <col min="1543" max="1543" width="8" style="195" customWidth="1"/>
    <col min="1544" max="1544" width="6.5" style="195" customWidth="1"/>
    <col min="1545" max="1545" width="9" style="195" customWidth="1"/>
    <col min="1546" max="1552" width="11" style="195"/>
    <col min="1553" max="1553" width="8.83203125" style="195" customWidth="1"/>
    <col min="1554" max="1555" width="6.5" style="195" bestFit="1" customWidth="1"/>
    <col min="1556" max="1556" width="5.33203125" style="195" customWidth="1"/>
    <col min="1557" max="1557" width="3.1640625" style="195" customWidth="1"/>
    <col min="1558" max="1558" width="5.33203125" style="195" customWidth="1"/>
    <col min="1559" max="1559" width="4.5" style="195" customWidth="1"/>
    <col min="1560" max="1560" width="4" style="195" customWidth="1"/>
    <col min="1561" max="1561" width="6.1640625" style="195" customWidth="1"/>
    <col min="1562" max="1792" width="11" style="195"/>
    <col min="1793" max="1793" width="9.1640625" style="195" customWidth="1"/>
    <col min="1794" max="1794" width="7.5" style="195" customWidth="1"/>
    <col min="1795" max="1795" width="7.83203125" style="195" customWidth="1"/>
    <col min="1796" max="1796" width="9.5" style="195" customWidth="1"/>
    <col min="1797" max="1797" width="7.83203125" style="195" customWidth="1"/>
    <col min="1798" max="1798" width="7" style="195" customWidth="1"/>
    <col min="1799" max="1799" width="8" style="195" customWidth="1"/>
    <col min="1800" max="1800" width="6.5" style="195" customWidth="1"/>
    <col min="1801" max="1801" width="9" style="195" customWidth="1"/>
    <col min="1802" max="1808" width="11" style="195"/>
    <col min="1809" max="1809" width="8.83203125" style="195" customWidth="1"/>
    <col min="1810" max="1811" width="6.5" style="195" bestFit="1" customWidth="1"/>
    <col min="1812" max="1812" width="5.33203125" style="195" customWidth="1"/>
    <col min="1813" max="1813" width="3.1640625" style="195" customWidth="1"/>
    <col min="1814" max="1814" width="5.33203125" style="195" customWidth="1"/>
    <col min="1815" max="1815" width="4.5" style="195" customWidth="1"/>
    <col min="1816" max="1816" width="4" style="195" customWidth="1"/>
    <col min="1817" max="1817" width="6.1640625" style="195" customWidth="1"/>
    <col min="1818" max="2048" width="11" style="195"/>
    <col min="2049" max="2049" width="9.1640625" style="195" customWidth="1"/>
    <col min="2050" max="2050" width="7.5" style="195" customWidth="1"/>
    <col min="2051" max="2051" width="7.83203125" style="195" customWidth="1"/>
    <col min="2052" max="2052" width="9.5" style="195" customWidth="1"/>
    <col min="2053" max="2053" width="7.83203125" style="195" customWidth="1"/>
    <col min="2054" max="2054" width="7" style="195" customWidth="1"/>
    <col min="2055" max="2055" width="8" style="195" customWidth="1"/>
    <col min="2056" max="2056" width="6.5" style="195" customWidth="1"/>
    <col min="2057" max="2057" width="9" style="195" customWidth="1"/>
    <col min="2058" max="2064" width="11" style="195"/>
    <col min="2065" max="2065" width="8.83203125" style="195" customWidth="1"/>
    <col min="2066" max="2067" width="6.5" style="195" bestFit="1" customWidth="1"/>
    <col min="2068" max="2068" width="5.33203125" style="195" customWidth="1"/>
    <col min="2069" max="2069" width="3.1640625" style="195" customWidth="1"/>
    <col min="2070" max="2070" width="5.33203125" style="195" customWidth="1"/>
    <col min="2071" max="2071" width="4.5" style="195" customWidth="1"/>
    <col min="2072" max="2072" width="4" style="195" customWidth="1"/>
    <col min="2073" max="2073" width="6.1640625" style="195" customWidth="1"/>
    <col min="2074" max="2304" width="11" style="195"/>
    <col min="2305" max="2305" width="9.1640625" style="195" customWidth="1"/>
    <col min="2306" max="2306" width="7.5" style="195" customWidth="1"/>
    <col min="2307" max="2307" width="7.83203125" style="195" customWidth="1"/>
    <col min="2308" max="2308" width="9.5" style="195" customWidth="1"/>
    <col min="2309" max="2309" width="7.83203125" style="195" customWidth="1"/>
    <col min="2310" max="2310" width="7" style="195" customWidth="1"/>
    <col min="2311" max="2311" width="8" style="195" customWidth="1"/>
    <col min="2312" max="2312" width="6.5" style="195" customWidth="1"/>
    <col min="2313" max="2313" width="9" style="195" customWidth="1"/>
    <col min="2314" max="2320" width="11" style="195"/>
    <col min="2321" max="2321" width="8.83203125" style="195" customWidth="1"/>
    <col min="2322" max="2323" width="6.5" style="195" bestFit="1" customWidth="1"/>
    <col min="2324" max="2324" width="5.33203125" style="195" customWidth="1"/>
    <col min="2325" max="2325" width="3.1640625" style="195" customWidth="1"/>
    <col min="2326" max="2326" width="5.33203125" style="195" customWidth="1"/>
    <col min="2327" max="2327" width="4.5" style="195" customWidth="1"/>
    <col min="2328" max="2328" width="4" style="195" customWidth="1"/>
    <col min="2329" max="2329" width="6.1640625" style="195" customWidth="1"/>
    <col min="2330" max="2560" width="11" style="195"/>
    <col min="2561" max="2561" width="9.1640625" style="195" customWidth="1"/>
    <col min="2562" max="2562" width="7.5" style="195" customWidth="1"/>
    <col min="2563" max="2563" width="7.83203125" style="195" customWidth="1"/>
    <col min="2564" max="2564" width="9.5" style="195" customWidth="1"/>
    <col min="2565" max="2565" width="7.83203125" style="195" customWidth="1"/>
    <col min="2566" max="2566" width="7" style="195" customWidth="1"/>
    <col min="2567" max="2567" width="8" style="195" customWidth="1"/>
    <col min="2568" max="2568" width="6.5" style="195" customWidth="1"/>
    <col min="2569" max="2569" width="9" style="195" customWidth="1"/>
    <col min="2570" max="2576" width="11" style="195"/>
    <col min="2577" max="2577" width="8.83203125" style="195" customWidth="1"/>
    <col min="2578" max="2579" width="6.5" style="195" bestFit="1" customWidth="1"/>
    <col min="2580" max="2580" width="5.33203125" style="195" customWidth="1"/>
    <col min="2581" max="2581" width="3.1640625" style="195" customWidth="1"/>
    <col min="2582" max="2582" width="5.33203125" style="195" customWidth="1"/>
    <col min="2583" max="2583" width="4.5" style="195" customWidth="1"/>
    <col min="2584" max="2584" width="4" style="195" customWidth="1"/>
    <col min="2585" max="2585" width="6.1640625" style="195" customWidth="1"/>
    <col min="2586" max="2816" width="11" style="195"/>
    <col min="2817" max="2817" width="9.1640625" style="195" customWidth="1"/>
    <col min="2818" max="2818" width="7.5" style="195" customWidth="1"/>
    <col min="2819" max="2819" width="7.83203125" style="195" customWidth="1"/>
    <col min="2820" max="2820" width="9.5" style="195" customWidth="1"/>
    <col min="2821" max="2821" width="7.83203125" style="195" customWidth="1"/>
    <col min="2822" max="2822" width="7" style="195" customWidth="1"/>
    <col min="2823" max="2823" width="8" style="195" customWidth="1"/>
    <col min="2824" max="2824" width="6.5" style="195" customWidth="1"/>
    <col min="2825" max="2825" width="9" style="195" customWidth="1"/>
    <col min="2826" max="2832" width="11" style="195"/>
    <col min="2833" max="2833" width="8.83203125" style="195" customWidth="1"/>
    <col min="2834" max="2835" width="6.5" style="195" bestFit="1" customWidth="1"/>
    <col min="2836" max="2836" width="5.33203125" style="195" customWidth="1"/>
    <col min="2837" max="2837" width="3.1640625" style="195" customWidth="1"/>
    <col min="2838" max="2838" width="5.33203125" style="195" customWidth="1"/>
    <col min="2839" max="2839" width="4.5" style="195" customWidth="1"/>
    <col min="2840" max="2840" width="4" style="195" customWidth="1"/>
    <col min="2841" max="2841" width="6.1640625" style="195" customWidth="1"/>
    <col min="2842" max="3072" width="11" style="195"/>
    <col min="3073" max="3073" width="9.1640625" style="195" customWidth="1"/>
    <col min="3074" max="3074" width="7.5" style="195" customWidth="1"/>
    <col min="3075" max="3075" width="7.83203125" style="195" customWidth="1"/>
    <col min="3076" max="3076" width="9.5" style="195" customWidth="1"/>
    <col min="3077" max="3077" width="7.83203125" style="195" customWidth="1"/>
    <col min="3078" max="3078" width="7" style="195" customWidth="1"/>
    <col min="3079" max="3079" width="8" style="195" customWidth="1"/>
    <col min="3080" max="3080" width="6.5" style="195" customWidth="1"/>
    <col min="3081" max="3081" width="9" style="195" customWidth="1"/>
    <col min="3082" max="3088" width="11" style="195"/>
    <col min="3089" max="3089" width="8.83203125" style="195" customWidth="1"/>
    <col min="3090" max="3091" width="6.5" style="195" bestFit="1" customWidth="1"/>
    <col min="3092" max="3092" width="5.33203125" style="195" customWidth="1"/>
    <col min="3093" max="3093" width="3.1640625" style="195" customWidth="1"/>
    <col min="3094" max="3094" width="5.33203125" style="195" customWidth="1"/>
    <col min="3095" max="3095" width="4.5" style="195" customWidth="1"/>
    <col min="3096" max="3096" width="4" style="195" customWidth="1"/>
    <col min="3097" max="3097" width="6.1640625" style="195" customWidth="1"/>
    <col min="3098" max="3328" width="11" style="195"/>
    <col min="3329" max="3329" width="9.1640625" style="195" customWidth="1"/>
    <col min="3330" max="3330" width="7.5" style="195" customWidth="1"/>
    <col min="3331" max="3331" width="7.83203125" style="195" customWidth="1"/>
    <col min="3332" max="3332" width="9.5" style="195" customWidth="1"/>
    <col min="3333" max="3333" width="7.83203125" style="195" customWidth="1"/>
    <col min="3334" max="3334" width="7" style="195" customWidth="1"/>
    <col min="3335" max="3335" width="8" style="195" customWidth="1"/>
    <col min="3336" max="3336" width="6.5" style="195" customWidth="1"/>
    <col min="3337" max="3337" width="9" style="195" customWidth="1"/>
    <col min="3338" max="3344" width="11" style="195"/>
    <col min="3345" max="3345" width="8.83203125" style="195" customWidth="1"/>
    <col min="3346" max="3347" width="6.5" style="195" bestFit="1" customWidth="1"/>
    <col min="3348" max="3348" width="5.33203125" style="195" customWidth="1"/>
    <col min="3349" max="3349" width="3.1640625" style="195" customWidth="1"/>
    <col min="3350" max="3350" width="5.33203125" style="195" customWidth="1"/>
    <col min="3351" max="3351" width="4.5" style="195" customWidth="1"/>
    <col min="3352" max="3352" width="4" style="195" customWidth="1"/>
    <col min="3353" max="3353" width="6.1640625" style="195" customWidth="1"/>
    <col min="3354" max="3584" width="11" style="195"/>
    <col min="3585" max="3585" width="9.1640625" style="195" customWidth="1"/>
    <col min="3586" max="3586" width="7.5" style="195" customWidth="1"/>
    <col min="3587" max="3587" width="7.83203125" style="195" customWidth="1"/>
    <col min="3588" max="3588" width="9.5" style="195" customWidth="1"/>
    <col min="3589" max="3589" width="7.83203125" style="195" customWidth="1"/>
    <col min="3590" max="3590" width="7" style="195" customWidth="1"/>
    <col min="3591" max="3591" width="8" style="195" customWidth="1"/>
    <col min="3592" max="3592" width="6.5" style="195" customWidth="1"/>
    <col min="3593" max="3593" width="9" style="195" customWidth="1"/>
    <col min="3594" max="3600" width="11" style="195"/>
    <col min="3601" max="3601" width="8.83203125" style="195" customWidth="1"/>
    <col min="3602" max="3603" width="6.5" style="195" bestFit="1" customWidth="1"/>
    <col min="3604" max="3604" width="5.33203125" style="195" customWidth="1"/>
    <col min="3605" max="3605" width="3.1640625" style="195" customWidth="1"/>
    <col min="3606" max="3606" width="5.33203125" style="195" customWidth="1"/>
    <col min="3607" max="3607" width="4.5" style="195" customWidth="1"/>
    <col min="3608" max="3608" width="4" style="195" customWidth="1"/>
    <col min="3609" max="3609" width="6.1640625" style="195" customWidth="1"/>
    <col min="3610" max="3840" width="11" style="195"/>
    <col min="3841" max="3841" width="9.1640625" style="195" customWidth="1"/>
    <col min="3842" max="3842" width="7.5" style="195" customWidth="1"/>
    <col min="3843" max="3843" width="7.83203125" style="195" customWidth="1"/>
    <col min="3844" max="3844" width="9.5" style="195" customWidth="1"/>
    <col min="3845" max="3845" width="7.83203125" style="195" customWidth="1"/>
    <col min="3846" max="3846" width="7" style="195" customWidth="1"/>
    <col min="3847" max="3847" width="8" style="195" customWidth="1"/>
    <col min="3848" max="3848" width="6.5" style="195" customWidth="1"/>
    <col min="3849" max="3849" width="9" style="195" customWidth="1"/>
    <col min="3850" max="3856" width="11" style="195"/>
    <col min="3857" max="3857" width="8.83203125" style="195" customWidth="1"/>
    <col min="3858" max="3859" width="6.5" style="195" bestFit="1" customWidth="1"/>
    <col min="3860" max="3860" width="5.33203125" style="195" customWidth="1"/>
    <col min="3861" max="3861" width="3.1640625" style="195" customWidth="1"/>
    <col min="3862" max="3862" width="5.33203125" style="195" customWidth="1"/>
    <col min="3863" max="3863" width="4.5" style="195" customWidth="1"/>
    <col min="3864" max="3864" width="4" style="195" customWidth="1"/>
    <col min="3865" max="3865" width="6.1640625" style="195" customWidth="1"/>
    <col min="3866" max="4096" width="11" style="195"/>
    <col min="4097" max="4097" width="9.1640625" style="195" customWidth="1"/>
    <col min="4098" max="4098" width="7.5" style="195" customWidth="1"/>
    <col min="4099" max="4099" width="7.83203125" style="195" customWidth="1"/>
    <col min="4100" max="4100" width="9.5" style="195" customWidth="1"/>
    <col min="4101" max="4101" width="7.83203125" style="195" customWidth="1"/>
    <col min="4102" max="4102" width="7" style="195" customWidth="1"/>
    <col min="4103" max="4103" width="8" style="195" customWidth="1"/>
    <col min="4104" max="4104" width="6.5" style="195" customWidth="1"/>
    <col min="4105" max="4105" width="9" style="195" customWidth="1"/>
    <col min="4106" max="4112" width="11" style="195"/>
    <col min="4113" max="4113" width="8.83203125" style="195" customWidth="1"/>
    <col min="4114" max="4115" width="6.5" style="195" bestFit="1" customWidth="1"/>
    <col min="4116" max="4116" width="5.33203125" style="195" customWidth="1"/>
    <col min="4117" max="4117" width="3.1640625" style="195" customWidth="1"/>
    <col min="4118" max="4118" width="5.33203125" style="195" customWidth="1"/>
    <col min="4119" max="4119" width="4.5" style="195" customWidth="1"/>
    <col min="4120" max="4120" width="4" style="195" customWidth="1"/>
    <col min="4121" max="4121" width="6.1640625" style="195" customWidth="1"/>
    <col min="4122" max="4352" width="11" style="195"/>
    <col min="4353" max="4353" width="9.1640625" style="195" customWidth="1"/>
    <col min="4354" max="4354" width="7.5" style="195" customWidth="1"/>
    <col min="4355" max="4355" width="7.83203125" style="195" customWidth="1"/>
    <col min="4356" max="4356" width="9.5" style="195" customWidth="1"/>
    <col min="4357" max="4357" width="7.83203125" style="195" customWidth="1"/>
    <col min="4358" max="4358" width="7" style="195" customWidth="1"/>
    <col min="4359" max="4359" width="8" style="195" customWidth="1"/>
    <col min="4360" max="4360" width="6.5" style="195" customWidth="1"/>
    <col min="4361" max="4361" width="9" style="195" customWidth="1"/>
    <col min="4362" max="4368" width="11" style="195"/>
    <col min="4369" max="4369" width="8.83203125" style="195" customWidth="1"/>
    <col min="4370" max="4371" width="6.5" style="195" bestFit="1" customWidth="1"/>
    <col min="4372" max="4372" width="5.33203125" style="195" customWidth="1"/>
    <col min="4373" max="4373" width="3.1640625" style="195" customWidth="1"/>
    <col min="4374" max="4374" width="5.33203125" style="195" customWidth="1"/>
    <col min="4375" max="4375" width="4.5" style="195" customWidth="1"/>
    <col min="4376" max="4376" width="4" style="195" customWidth="1"/>
    <col min="4377" max="4377" width="6.1640625" style="195" customWidth="1"/>
    <col min="4378" max="4608" width="11" style="195"/>
    <col min="4609" max="4609" width="9.1640625" style="195" customWidth="1"/>
    <col min="4610" max="4610" width="7.5" style="195" customWidth="1"/>
    <col min="4611" max="4611" width="7.83203125" style="195" customWidth="1"/>
    <col min="4612" max="4612" width="9.5" style="195" customWidth="1"/>
    <col min="4613" max="4613" width="7.83203125" style="195" customWidth="1"/>
    <col min="4614" max="4614" width="7" style="195" customWidth="1"/>
    <col min="4615" max="4615" width="8" style="195" customWidth="1"/>
    <col min="4616" max="4616" width="6.5" style="195" customWidth="1"/>
    <col min="4617" max="4617" width="9" style="195" customWidth="1"/>
    <col min="4618" max="4624" width="11" style="195"/>
    <col min="4625" max="4625" width="8.83203125" style="195" customWidth="1"/>
    <col min="4626" max="4627" width="6.5" style="195" bestFit="1" customWidth="1"/>
    <col min="4628" max="4628" width="5.33203125" style="195" customWidth="1"/>
    <col min="4629" max="4629" width="3.1640625" style="195" customWidth="1"/>
    <col min="4630" max="4630" width="5.33203125" style="195" customWidth="1"/>
    <col min="4631" max="4631" width="4.5" style="195" customWidth="1"/>
    <col min="4632" max="4632" width="4" style="195" customWidth="1"/>
    <col min="4633" max="4633" width="6.1640625" style="195" customWidth="1"/>
    <col min="4634" max="4864" width="11" style="195"/>
    <col min="4865" max="4865" width="9.1640625" style="195" customWidth="1"/>
    <col min="4866" max="4866" width="7.5" style="195" customWidth="1"/>
    <col min="4867" max="4867" width="7.83203125" style="195" customWidth="1"/>
    <col min="4868" max="4868" width="9.5" style="195" customWidth="1"/>
    <col min="4869" max="4869" width="7.83203125" style="195" customWidth="1"/>
    <col min="4870" max="4870" width="7" style="195" customWidth="1"/>
    <col min="4871" max="4871" width="8" style="195" customWidth="1"/>
    <col min="4872" max="4872" width="6.5" style="195" customWidth="1"/>
    <col min="4873" max="4873" width="9" style="195" customWidth="1"/>
    <col min="4874" max="4880" width="11" style="195"/>
    <col min="4881" max="4881" width="8.83203125" style="195" customWidth="1"/>
    <col min="4882" max="4883" width="6.5" style="195" bestFit="1" customWidth="1"/>
    <col min="4884" max="4884" width="5.33203125" style="195" customWidth="1"/>
    <col min="4885" max="4885" width="3.1640625" style="195" customWidth="1"/>
    <col min="4886" max="4886" width="5.33203125" style="195" customWidth="1"/>
    <col min="4887" max="4887" width="4.5" style="195" customWidth="1"/>
    <col min="4888" max="4888" width="4" style="195" customWidth="1"/>
    <col min="4889" max="4889" width="6.1640625" style="195" customWidth="1"/>
    <col min="4890" max="5120" width="11" style="195"/>
    <col min="5121" max="5121" width="9.1640625" style="195" customWidth="1"/>
    <col min="5122" max="5122" width="7.5" style="195" customWidth="1"/>
    <col min="5123" max="5123" width="7.83203125" style="195" customWidth="1"/>
    <col min="5124" max="5124" width="9.5" style="195" customWidth="1"/>
    <col min="5125" max="5125" width="7.83203125" style="195" customWidth="1"/>
    <col min="5126" max="5126" width="7" style="195" customWidth="1"/>
    <col min="5127" max="5127" width="8" style="195" customWidth="1"/>
    <col min="5128" max="5128" width="6.5" style="195" customWidth="1"/>
    <col min="5129" max="5129" width="9" style="195" customWidth="1"/>
    <col min="5130" max="5136" width="11" style="195"/>
    <col min="5137" max="5137" width="8.83203125" style="195" customWidth="1"/>
    <col min="5138" max="5139" width="6.5" style="195" bestFit="1" customWidth="1"/>
    <col min="5140" max="5140" width="5.33203125" style="195" customWidth="1"/>
    <col min="5141" max="5141" width="3.1640625" style="195" customWidth="1"/>
    <col min="5142" max="5142" width="5.33203125" style="195" customWidth="1"/>
    <col min="5143" max="5143" width="4.5" style="195" customWidth="1"/>
    <col min="5144" max="5144" width="4" style="195" customWidth="1"/>
    <col min="5145" max="5145" width="6.1640625" style="195" customWidth="1"/>
    <col min="5146" max="5376" width="11" style="195"/>
    <col min="5377" max="5377" width="9.1640625" style="195" customWidth="1"/>
    <col min="5378" max="5378" width="7.5" style="195" customWidth="1"/>
    <col min="5379" max="5379" width="7.83203125" style="195" customWidth="1"/>
    <col min="5380" max="5380" width="9.5" style="195" customWidth="1"/>
    <col min="5381" max="5381" width="7.83203125" style="195" customWidth="1"/>
    <col min="5382" max="5382" width="7" style="195" customWidth="1"/>
    <col min="5383" max="5383" width="8" style="195" customWidth="1"/>
    <col min="5384" max="5384" width="6.5" style="195" customWidth="1"/>
    <col min="5385" max="5385" width="9" style="195" customWidth="1"/>
    <col min="5386" max="5392" width="11" style="195"/>
    <col min="5393" max="5393" width="8.83203125" style="195" customWidth="1"/>
    <col min="5394" max="5395" width="6.5" style="195" bestFit="1" customWidth="1"/>
    <col min="5396" max="5396" width="5.33203125" style="195" customWidth="1"/>
    <col min="5397" max="5397" width="3.1640625" style="195" customWidth="1"/>
    <col min="5398" max="5398" width="5.33203125" style="195" customWidth="1"/>
    <col min="5399" max="5399" width="4.5" style="195" customWidth="1"/>
    <col min="5400" max="5400" width="4" style="195" customWidth="1"/>
    <col min="5401" max="5401" width="6.1640625" style="195" customWidth="1"/>
    <col min="5402" max="5632" width="11" style="195"/>
    <col min="5633" max="5633" width="9.1640625" style="195" customWidth="1"/>
    <col min="5634" max="5634" width="7.5" style="195" customWidth="1"/>
    <col min="5635" max="5635" width="7.83203125" style="195" customWidth="1"/>
    <col min="5636" max="5636" width="9.5" style="195" customWidth="1"/>
    <col min="5637" max="5637" width="7.83203125" style="195" customWidth="1"/>
    <col min="5638" max="5638" width="7" style="195" customWidth="1"/>
    <col min="5639" max="5639" width="8" style="195" customWidth="1"/>
    <col min="5640" max="5640" width="6.5" style="195" customWidth="1"/>
    <col min="5641" max="5641" width="9" style="195" customWidth="1"/>
    <col min="5642" max="5648" width="11" style="195"/>
    <col min="5649" max="5649" width="8.83203125" style="195" customWidth="1"/>
    <col min="5650" max="5651" width="6.5" style="195" bestFit="1" customWidth="1"/>
    <col min="5652" max="5652" width="5.33203125" style="195" customWidth="1"/>
    <col min="5653" max="5653" width="3.1640625" style="195" customWidth="1"/>
    <col min="5654" max="5654" width="5.33203125" style="195" customWidth="1"/>
    <col min="5655" max="5655" width="4.5" style="195" customWidth="1"/>
    <col min="5656" max="5656" width="4" style="195" customWidth="1"/>
    <col min="5657" max="5657" width="6.1640625" style="195" customWidth="1"/>
    <col min="5658" max="5888" width="11" style="195"/>
    <col min="5889" max="5889" width="9.1640625" style="195" customWidth="1"/>
    <col min="5890" max="5890" width="7.5" style="195" customWidth="1"/>
    <col min="5891" max="5891" width="7.83203125" style="195" customWidth="1"/>
    <col min="5892" max="5892" width="9.5" style="195" customWidth="1"/>
    <col min="5893" max="5893" width="7.83203125" style="195" customWidth="1"/>
    <col min="5894" max="5894" width="7" style="195" customWidth="1"/>
    <col min="5895" max="5895" width="8" style="195" customWidth="1"/>
    <col min="5896" max="5896" width="6.5" style="195" customWidth="1"/>
    <col min="5897" max="5897" width="9" style="195" customWidth="1"/>
    <col min="5898" max="5904" width="11" style="195"/>
    <col min="5905" max="5905" width="8.83203125" style="195" customWidth="1"/>
    <col min="5906" max="5907" width="6.5" style="195" bestFit="1" customWidth="1"/>
    <col min="5908" max="5908" width="5.33203125" style="195" customWidth="1"/>
    <col min="5909" max="5909" width="3.1640625" style="195" customWidth="1"/>
    <col min="5910" max="5910" width="5.33203125" style="195" customWidth="1"/>
    <col min="5911" max="5911" width="4.5" style="195" customWidth="1"/>
    <col min="5912" max="5912" width="4" style="195" customWidth="1"/>
    <col min="5913" max="5913" width="6.1640625" style="195" customWidth="1"/>
    <col min="5914" max="6144" width="11" style="195"/>
    <col min="6145" max="6145" width="9.1640625" style="195" customWidth="1"/>
    <col min="6146" max="6146" width="7.5" style="195" customWidth="1"/>
    <col min="6147" max="6147" width="7.83203125" style="195" customWidth="1"/>
    <col min="6148" max="6148" width="9.5" style="195" customWidth="1"/>
    <col min="6149" max="6149" width="7.83203125" style="195" customWidth="1"/>
    <col min="6150" max="6150" width="7" style="195" customWidth="1"/>
    <col min="6151" max="6151" width="8" style="195" customWidth="1"/>
    <col min="6152" max="6152" width="6.5" style="195" customWidth="1"/>
    <col min="6153" max="6153" width="9" style="195" customWidth="1"/>
    <col min="6154" max="6160" width="11" style="195"/>
    <col min="6161" max="6161" width="8.83203125" style="195" customWidth="1"/>
    <col min="6162" max="6163" width="6.5" style="195" bestFit="1" customWidth="1"/>
    <col min="6164" max="6164" width="5.33203125" style="195" customWidth="1"/>
    <col min="6165" max="6165" width="3.1640625" style="195" customWidth="1"/>
    <col min="6166" max="6166" width="5.33203125" style="195" customWidth="1"/>
    <col min="6167" max="6167" width="4.5" style="195" customWidth="1"/>
    <col min="6168" max="6168" width="4" style="195" customWidth="1"/>
    <col min="6169" max="6169" width="6.1640625" style="195" customWidth="1"/>
    <col min="6170" max="6400" width="11" style="195"/>
    <col min="6401" max="6401" width="9.1640625" style="195" customWidth="1"/>
    <col min="6402" max="6402" width="7.5" style="195" customWidth="1"/>
    <col min="6403" max="6403" width="7.83203125" style="195" customWidth="1"/>
    <col min="6404" max="6404" width="9.5" style="195" customWidth="1"/>
    <col min="6405" max="6405" width="7.83203125" style="195" customWidth="1"/>
    <col min="6406" max="6406" width="7" style="195" customWidth="1"/>
    <col min="6407" max="6407" width="8" style="195" customWidth="1"/>
    <col min="6408" max="6408" width="6.5" style="195" customWidth="1"/>
    <col min="6409" max="6409" width="9" style="195" customWidth="1"/>
    <col min="6410" max="6416" width="11" style="195"/>
    <col min="6417" max="6417" width="8.83203125" style="195" customWidth="1"/>
    <col min="6418" max="6419" width="6.5" style="195" bestFit="1" customWidth="1"/>
    <col min="6420" max="6420" width="5.33203125" style="195" customWidth="1"/>
    <col min="6421" max="6421" width="3.1640625" style="195" customWidth="1"/>
    <col min="6422" max="6422" width="5.33203125" style="195" customWidth="1"/>
    <col min="6423" max="6423" width="4.5" style="195" customWidth="1"/>
    <col min="6424" max="6424" width="4" style="195" customWidth="1"/>
    <col min="6425" max="6425" width="6.1640625" style="195" customWidth="1"/>
    <col min="6426" max="6656" width="11" style="195"/>
    <col min="6657" max="6657" width="9.1640625" style="195" customWidth="1"/>
    <col min="6658" max="6658" width="7.5" style="195" customWidth="1"/>
    <col min="6659" max="6659" width="7.83203125" style="195" customWidth="1"/>
    <col min="6660" max="6660" width="9.5" style="195" customWidth="1"/>
    <col min="6661" max="6661" width="7.83203125" style="195" customWidth="1"/>
    <col min="6662" max="6662" width="7" style="195" customWidth="1"/>
    <col min="6663" max="6663" width="8" style="195" customWidth="1"/>
    <col min="6664" max="6664" width="6.5" style="195" customWidth="1"/>
    <col min="6665" max="6665" width="9" style="195" customWidth="1"/>
    <col min="6666" max="6672" width="11" style="195"/>
    <col min="6673" max="6673" width="8.83203125" style="195" customWidth="1"/>
    <col min="6674" max="6675" width="6.5" style="195" bestFit="1" customWidth="1"/>
    <col min="6676" max="6676" width="5.33203125" style="195" customWidth="1"/>
    <col min="6677" max="6677" width="3.1640625" style="195" customWidth="1"/>
    <col min="6678" max="6678" width="5.33203125" style="195" customWidth="1"/>
    <col min="6679" max="6679" width="4.5" style="195" customWidth="1"/>
    <col min="6680" max="6680" width="4" style="195" customWidth="1"/>
    <col min="6681" max="6681" width="6.1640625" style="195" customWidth="1"/>
    <col min="6682" max="6912" width="11" style="195"/>
    <col min="6913" max="6913" width="9.1640625" style="195" customWidth="1"/>
    <col min="6914" max="6914" width="7.5" style="195" customWidth="1"/>
    <col min="6915" max="6915" width="7.83203125" style="195" customWidth="1"/>
    <col min="6916" max="6916" width="9.5" style="195" customWidth="1"/>
    <col min="6917" max="6917" width="7.83203125" style="195" customWidth="1"/>
    <col min="6918" max="6918" width="7" style="195" customWidth="1"/>
    <col min="6919" max="6919" width="8" style="195" customWidth="1"/>
    <col min="6920" max="6920" width="6.5" style="195" customWidth="1"/>
    <col min="6921" max="6921" width="9" style="195" customWidth="1"/>
    <col min="6922" max="6928" width="11" style="195"/>
    <col min="6929" max="6929" width="8.83203125" style="195" customWidth="1"/>
    <col min="6930" max="6931" width="6.5" style="195" bestFit="1" customWidth="1"/>
    <col min="6932" max="6932" width="5.33203125" style="195" customWidth="1"/>
    <col min="6933" max="6933" width="3.1640625" style="195" customWidth="1"/>
    <col min="6934" max="6934" width="5.33203125" style="195" customWidth="1"/>
    <col min="6935" max="6935" width="4.5" style="195" customWidth="1"/>
    <col min="6936" max="6936" width="4" style="195" customWidth="1"/>
    <col min="6937" max="6937" width="6.1640625" style="195" customWidth="1"/>
    <col min="6938" max="7168" width="11" style="195"/>
    <col min="7169" max="7169" width="9.1640625" style="195" customWidth="1"/>
    <col min="7170" max="7170" width="7.5" style="195" customWidth="1"/>
    <col min="7171" max="7171" width="7.83203125" style="195" customWidth="1"/>
    <col min="7172" max="7172" width="9.5" style="195" customWidth="1"/>
    <col min="7173" max="7173" width="7.83203125" style="195" customWidth="1"/>
    <col min="7174" max="7174" width="7" style="195" customWidth="1"/>
    <col min="7175" max="7175" width="8" style="195" customWidth="1"/>
    <col min="7176" max="7176" width="6.5" style="195" customWidth="1"/>
    <col min="7177" max="7177" width="9" style="195" customWidth="1"/>
    <col min="7178" max="7184" width="11" style="195"/>
    <col min="7185" max="7185" width="8.83203125" style="195" customWidth="1"/>
    <col min="7186" max="7187" width="6.5" style="195" bestFit="1" customWidth="1"/>
    <col min="7188" max="7188" width="5.33203125" style="195" customWidth="1"/>
    <col min="7189" max="7189" width="3.1640625" style="195" customWidth="1"/>
    <col min="7190" max="7190" width="5.33203125" style="195" customWidth="1"/>
    <col min="7191" max="7191" width="4.5" style="195" customWidth="1"/>
    <col min="7192" max="7192" width="4" style="195" customWidth="1"/>
    <col min="7193" max="7193" width="6.1640625" style="195" customWidth="1"/>
    <col min="7194" max="7424" width="11" style="195"/>
    <col min="7425" max="7425" width="9.1640625" style="195" customWidth="1"/>
    <col min="7426" max="7426" width="7.5" style="195" customWidth="1"/>
    <col min="7427" max="7427" width="7.83203125" style="195" customWidth="1"/>
    <col min="7428" max="7428" width="9.5" style="195" customWidth="1"/>
    <col min="7429" max="7429" width="7.83203125" style="195" customWidth="1"/>
    <col min="7430" max="7430" width="7" style="195" customWidth="1"/>
    <col min="7431" max="7431" width="8" style="195" customWidth="1"/>
    <col min="7432" max="7432" width="6.5" style="195" customWidth="1"/>
    <col min="7433" max="7433" width="9" style="195" customWidth="1"/>
    <col min="7434" max="7440" width="11" style="195"/>
    <col min="7441" max="7441" width="8.83203125" style="195" customWidth="1"/>
    <col min="7442" max="7443" width="6.5" style="195" bestFit="1" customWidth="1"/>
    <col min="7444" max="7444" width="5.33203125" style="195" customWidth="1"/>
    <col min="7445" max="7445" width="3.1640625" style="195" customWidth="1"/>
    <col min="7446" max="7446" width="5.33203125" style="195" customWidth="1"/>
    <col min="7447" max="7447" width="4.5" style="195" customWidth="1"/>
    <col min="7448" max="7448" width="4" style="195" customWidth="1"/>
    <col min="7449" max="7449" width="6.1640625" style="195" customWidth="1"/>
    <col min="7450" max="7680" width="11" style="195"/>
    <col min="7681" max="7681" width="9.1640625" style="195" customWidth="1"/>
    <col min="7682" max="7682" width="7.5" style="195" customWidth="1"/>
    <col min="7683" max="7683" width="7.83203125" style="195" customWidth="1"/>
    <col min="7684" max="7684" width="9.5" style="195" customWidth="1"/>
    <col min="7685" max="7685" width="7.83203125" style="195" customWidth="1"/>
    <col min="7686" max="7686" width="7" style="195" customWidth="1"/>
    <col min="7687" max="7687" width="8" style="195" customWidth="1"/>
    <col min="7688" max="7688" width="6.5" style="195" customWidth="1"/>
    <col min="7689" max="7689" width="9" style="195" customWidth="1"/>
    <col min="7690" max="7696" width="11" style="195"/>
    <col min="7697" max="7697" width="8.83203125" style="195" customWidth="1"/>
    <col min="7698" max="7699" width="6.5" style="195" bestFit="1" customWidth="1"/>
    <col min="7700" max="7700" width="5.33203125" style="195" customWidth="1"/>
    <col min="7701" max="7701" width="3.1640625" style="195" customWidth="1"/>
    <col min="7702" max="7702" width="5.33203125" style="195" customWidth="1"/>
    <col min="7703" max="7703" width="4.5" style="195" customWidth="1"/>
    <col min="7704" max="7704" width="4" style="195" customWidth="1"/>
    <col min="7705" max="7705" width="6.1640625" style="195" customWidth="1"/>
    <col min="7706" max="7936" width="11" style="195"/>
    <col min="7937" max="7937" width="9.1640625" style="195" customWidth="1"/>
    <col min="7938" max="7938" width="7.5" style="195" customWidth="1"/>
    <col min="7939" max="7939" width="7.83203125" style="195" customWidth="1"/>
    <col min="7940" max="7940" width="9.5" style="195" customWidth="1"/>
    <col min="7941" max="7941" width="7.83203125" style="195" customWidth="1"/>
    <col min="7942" max="7942" width="7" style="195" customWidth="1"/>
    <col min="7943" max="7943" width="8" style="195" customWidth="1"/>
    <col min="7944" max="7944" width="6.5" style="195" customWidth="1"/>
    <col min="7945" max="7945" width="9" style="195" customWidth="1"/>
    <col min="7946" max="7952" width="11" style="195"/>
    <col min="7953" max="7953" width="8.83203125" style="195" customWidth="1"/>
    <col min="7954" max="7955" width="6.5" style="195" bestFit="1" customWidth="1"/>
    <col min="7956" max="7956" width="5.33203125" style="195" customWidth="1"/>
    <col min="7957" max="7957" width="3.1640625" style="195" customWidth="1"/>
    <col min="7958" max="7958" width="5.33203125" style="195" customWidth="1"/>
    <col min="7959" max="7959" width="4.5" style="195" customWidth="1"/>
    <col min="7960" max="7960" width="4" style="195" customWidth="1"/>
    <col min="7961" max="7961" width="6.1640625" style="195" customWidth="1"/>
    <col min="7962" max="8192" width="11" style="195"/>
    <col min="8193" max="8193" width="9.1640625" style="195" customWidth="1"/>
    <col min="8194" max="8194" width="7.5" style="195" customWidth="1"/>
    <col min="8195" max="8195" width="7.83203125" style="195" customWidth="1"/>
    <col min="8196" max="8196" width="9.5" style="195" customWidth="1"/>
    <col min="8197" max="8197" width="7.83203125" style="195" customWidth="1"/>
    <col min="8198" max="8198" width="7" style="195" customWidth="1"/>
    <col min="8199" max="8199" width="8" style="195" customWidth="1"/>
    <col min="8200" max="8200" width="6.5" style="195" customWidth="1"/>
    <col min="8201" max="8201" width="9" style="195" customWidth="1"/>
    <col min="8202" max="8208" width="11" style="195"/>
    <col min="8209" max="8209" width="8.83203125" style="195" customWidth="1"/>
    <col min="8210" max="8211" width="6.5" style="195" bestFit="1" customWidth="1"/>
    <col min="8212" max="8212" width="5.33203125" style="195" customWidth="1"/>
    <col min="8213" max="8213" width="3.1640625" style="195" customWidth="1"/>
    <col min="8214" max="8214" width="5.33203125" style="195" customWidth="1"/>
    <col min="8215" max="8215" width="4.5" style="195" customWidth="1"/>
    <col min="8216" max="8216" width="4" style="195" customWidth="1"/>
    <col min="8217" max="8217" width="6.1640625" style="195" customWidth="1"/>
    <col min="8218" max="8448" width="11" style="195"/>
    <col min="8449" max="8449" width="9.1640625" style="195" customWidth="1"/>
    <col min="8450" max="8450" width="7.5" style="195" customWidth="1"/>
    <col min="8451" max="8451" width="7.83203125" style="195" customWidth="1"/>
    <col min="8452" max="8452" width="9.5" style="195" customWidth="1"/>
    <col min="8453" max="8453" width="7.83203125" style="195" customWidth="1"/>
    <col min="8454" max="8454" width="7" style="195" customWidth="1"/>
    <col min="8455" max="8455" width="8" style="195" customWidth="1"/>
    <col min="8456" max="8456" width="6.5" style="195" customWidth="1"/>
    <col min="8457" max="8457" width="9" style="195" customWidth="1"/>
    <col min="8458" max="8464" width="11" style="195"/>
    <col min="8465" max="8465" width="8.83203125" style="195" customWidth="1"/>
    <col min="8466" max="8467" width="6.5" style="195" bestFit="1" customWidth="1"/>
    <col min="8468" max="8468" width="5.33203125" style="195" customWidth="1"/>
    <col min="8469" max="8469" width="3.1640625" style="195" customWidth="1"/>
    <col min="8470" max="8470" width="5.33203125" style="195" customWidth="1"/>
    <col min="8471" max="8471" width="4.5" style="195" customWidth="1"/>
    <col min="8472" max="8472" width="4" style="195" customWidth="1"/>
    <col min="8473" max="8473" width="6.1640625" style="195" customWidth="1"/>
    <col min="8474" max="8704" width="11" style="195"/>
    <col min="8705" max="8705" width="9.1640625" style="195" customWidth="1"/>
    <col min="8706" max="8706" width="7.5" style="195" customWidth="1"/>
    <col min="8707" max="8707" width="7.83203125" style="195" customWidth="1"/>
    <col min="8708" max="8708" width="9.5" style="195" customWidth="1"/>
    <col min="8709" max="8709" width="7.83203125" style="195" customWidth="1"/>
    <col min="8710" max="8710" width="7" style="195" customWidth="1"/>
    <col min="8711" max="8711" width="8" style="195" customWidth="1"/>
    <col min="8712" max="8712" width="6.5" style="195" customWidth="1"/>
    <col min="8713" max="8713" width="9" style="195" customWidth="1"/>
    <col min="8714" max="8720" width="11" style="195"/>
    <col min="8721" max="8721" width="8.83203125" style="195" customWidth="1"/>
    <col min="8722" max="8723" width="6.5" style="195" bestFit="1" customWidth="1"/>
    <col min="8724" max="8724" width="5.33203125" style="195" customWidth="1"/>
    <col min="8725" max="8725" width="3.1640625" style="195" customWidth="1"/>
    <col min="8726" max="8726" width="5.33203125" style="195" customWidth="1"/>
    <col min="8727" max="8727" width="4.5" style="195" customWidth="1"/>
    <col min="8728" max="8728" width="4" style="195" customWidth="1"/>
    <col min="8729" max="8729" width="6.1640625" style="195" customWidth="1"/>
    <col min="8730" max="8960" width="11" style="195"/>
    <col min="8961" max="8961" width="9.1640625" style="195" customWidth="1"/>
    <col min="8962" max="8962" width="7.5" style="195" customWidth="1"/>
    <col min="8963" max="8963" width="7.83203125" style="195" customWidth="1"/>
    <col min="8964" max="8964" width="9.5" style="195" customWidth="1"/>
    <col min="8965" max="8965" width="7.83203125" style="195" customWidth="1"/>
    <col min="8966" max="8966" width="7" style="195" customWidth="1"/>
    <col min="8967" max="8967" width="8" style="195" customWidth="1"/>
    <col min="8968" max="8968" width="6.5" style="195" customWidth="1"/>
    <col min="8969" max="8969" width="9" style="195" customWidth="1"/>
    <col min="8970" max="8976" width="11" style="195"/>
    <col min="8977" max="8977" width="8.83203125" style="195" customWidth="1"/>
    <col min="8978" max="8979" width="6.5" style="195" bestFit="1" customWidth="1"/>
    <col min="8980" max="8980" width="5.33203125" style="195" customWidth="1"/>
    <col min="8981" max="8981" width="3.1640625" style="195" customWidth="1"/>
    <col min="8982" max="8982" width="5.33203125" style="195" customWidth="1"/>
    <col min="8983" max="8983" width="4.5" style="195" customWidth="1"/>
    <col min="8984" max="8984" width="4" style="195" customWidth="1"/>
    <col min="8985" max="8985" width="6.1640625" style="195" customWidth="1"/>
    <col min="8986" max="9216" width="11" style="195"/>
    <col min="9217" max="9217" width="9.1640625" style="195" customWidth="1"/>
    <col min="9218" max="9218" width="7.5" style="195" customWidth="1"/>
    <col min="9219" max="9219" width="7.83203125" style="195" customWidth="1"/>
    <col min="9220" max="9220" width="9.5" style="195" customWidth="1"/>
    <col min="9221" max="9221" width="7.83203125" style="195" customWidth="1"/>
    <col min="9222" max="9222" width="7" style="195" customWidth="1"/>
    <col min="9223" max="9223" width="8" style="195" customWidth="1"/>
    <col min="9224" max="9224" width="6.5" style="195" customWidth="1"/>
    <col min="9225" max="9225" width="9" style="195" customWidth="1"/>
    <col min="9226" max="9232" width="11" style="195"/>
    <col min="9233" max="9233" width="8.83203125" style="195" customWidth="1"/>
    <col min="9234" max="9235" width="6.5" style="195" bestFit="1" customWidth="1"/>
    <col min="9236" max="9236" width="5.33203125" style="195" customWidth="1"/>
    <col min="9237" max="9237" width="3.1640625" style="195" customWidth="1"/>
    <col min="9238" max="9238" width="5.33203125" style="195" customWidth="1"/>
    <col min="9239" max="9239" width="4.5" style="195" customWidth="1"/>
    <col min="9240" max="9240" width="4" style="195" customWidth="1"/>
    <col min="9241" max="9241" width="6.1640625" style="195" customWidth="1"/>
    <col min="9242" max="9472" width="11" style="195"/>
    <col min="9473" max="9473" width="9.1640625" style="195" customWidth="1"/>
    <col min="9474" max="9474" width="7.5" style="195" customWidth="1"/>
    <col min="9475" max="9475" width="7.83203125" style="195" customWidth="1"/>
    <col min="9476" max="9476" width="9.5" style="195" customWidth="1"/>
    <col min="9477" max="9477" width="7.83203125" style="195" customWidth="1"/>
    <col min="9478" max="9478" width="7" style="195" customWidth="1"/>
    <col min="9479" max="9479" width="8" style="195" customWidth="1"/>
    <col min="9480" max="9480" width="6.5" style="195" customWidth="1"/>
    <col min="9481" max="9481" width="9" style="195" customWidth="1"/>
    <col min="9482" max="9488" width="11" style="195"/>
    <col min="9489" max="9489" width="8.83203125" style="195" customWidth="1"/>
    <col min="9490" max="9491" width="6.5" style="195" bestFit="1" customWidth="1"/>
    <col min="9492" max="9492" width="5.33203125" style="195" customWidth="1"/>
    <col min="9493" max="9493" width="3.1640625" style="195" customWidth="1"/>
    <col min="9494" max="9494" width="5.33203125" style="195" customWidth="1"/>
    <col min="9495" max="9495" width="4.5" style="195" customWidth="1"/>
    <col min="9496" max="9496" width="4" style="195" customWidth="1"/>
    <col min="9497" max="9497" width="6.1640625" style="195" customWidth="1"/>
    <col min="9498" max="9728" width="11" style="195"/>
    <col min="9729" max="9729" width="9.1640625" style="195" customWidth="1"/>
    <col min="9730" max="9730" width="7.5" style="195" customWidth="1"/>
    <col min="9731" max="9731" width="7.83203125" style="195" customWidth="1"/>
    <col min="9732" max="9732" width="9.5" style="195" customWidth="1"/>
    <col min="9733" max="9733" width="7.83203125" style="195" customWidth="1"/>
    <col min="9734" max="9734" width="7" style="195" customWidth="1"/>
    <col min="9735" max="9735" width="8" style="195" customWidth="1"/>
    <col min="9736" max="9736" width="6.5" style="195" customWidth="1"/>
    <col min="9737" max="9737" width="9" style="195" customWidth="1"/>
    <col min="9738" max="9744" width="11" style="195"/>
    <col min="9745" max="9745" width="8.83203125" style="195" customWidth="1"/>
    <col min="9746" max="9747" width="6.5" style="195" bestFit="1" customWidth="1"/>
    <col min="9748" max="9748" width="5.33203125" style="195" customWidth="1"/>
    <col min="9749" max="9749" width="3.1640625" style="195" customWidth="1"/>
    <col min="9750" max="9750" width="5.33203125" style="195" customWidth="1"/>
    <col min="9751" max="9751" width="4.5" style="195" customWidth="1"/>
    <col min="9752" max="9752" width="4" style="195" customWidth="1"/>
    <col min="9753" max="9753" width="6.1640625" style="195" customWidth="1"/>
    <col min="9754" max="9984" width="11" style="195"/>
    <col min="9985" max="9985" width="9.1640625" style="195" customWidth="1"/>
    <col min="9986" max="9986" width="7.5" style="195" customWidth="1"/>
    <col min="9987" max="9987" width="7.83203125" style="195" customWidth="1"/>
    <col min="9988" max="9988" width="9.5" style="195" customWidth="1"/>
    <col min="9989" max="9989" width="7.83203125" style="195" customWidth="1"/>
    <col min="9990" max="9990" width="7" style="195" customWidth="1"/>
    <col min="9991" max="9991" width="8" style="195" customWidth="1"/>
    <col min="9992" max="9992" width="6.5" style="195" customWidth="1"/>
    <col min="9993" max="9993" width="9" style="195" customWidth="1"/>
    <col min="9994" max="10000" width="11" style="195"/>
    <col min="10001" max="10001" width="8.83203125" style="195" customWidth="1"/>
    <col min="10002" max="10003" width="6.5" style="195" bestFit="1" customWidth="1"/>
    <col min="10004" max="10004" width="5.33203125" style="195" customWidth="1"/>
    <col min="10005" max="10005" width="3.1640625" style="195" customWidth="1"/>
    <col min="10006" max="10006" width="5.33203125" style="195" customWidth="1"/>
    <col min="10007" max="10007" width="4.5" style="195" customWidth="1"/>
    <col min="10008" max="10008" width="4" style="195" customWidth="1"/>
    <col min="10009" max="10009" width="6.1640625" style="195" customWidth="1"/>
    <col min="10010" max="10240" width="11" style="195"/>
    <col min="10241" max="10241" width="9.1640625" style="195" customWidth="1"/>
    <col min="10242" max="10242" width="7.5" style="195" customWidth="1"/>
    <col min="10243" max="10243" width="7.83203125" style="195" customWidth="1"/>
    <col min="10244" max="10244" width="9.5" style="195" customWidth="1"/>
    <col min="10245" max="10245" width="7.83203125" style="195" customWidth="1"/>
    <col min="10246" max="10246" width="7" style="195" customWidth="1"/>
    <col min="10247" max="10247" width="8" style="195" customWidth="1"/>
    <col min="10248" max="10248" width="6.5" style="195" customWidth="1"/>
    <col min="10249" max="10249" width="9" style="195" customWidth="1"/>
    <col min="10250" max="10256" width="11" style="195"/>
    <col min="10257" max="10257" width="8.83203125" style="195" customWidth="1"/>
    <col min="10258" max="10259" width="6.5" style="195" bestFit="1" customWidth="1"/>
    <col min="10260" max="10260" width="5.33203125" style="195" customWidth="1"/>
    <col min="10261" max="10261" width="3.1640625" style="195" customWidth="1"/>
    <col min="10262" max="10262" width="5.33203125" style="195" customWidth="1"/>
    <col min="10263" max="10263" width="4.5" style="195" customWidth="1"/>
    <col min="10264" max="10264" width="4" style="195" customWidth="1"/>
    <col min="10265" max="10265" width="6.1640625" style="195" customWidth="1"/>
    <col min="10266" max="10496" width="11" style="195"/>
    <col min="10497" max="10497" width="9.1640625" style="195" customWidth="1"/>
    <col min="10498" max="10498" width="7.5" style="195" customWidth="1"/>
    <col min="10499" max="10499" width="7.83203125" style="195" customWidth="1"/>
    <col min="10500" max="10500" width="9.5" style="195" customWidth="1"/>
    <col min="10501" max="10501" width="7.83203125" style="195" customWidth="1"/>
    <col min="10502" max="10502" width="7" style="195" customWidth="1"/>
    <col min="10503" max="10503" width="8" style="195" customWidth="1"/>
    <col min="10504" max="10504" width="6.5" style="195" customWidth="1"/>
    <col min="10505" max="10505" width="9" style="195" customWidth="1"/>
    <col min="10506" max="10512" width="11" style="195"/>
    <col min="10513" max="10513" width="8.83203125" style="195" customWidth="1"/>
    <col min="10514" max="10515" width="6.5" style="195" bestFit="1" customWidth="1"/>
    <col min="10516" max="10516" width="5.33203125" style="195" customWidth="1"/>
    <col min="10517" max="10517" width="3.1640625" style="195" customWidth="1"/>
    <col min="10518" max="10518" width="5.33203125" style="195" customWidth="1"/>
    <col min="10519" max="10519" width="4.5" style="195" customWidth="1"/>
    <col min="10520" max="10520" width="4" style="195" customWidth="1"/>
    <col min="10521" max="10521" width="6.1640625" style="195" customWidth="1"/>
    <col min="10522" max="10752" width="11" style="195"/>
    <col min="10753" max="10753" width="9.1640625" style="195" customWidth="1"/>
    <col min="10754" max="10754" width="7.5" style="195" customWidth="1"/>
    <col min="10755" max="10755" width="7.83203125" style="195" customWidth="1"/>
    <col min="10756" max="10756" width="9.5" style="195" customWidth="1"/>
    <col min="10757" max="10757" width="7.83203125" style="195" customWidth="1"/>
    <col min="10758" max="10758" width="7" style="195" customWidth="1"/>
    <col min="10759" max="10759" width="8" style="195" customWidth="1"/>
    <col min="10760" max="10760" width="6.5" style="195" customWidth="1"/>
    <col min="10761" max="10761" width="9" style="195" customWidth="1"/>
    <col min="10762" max="10768" width="11" style="195"/>
    <col min="10769" max="10769" width="8.83203125" style="195" customWidth="1"/>
    <col min="10770" max="10771" width="6.5" style="195" bestFit="1" customWidth="1"/>
    <col min="10772" max="10772" width="5.33203125" style="195" customWidth="1"/>
    <col min="10773" max="10773" width="3.1640625" style="195" customWidth="1"/>
    <col min="10774" max="10774" width="5.33203125" style="195" customWidth="1"/>
    <col min="10775" max="10775" width="4.5" style="195" customWidth="1"/>
    <col min="10776" max="10776" width="4" style="195" customWidth="1"/>
    <col min="10777" max="10777" width="6.1640625" style="195" customWidth="1"/>
    <col min="10778" max="11008" width="11" style="195"/>
    <col min="11009" max="11009" width="9.1640625" style="195" customWidth="1"/>
    <col min="11010" max="11010" width="7.5" style="195" customWidth="1"/>
    <col min="11011" max="11011" width="7.83203125" style="195" customWidth="1"/>
    <col min="11012" max="11012" width="9.5" style="195" customWidth="1"/>
    <col min="11013" max="11013" width="7.83203125" style="195" customWidth="1"/>
    <col min="11014" max="11014" width="7" style="195" customWidth="1"/>
    <col min="11015" max="11015" width="8" style="195" customWidth="1"/>
    <col min="11016" max="11016" width="6.5" style="195" customWidth="1"/>
    <col min="11017" max="11017" width="9" style="195" customWidth="1"/>
    <col min="11018" max="11024" width="11" style="195"/>
    <col min="11025" max="11025" width="8.83203125" style="195" customWidth="1"/>
    <col min="11026" max="11027" width="6.5" style="195" bestFit="1" customWidth="1"/>
    <col min="11028" max="11028" width="5.33203125" style="195" customWidth="1"/>
    <col min="11029" max="11029" width="3.1640625" style="195" customWidth="1"/>
    <col min="11030" max="11030" width="5.33203125" style="195" customWidth="1"/>
    <col min="11031" max="11031" width="4.5" style="195" customWidth="1"/>
    <col min="11032" max="11032" width="4" style="195" customWidth="1"/>
    <col min="11033" max="11033" width="6.1640625" style="195" customWidth="1"/>
    <col min="11034" max="11264" width="11" style="195"/>
    <col min="11265" max="11265" width="9.1640625" style="195" customWidth="1"/>
    <col min="11266" max="11266" width="7.5" style="195" customWidth="1"/>
    <col min="11267" max="11267" width="7.83203125" style="195" customWidth="1"/>
    <col min="11268" max="11268" width="9.5" style="195" customWidth="1"/>
    <col min="11269" max="11269" width="7.83203125" style="195" customWidth="1"/>
    <col min="11270" max="11270" width="7" style="195" customWidth="1"/>
    <col min="11271" max="11271" width="8" style="195" customWidth="1"/>
    <col min="11272" max="11272" width="6.5" style="195" customWidth="1"/>
    <col min="11273" max="11273" width="9" style="195" customWidth="1"/>
    <col min="11274" max="11280" width="11" style="195"/>
    <col min="11281" max="11281" width="8.83203125" style="195" customWidth="1"/>
    <col min="11282" max="11283" width="6.5" style="195" bestFit="1" customWidth="1"/>
    <col min="11284" max="11284" width="5.33203125" style="195" customWidth="1"/>
    <col min="11285" max="11285" width="3.1640625" style="195" customWidth="1"/>
    <col min="11286" max="11286" width="5.33203125" style="195" customWidth="1"/>
    <col min="11287" max="11287" width="4.5" style="195" customWidth="1"/>
    <col min="11288" max="11288" width="4" style="195" customWidth="1"/>
    <col min="11289" max="11289" width="6.1640625" style="195" customWidth="1"/>
    <col min="11290" max="11520" width="11" style="195"/>
    <col min="11521" max="11521" width="9.1640625" style="195" customWidth="1"/>
    <col min="11522" max="11522" width="7.5" style="195" customWidth="1"/>
    <col min="11523" max="11523" width="7.83203125" style="195" customWidth="1"/>
    <col min="11524" max="11524" width="9.5" style="195" customWidth="1"/>
    <col min="11525" max="11525" width="7.83203125" style="195" customWidth="1"/>
    <col min="11526" max="11526" width="7" style="195" customWidth="1"/>
    <col min="11527" max="11527" width="8" style="195" customWidth="1"/>
    <col min="11528" max="11528" width="6.5" style="195" customWidth="1"/>
    <col min="11529" max="11529" width="9" style="195" customWidth="1"/>
    <col min="11530" max="11536" width="11" style="195"/>
    <col min="11537" max="11537" width="8.83203125" style="195" customWidth="1"/>
    <col min="11538" max="11539" width="6.5" style="195" bestFit="1" customWidth="1"/>
    <col min="11540" max="11540" width="5.33203125" style="195" customWidth="1"/>
    <col min="11541" max="11541" width="3.1640625" style="195" customWidth="1"/>
    <col min="11542" max="11542" width="5.33203125" style="195" customWidth="1"/>
    <col min="11543" max="11543" width="4.5" style="195" customWidth="1"/>
    <col min="11544" max="11544" width="4" style="195" customWidth="1"/>
    <col min="11545" max="11545" width="6.1640625" style="195" customWidth="1"/>
    <col min="11546" max="11776" width="11" style="195"/>
    <col min="11777" max="11777" width="9.1640625" style="195" customWidth="1"/>
    <col min="11778" max="11778" width="7.5" style="195" customWidth="1"/>
    <col min="11779" max="11779" width="7.83203125" style="195" customWidth="1"/>
    <col min="11780" max="11780" width="9.5" style="195" customWidth="1"/>
    <col min="11781" max="11781" width="7.83203125" style="195" customWidth="1"/>
    <col min="11782" max="11782" width="7" style="195" customWidth="1"/>
    <col min="11783" max="11783" width="8" style="195" customWidth="1"/>
    <col min="11784" max="11784" width="6.5" style="195" customWidth="1"/>
    <col min="11785" max="11785" width="9" style="195" customWidth="1"/>
    <col min="11786" max="11792" width="11" style="195"/>
    <col min="11793" max="11793" width="8.83203125" style="195" customWidth="1"/>
    <col min="11794" max="11795" width="6.5" style="195" bestFit="1" customWidth="1"/>
    <col min="11796" max="11796" width="5.33203125" style="195" customWidth="1"/>
    <col min="11797" max="11797" width="3.1640625" style="195" customWidth="1"/>
    <col min="11798" max="11798" width="5.33203125" style="195" customWidth="1"/>
    <col min="11799" max="11799" width="4.5" style="195" customWidth="1"/>
    <col min="11800" max="11800" width="4" style="195" customWidth="1"/>
    <col min="11801" max="11801" width="6.1640625" style="195" customWidth="1"/>
    <col min="11802" max="12032" width="11" style="195"/>
    <col min="12033" max="12033" width="9.1640625" style="195" customWidth="1"/>
    <col min="12034" max="12034" width="7.5" style="195" customWidth="1"/>
    <col min="12035" max="12035" width="7.83203125" style="195" customWidth="1"/>
    <col min="12036" max="12036" width="9.5" style="195" customWidth="1"/>
    <col min="12037" max="12037" width="7.83203125" style="195" customWidth="1"/>
    <col min="12038" max="12038" width="7" style="195" customWidth="1"/>
    <col min="12039" max="12039" width="8" style="195" customWidth="1"/>
    <col min="12040" max="12040" width="6.5" style="195" customWidth="1"/>
    <col min="12041" max="12041" width="9" style="195" customWidth="1"/>
    <col min="12042" max="12048" width="11" style="195"/>
    <col min="12049" max="12049" width="8.83203125" style="195" customWidth="1"/>
    <col min="12050" max="12051" width="6.5" style="195" bestFit="1" customWidth="1"/>
    <col min="12052" max="12052" width="5.33203125" style="195" customWidth="1"/>
    <col min="12053" max="12053" width="3.1640625" style="195" customWidth="1"/>
    <col min="12054" max="12054" width="5.33203125" style="195" customWidth="1"/>
    <col min="12055" max="12055" width="4.5" style="195" customWidth="1"/>
    <col min="12056" max="12056" width="4" style="195" customWidth="1"/>
    <col min="12057" max="12057" width="6.1640625" style="195" customWidth="1"/>
    <col min="12058" max="12288" width="11" style="195"/>
    <col min="12289" max="12289" width="9.1640625" style="195" customWidth="1"/>
    <col min="12290" max="12290" width="7.5" style="195" customWidth="1"/>
    <col min="12291" max="12291" width="7.83203125" style="195" customWidth="1"/>
    <col min="12292" max="12292" width="9.5" style="195" customWidth="1"/>
    <col min="12293" max="12293" width="7.83203125" style="195" customWidth="1"/>
    <col min="12294" max="12294" width="7" style="195" customWidth="1"/>
    <col min="12295" max="12295" width="8" style="195" customWidth="1"/>
    <col min="12296" max="12296" width="6.5" style="195" customWidth="1"/>
    <col min="12297" max="12297" width="9" style="195" customWidth="1"/>
    <col min="12298" max="12304" width="11" style="195"/>
    <col min="12305" max="12305" width="8.83203125" style="195" customWidth="1"/>
    <col min="12306" max="12307" width="6.5" style="195" bestFit="1" customWidth="1"/>
    <col min="12308" max="12308" width="5.33203125" style="195" customWidth="1"/>
    <col min="12309" max="12309" width="3.1640625" style="195" customWidth="1"/>
    <col min="12310" max="12310" width="5.33203125" style="195" customWidth="1"/>
    <col min="12311" max="12311" width="4.5" style="195" customWidth="1"/>
    <col min="12312" max="12312" width="4" style="195" customWidth="1"/>
    <col min="12313" max="12313" width="6.1640625" style="195" customWidth="1"/>
    <col min="12314" max="12544" width="11" style="195"/>
    <col min="12545" max="12545" width="9.1640625" style="195" customWidth="1"/>
    <col min="12546" max="12546" width="7.5" style="195" customWidth="1"/>
    <col min="12547" max="12547" width="7.83203125" style="195" customWidth="1"/>
    <col min="12548" max="12548" width="9.5" style="195" customWidth="1"/>
    <col min="12549" max="12549" width="7.83203125" style="195" customWidth="1"/>
    <col min="12550" max="12550" width="7" style="195" customWidth="1"/>
    <col min="12551" max="12551" width="8" style="195" customWidth="1"/>
    <col min="12552" max="12552" width="6.5" style="195" customWidth="1"/>
    <col min="12553" max="12553" width="9" style="195" customWidth="1"/>
    <col min="12554" max="12560" width="11" style="195"/>
    <col min="12561" max="12561" width="8.83203125" style="195" customWidth="1"/>
    <col min="12562" max="12563" width="6.5" style="195" bestFit="1" customWidth="1"/>
    <col min="12564" max="12564" width="5.33203125" style="195" customWidth="1"/>
    <col min="12565" max="12565" width="3.1640625" style="195" customWidth="1"/>
    <col min="12566" max="12566" width="5.33203125" style="195" customWidth="1"/>
    <col min="12567" max="12567" width="4.5" style="195" customWidth="1"/>
    <col min="12568" max="12568" width="4" style="195" customWidth="1"/>
    <col min="12569" max="12569" width="6.1640625" style="195" customWidth="1"/>
    <col min="12570" max="12800" width="11" style="195"/>
    <col min="12801" max="12801" width="9.1640625" style="195" customWidth="1"/>
    <col min="12802" max="12802" width="7.5" style="195" customWidth="1"/>
    <col min="12803" max="12803" width="7.83203125" style="195" customWidth="1"/>
    <col min="12804" max="12804" width="9.5" style="195" customWidth="1"/>
    <col min="12805" max="12805" width="7.83203125" style="195" customWidth="1"/>
    <col min="12806" max="12806" width="7" style="195" customWidth="1"/>
    <col min="12807" max="12807" width="8" style="195" customWidth="1"/>
    <col min="12808" max="12808" width="6.5" style="195" customWidth="1"/>
    <col min="12809" max="12809" width="9" style="195" customWidth="1"/>
    <col min="12810" max="12816" width="11" style="195"/>
    <col min="12817" max="12817" width="8.83203125" style="195" customWidth="1"/>
    <col min="12818" max="12819" width="6.5" style="195" bestFit="1" customWidth="1"/>
    <col min="12820" max="12820" width="5.33203125" style="195" customWidth="1"/>
    <col min="12821" max="12821" width="3.1640625" style="195" customWidth="1"/>
    <col min="12822" max="12822" width="5.33203125" style="195" customWidth="1"/>
    <col min="12823" max="12823" width="4.5" style="195" customWidth="1"/>
    <col min="12824" max="12824" width="4" style="195" customWidth="1"/>
    <col min="12825" max="12825" width="6.1640625" style="195" customWidth="1"/>
    <col min="12826" max="13056" width="11" style="195"/>
    <col min="13057" max="13057" width="9.1640625" style="195" customWidth="1"/>
    <col min="13058" max="13058" width="7.5" style="195" customWidth="1"/>
    <col min="13059" max="13059" width="7.83203125" style="195" customWidth="1"/>
    <col min="13060" max="13060" width="9.5" style="195" customWidth="1"/>
    <col min="13061" max="13061" width="7.83203125" style="195" customWidth="1"/>
    <col min="13062" max="13062" width="7" style="195" customWidth="1"/>
    <col min="13063" max="13063" width="8" style="195" customWidth="1"/>
    <col min="13064" max="13064" width="6.5" style="195" customWidth="1"/>
    <col min="13065" max="13065" width="9" style="195" customWidth="1"/>
    <col min="13066" max="13072" width="11" style="195"/>
    <col min="13073" max="13073" width="8.83203125" style="195" customWidth="1"/>
    <col min="13074" max="13075" width="6.5" style="195" bestFit="1" customWidth="1"/>
    <col min="13076" max="13076" width="5.33203125" style="195" customWidth="1"/>
    <col min="13077" max="13077" width="3.1640625" style="195" customWidth="1"/>
    <col min="13078" max="13078" width="5.33203125" style="195" customWidth="1"/>
    <col min="13079" max="13079" width="4.5" style="195" customWidth="1"/>
    <col min="13080" max="13080" width="4" style="195" customWidth="1"/>
    <col min="13081" max="13081" width="6.1640625" style="195" customWidth="1"/>
    <col min="13082" max="13312" width="11" style="195"/>
    <col min="13313" max="13313" width="9.1640625" style="195" customWidth="1"/>
    <col min="13314" max="13314" width="7.5" style="195" customWidth="1"/>
    <col min="13315" max="13315" width="7.83203125" style="195" customWidth="1"/>
    <col min="13316" max="13316" width="9.5" style="195" customWidth="1"/>
    <col min="13317" max="13317" width="7.83203125" style="195" customWidth="1"/>
    <col min="13318" max="13318" width="7" style="195" customWidth="1"/>
    <col min="13319" max="13319" width="8" style="195" customWidth="1"/>
    <col min="13320" max="13320" width="6.5" style="195" customWidth="1"/>
    <col min="13321" max="13321" width="9" style="195" customWidth="1"/>
    <col min="13322" max="13328" width="11" style="195"/>
    <col min="13329" max="13329" width="8.83203125" style="195" customWidth="1"/>
    <col min="13330" max="13331" width="6.5" style="195" bestFit="1" customWidth="1"/>
    <col min="13332" max="13332" width="5.33203125" style="195" customWidth="1"/>
    <col min="13333" max="13333" width="3.1640625" style="195" customWidth="1"/>
    <col min="13334" max="13334" width="5.33203125" style="195" customWidth="1"/>
    <col min="13335" max="13335" width="4.5" style="195" customWidth="1"/>
    <col min="13336" max="13336" width="4" style="195" customWidth="1"/>
    <col min="13337" max="13337" width="6.1640625" style="195" customWidth="1"/>
    <col min="13338" max="13568" width="11" style="195"/>
    <col min="13569" max="13569" width="9.1640625" style="195" customWidth="1"/>
    <col min="13570" max="13570" width="7.5" style="195" customWidth="1"/>
    <col min="13571" max="13571" width="7.83203125" style="195" customWidth="1"/>
    <col min="13572" max="13572" width="9.5" style="195" customWidth="1"/>
    <col min="13573" max="13573" width="7.83203125" style="195" customWidth="1"/>
    <col min="13574" max="13574" width="7" style="195" customWidth="1"/>
    <col min="13575" max="13575" width="8" style="195" customWidth="1"/>
    <col min="13576" max="13576" width="6.5" style="195" customWidth="1"/>
    <col min="13577" max="13577" width="9" style="195" customWidth="1"/>
    <col min="13578" max="13584" width="11" style="195"/>
    <col min="13585" max="13585" width="8.83203125" style="195" customWidth="1"/>
    <col min="13586" max="13587" width="6.5" style="195" bestFit="1" customWidth="1"/>
    <col min="13588" max="13588" width="5.33203125" style="195" customWidth="1"/>
    <col min="13589" max="13589" width="3.1640625" style="195" customWidth="1"/>
    <col min="13590" max="13590" width="5.33203125" style="195" customWidth="1"/>
    <col min="13591" max="13591" width="4.5" style="195" customWidth="1"/>
    <col min="13592" max="13592" width="4" style="195" customWidth="1"/>
    <col min="13593" max="13593" width="6.1640625" style="195" customWidth="1"/>
    <col min="13594" max="13824" width="11" style="195"/>
    <col min="13825" max="13825" width="9.1640625" style="195" customWidth="1"/>
    <col min="13826" max="13826" width="7.5" style="195" customWidth="1"/>
    <col min="13827" max="13827" width="7.83203125" style="195" customWidth="1"/>
    <col min="13828" max="13828" width="9.5" style="195" customWidth="1"/>
    <col min="13829" max="13829" width="7.83203125" style="195" customWidth="1"/>
    <col min="13830" max="13830" width="7" style="195" customWidth="1"/>
    <col min="13831" max="13831" width="8" style="195" customWidth="1"/>
    <col min="13832" max="13832" width="6.5" style="195" customWidth="1"/>
    <col min="13833" max="13833" width="9" style="195" customWidth="1"/>
    <col min="13834" max="13840" width="11" style="195"/>
    <col min="13841" max="13841" width="8.83203125" style="195" customWidth="1"/>
    <col min="13842" max="13843" width="6.5" style="195" bestFit="1" customWidth="1"/>
    <col min="13844" max="13844" width="5.33203125" style="195" customWidth="1"/>
    <col min="13845" max="13845" width="3.1640625" style="195" customWidth="1"/>
    <col min="13846" max="13846" width="5.33203125" style="195" customWidth="1"/>
    <col min="13847" max="13847" width="4.5" style="195" customWidth="1"/>
    <col min="13848" max="13848" width="4" style="195" customWidth="1"/>
    <col min="13849" max="13849" width="6.1640625" style="195" customWidth="1"/>
    <col min="13850" max="14080" width="11" style="195"/>
    <col min="14081" max="14081" width="9.1640625" style="195" customWidth="1"/>
    <col min="14082" max="14082" width="7.5" style="195" customWidth="1"/>
    <col min="14083" max="14083" width="7.83203125" style="195" customWidth="1"/>
    <col min="14084" max="14084" width="9.5" style="195" customWidth="1"/>
    <col min="14085" max="14085" width="7.83203125" style="195" customWidth="1"/>
    <col min="14086" max="14086" width="7" style="195" customWidth="1"/>
    <col min="14087" max="14087" width="8" style="195" customWidth="1"/>
    <col min="14088" max="14088" width="6.5" style="195" customWidth="1"/>
    <col min="14089" max="14089" width="9" style="195" customWidth="1"/>
    <col min="14090" max="14096" width="11" style="195"/>
    <col min="14097" max="14097" width="8.83203125" style="195" customWidth="1"/>
    <col min="14098" max="14099" width="6.5" style="195" bestFit="1" customWidth="1"/>
    <col min="14100" max="14100" width="5.33203125" style="195" customWidth="1"/>
    <col min="14101" max="14101" width="3.1640625" style="195" customWidth="1"/>
    <col min="14102" max="14102" width="5.33203125" style="195" customWidth="1"/>
    <col min="14103" max="14103" width="4.5" style="195" customWidth="1"/>
    <col min="14104" max="14104" width="4" style="195" customWidth="1"/>
    <col min="14105" max="14105" width="6.1640625" style="195" customWidth="1"/>
    <col min="14106" max="14336" width="11" style="195"/>
    <col min="14337" max="14337" width="9.1640625" style="195" customWidth="1"/>
    <col min="14338" max="14338" width="7.5" style="195" customWidth="1"/>
    <col min="14339" max="14339" width="7.83203125" style="195" customWidth="1"/>
    <col min="14340" max="14340" width="9.5" style="195" customWidth="1"/>
    <col min="14341" max="14341" width="7.83203125" style="195" customWidth="1"/>
    <col min="14342" max="14342" width="7" style="195" customWidth="1"/>
    <col min="14343" max="14343" width="8" style="195" customWidth="1"/>
    <col min="14344" max="14344" width="6.5" style="195" customWidth="1"/>
    <col min="14345" max="14345" width="9" style="195" customWidth="1"/>
    <col min="14346" max="14352" width="11" style="195"/>
    <col min="14353" max="14353" width="8.83203125" style="195" customWidth="1"/>
    <col min="14354" max="14355" width="6.5" style="195" bestFit="1" customWidth="1"/>
    <col min="14356" max="14356" width="5.33203125" style="195" customWidth="1"/>
    <col min="14357" max="14357" width="3.1640625" style="195" customWidth="1"/>
    <col min="14358" max="14358" width="5.33203125" style="195" customWidth="1"/>
    <col min="14359" max="14359" width="4.5" style="195" customWidth="1"/>
    <col min="14360" max="14360" width="4" style="195" customWidth="1"/>
    <col min="14361" max="14361" width="6.1640625" style="195" customWidth="1"/>
    <col min="14362" max="14592" width="11" style="195"/>
    <col min="14593" max="14593" width="9.1640625" style="195" customWidth="1"/>
    <col min="14594" max="14594" width="7.5" style="195" customWidth="1"/>
    <col min="14595" max="14595" width="7.83203125" style="195" customWidth="1"/>
    <col min="14596" max="14596" width="9.5" style="195" customWidth="1"/>
    <col min="14597" max="14597" width="7.83203125" style="195" customWidth="1"/>
    <col min="14598" max="14598" width="7" style="195" customWidth="1"/>
    <col min="14599" max="14599" width="8" style="195" customWidth="1"/>
    <col min="14600" max="14600" width="6.5" style="195" customWidth="1"/>
    <col min="14601" max="14601" width="9" style="195" customWidth="1"/>
    <col min="14602" max="14608" width="11" style="195"/>
    <col min="14609" max="14609" width="8.83203125" style="195" customWidth="1"/>
    <col min="14610" max="14611" width="6.5" style="195" bestFit="1" customWidth="1"/>
    <col min="14612" max="14612" width="5.33203125" style="195" customWidth="1"/>
    <col min="14613" max="14613" width="3.1640625" style="195" customWidth="1"/>
    <col min="14614" max="14614" width="5.33203125" style="195" customWidth="1"/>
    <col min="14615" max="14615" width="4.5" style="195" customWidth="1"/>
    <col min="14616" max="14616" width="4" style="195" customWidth="1"/>
    <col min="14617" max="14617" width="6.1640625" style="195" customWidth="1"/>
    <col min="14618" max="14848" width="11" style="195"/>
    <col min="14849" max="14849" width="9.1640625" style="195" customWidth="1"/>
    <col min="14850" max="14850" width="7.5" style="195" customWidth="1"/>
    <col min="14851" max="14851" width="7.83203125" style="195" customWidth="1"/>
    <col min="14852" max="14852" width="9.5" style="195" customWidth="1"/>
    <col min="14853" max="14853" width="7.83203125" style="195" customWidth="1"/>
    <col min="14854" max="14854" width="7" style="195" customWidth="1"/>
    <col min="14855" max="14855" width="8" style="195" customWidth="1"/>
    <col min="14856" max="14856" width="6.5" style="195" customWidth="1"/>
    <col min="14857" max="14857" width="9" style="195" customWidth="1"/>
    <col min="14858" max="14864" width="11" style="195"/>
    <col min="14865" max="14865" width="8.83203125" style="195" customWidth="1"/>
    <col min="14866" max="14867" width="6.5" style="195" bestFit="1" customWidth="1"/>
    <col min="14868" max="14868" width="5.33203125" style="195" customWidth="1"/>
    <col min="14869" max="14869" width="3.1640625" style="195" customWidth="1"/>
    <col min="14870" max="14870" width="5.33203125" style="195" customWidth="1"/>
    <col min="14871" max="14871" width="4.5" style="195" customWidth="1"/>
    <col min="14872" max="14872" width="4" style="195" customWidth="1"/>
    <col min="14873" max="14873" width="6.1640625" style="195" customWidth="1"/>
    <col min="14874" max="15104" width="11" style="195"/>
    <col min="15105" max="15105" width="9.1640625" style="195" customWidth="1"/>
    <col min="15106" max="15106" width="7.5" style="195" customWidth="1"/>
    <col min="15107" max="15107" width="7.83203125" style="195" customWidth="1"/>
    <col min="15108" max="15108" width="9.5" style="195" customWidth="1"/>
    <col min="15109" max="15109" width="7.83203125" style="195" customWidth="1"/>
    <col min="15110" max="15110" width="7" style="195" customWidth="1"/>
    <col min="15111" max="15111" width="8" style="195" customWidth="1"/>
    <col min="15112" max="15112" width="6.5" style="195" customWidth="1"/>
    <col min="15113" max="15113" width="9" style="195" customWidth="1"/>
    <col min="15114" max="15120" width="11" style="195"/>
    <col min="15121" max="15121" width="8.83203125" style="195" customWidth="1"/>
    <col min="15122" max="15123" width="6.5" style="195" bestFit="1" customWidth="1"/>
    <col min="15124" max="15124" width="5.33203125" style="195" customWidth="1"/>
    <col min="15125" max="15125" width="3.1640625" style="195" customWidth="1"/>
    <col min="15126" max="15126" width="5.33203125" style="195" customWidth="1"/>
    <col min="15127" max="15127" width="4.5" style="195" customWidth="1"/>
    <col min="15128" max="15128" width="4" style="195" customWidth="1"/>
    <col min="15129" max="15129" width="6.1640625" style="195" customWidth="1"/>
    <col min="15130" max="15360" width="11" style="195"/>
    <col min="15361" max="15361" width="9.1640625" style="195" customWidth="1"/>
    <col min="15362" max="15362" width="7.5" style="195" customWidth="1"/>
    <col min="15363" max="15363" width="7.83203125" style="195" customWidth="1"/>
    <col min="15364" max="15364" width="9.5" style="195" customWidth="1"/>
    <col min="15365" max="15365" width="7.83203125" style="195" customWidth="1"/>
    <col min="15366" max="15366" width="7" style="195" customWidth="1"/>
    <col min="15367" max="15367" width="8" style="195" customWidth="1"/>
    <col min="15368" max="15368" width="6.5" style="195" customWidth="1"/>
    <col min="15369" max="15369" width="9" style="195" customWidth="1"/>
    <col min="15370" max="15376" width="11" style="195"/>
    <col min="15377" max="15377" width="8.83203125" style="195" customWidth="1"/>
    <col min="15378" max="15379" width="6.5" style="195" bestFit="1" customWidth="1"/>
    <col min="15380" max="15380" width="5.33203125" style="195" customWidth="1"/>
    <col min="15381" max="15381" width="3.1640625" style="195" customWidth="1"/>
    <col min="15382" max="15382" width="5.33203125" style="195" customWidth="1"/>
    <col min="15383" max="15383" width="4.5" style="195" customWidth="1"/>
    <col min="15384" max="15384" width="4" style="195" customWidth="1"/>
    <col min="15385" max="15385" width="6.1640625" style="195" customWidth="1"/>
    <col min="15386" max="15616" width="11" style="195"/>
    <col min="15617" max="15617" width="9.1640625" style="195" customWidth="1"/>
    <col min="15618" max="15618" width="7.5" style="195" customWidth="1"/>
    <col min="15619" max="15619" width="7.83203125" style="195" customWidth="1"/>
    <col min="15620" max="15620" width="9.5" style="195" customWidth="1"/>
    <col min="15621" max="15621" width="7.83203125" style="195" customWidth="1"/>
    <col min="15622" max="15622" width="7" style="195" customWidth="1"/>
    <col min="15623" max="15623" width="8" style="195" customWidth="1"/>
    <col min="15624" max="15624" width="6.5" style="195" customWidth="1"/>
    <col min="15625" max="15625" width="9" style="195" customWidth="1"/>
    <col min="15626" max="15632" width="11" style="195"/>
    <col min="15633" max="15633" width="8.83203125" style="195" customWidth="1"/>
    <col min="15634" max="15635" width="6.5" style="195" bestFit="1" customWidth="1"/>
    <col min="15636" max="15636" width="5.33203125" style="195" customWidth="1"/>
    <col min="15637" max="15637" width="3.1640625" style="195" customWidth="1"/>
    <col min="15638" max="15638" width="5.33203125" style="195" customWidth="1"/>
    <col min="15639" max="15639" width="4.5" style="195" customWidth="1"/>
    <col min="15640" max="15640" width="4" style="195" customWidth="1"/>
    <col min="15641" max="15641" width="6.1640625" style="195" customWidth="1"/>
    <col min="15642" max="15872" width="11" style="195"/>
    <col min="15873" max="15873" width="9.1640625" style="195" customWidth="1"/>
    <col min="15874" max="15874" width="7.5" style="195" customWidth="1"/>
    <col min="15875" max="15875" width="7.83203125" style="195" customWidth="1"/>
    <col min="15876" max="15876" width="9.5" style="195" customWidth="1"/>
    <col min="15877" max="15877" width="7.83203125" style="195" customWidth="1"/>
    <col min="15878" max="15878" width="7" style="195" customWidth="1"/>
    <col min="15879" max="15879" width="8" style="195" customWidth="1"/>
    <col min="15880" max="15880" width="6.5" style="195" customWidth="1"/>
    <col min="15881" max="15881" width="9" style="195" customWidth="1"/>
    <col min="15882" max="15888" width="11" style="195"/>
    <col min="15889" max="15889" width="8.83203125" style="195" customWidth="1"/>
    <col min="15890" max="15891" width="6.5" style="195" bestFit="1" customWidth="1"/>
    <col min="15892" max="15892" width="5.33203125" style="195" customWidth="1"/>
    <col min="15893" max="15893" width="3.1640625" style="195" customWidth="1"/>
    <col min="15894" max="15894" width="5.33203125" style="195" customWidth="1"/>
    <col min="15895" max="15895" width="4.5" style="195" customWidth="1"/>
    <col min="15896" max="15896" width="4" style="195" customWidth="1"/>
    <col min="15897" max="15897" width="6.1640625" style="195" customWidth="1"/>
    <col min="15898" max="16128" width="11" style="195"/>
    <col min="16129" max="16129" width="9.1640625" style="195" customWidth="1"/>
    <col min="16130" max="16130" width="7.5" style="195" customWidth="1"/>
    <col min="16131" max="16131" width="7.83203125" style="195" customWidth="1"/>
    <col min="16132" max="16132" width="9.5" style="195" customWidth="1"/>
    <col min="16133" max="16133" width="7.83203125" style="195" customWidth="1"/>
    <col min="16134" max="16134" width="7" style="195" customWidth="1"/>
    <col min="16135" max="16135" width="8" style="195" customWidth="1"/>
    <col min="16136" max="16136" width="6.5" style="195" customWidth="1"/>
    <col min="16137" max="16137" width="9" style="195" customWidth="1"/>
    <col min="16138" max="16144" width="11" style="195"/>
    <col min="16145" max="16145" width="8.83203125" style="195" customWidth="1"/>
    <col min="16146" max="16147" width="6.5" style="195" bestFit="1" customWidth="1"/>
    <col min="16148" max="16148" width="5.33203125" style="195" customWidth="1"/>
    <col min="16149" max="16149" width="3.1640625" style="195" customWidth="1"/>
    <col min="16150" max="16150" width="5.33203125" style="195" customWidth="1"/>
    <col min="16151" max="16151" width="4.5" style="195" customWidth="1"/>
    <col min="16152" max="16152" width="4" style="195" customWidth="1"/>
    <col min="16153" max="16153" width="6.1640625" style="195" customWidth="1"/>
    <col min="16154" max="16384" width="11" style="195"/>
  </cols>
  <sheetData>
    <row r="1" spans="1:21">
      <c r="A1" s="194" t="s">
        <v>391</v>
      </c>
      <c r="B1" s="194" t="s">
        <v>355</v>
      </c>
      <c r="C1" s="194" t="s">
        <v>356</v>
      </c>
      <c r="D1" s="194" t="s">
        <v>392</v>
      </c>
      <c r="E1" s="194" t="s">
        <v>393</v>
      </c>
      <c r="F1" s="194" t="s">
        <v>355</v>
      </c>
      <c r="G1" s="194" t="s">
        <v>356</v>
      </c>
      <c r="H1" s="194" t="s">
        <v>392</v>
      </c>
      <c r="I1" s="194" t="s">
        <v>394</v>
      </c>
      <c r="Q1" s="196" t="s">
        <v>395</v>
      </c>
    </row>
    <row r="2" spans="1:21">
      <c r="A2" s="197">
        <v>100</v>
      </c>
      <c r="B2" s="198">
        <f t="shared" ref="B2:B31" si="0">$A$32+($B$34*$I$32)</f>
        <v>103.58446882534257</v>
      </c>
      <c r="C2" s="198">
        <f t="shared" ref="C2:C31" si="1">$A$32</f>
        <v>100.3</v>
      </c>
      <c r="D2" s="198">
        <f t="shared" ref="D2:D31" si="2">$A$32-($B$34*$I$32)</f>
        <v>97.015531174657426</v>
      </c>
      <c r="E2" s="199">
        <v>1</v>
      </c>
      <c r="F2" s="198">
        <f t="shared" ref="F2:F31" si="3">$B$35*$I$32</f>
        <v>11.954333948789944</v>
      </c>
      <c r="G2" s="198">
        <f t="shared" ref="G2:G31" si="4">$I$32</f>
        <v>5.6628772850733977</v>
      </c>
      <c r="H2" s="199">
        <f t="shared" ref="H2:H31" si="5">$B$36*$I$32</f>
        <v>0</v>
      </c>
      <c r="I2" s="200">
        <v>1</v>
      </c>
    </row>
    <row r="3" spans="1:21">
      <c r="A3" s="197">
        <v>101</v>
      </c>
      <c r="B3" s="198">
        <f t="shared" si="0"/>
        <v>103.58446882534257</v>
      </c>
      <c r="C3" s="198">
        <f t="shared" si="1"/>
        <v>100.3</v>
      </c>
      <c r="D3" s="198">
        <f t="shared" si="2"/>
        <v>97.015531174657426</v>
      </c>
      <c r="E3" s="199">
        <f>E2+1</f>
        <v>2</v>
      </c>
      <c r="F3" s="198">
        <f t="shared" si="3"/>
        <v>11.954333948789944</v>
      </c>
      <c r="G3" s="198">
        <f t="shared" si="4"/>
        <v>5.6628772850733977</v>
      </c>
      <c r="H3" s="199">
        <f t="shared" si="5"/>
        <v>0</v>
      </c>
      <c r="I3" s="200">
        <v>6.8965422528763698</v>
      </c>
      <c r="Q3" s="194" t="s">
        <v>391</v>
      </c>
      <c r="R3" s="194" t="s">
        <v>355</v>
      </c>
      <c r="S3" s="194" t="s">
        <v>356</v>
      </c>
      <c r="T3" s="194" t="s">
        <v>392</v>
      </c>
      <c r="U3" s="194" t="s">
        <v>393</v>
      </c>
    </row>
    <row r="4" spans="1:21">
      <c r="A4" s="197">
        <v>102</v>
      </c>
      <c r="B4" s="198">
        <f t="shared" si="0"/>
        <v>103.58446882534257</v>
      </c>
      <c r="C4" s="198">
        <f t="shared" si="1"/>
        <v>100.3</v>
      </c>
      <c r="D4" s="198">
        <f t="shared" si="2"/>
        <v>97.015531174657426</v>
      </c>
      <c r="E4" s="199">
        <f t="shared" ref="E4:E31" si="6">E3+1</f>
        <v>3</v>
      </c>
      <c r="F4" s="198">
        <f t="shared" si="3"/>
        <v>11.954333948789944</v>
      </c>
      <c r="G4" s="198">
        <f t="shared" si="4"/>
        <v>5.6628772850733977</v>
      </c>
      <c r="H4" s="199">
        <f t="shared" si="5"/>
        <v>0</v>
      </c>
      <c r="I4" s="200">
        <v>3.7433698538163398</v>
      </c>
      <c r="Q4" s="197">
        <v>100</v>
      </c>
      <c r="R4" s="198">
        <f>$Q$32+($B$34*$I$32)</f>
        <v>103.82018311105686</v>
      </c>
      <c r="S4" s="198">
        <f t="shared" ref="S4:S31" si="7">$Q$32</f>
        <v>100.53571428571429</v>
      </c>
      <c r="T4" s="198">
        <f>$Q$32-($B$34*$I$32)</f>
        <v>97.25124546037172</v>
      </c>
      <c r="U4" s="199">
        <v>1</v>
      </c>
    </row>
    <row r="5" spans="1:21">
      <c r="A5" s="197">
        <v>103</v>
      </c>
      <c r="B5" s="198">
        <f t="shared" si="0"/>
        <v>103.58446882534257</v>
      </c>
      <c r="C5" s="198">
        <f t="shared" si="1"/>
        <v>100.3</v>
      </c>
      <c r="D5" s="198">
        <f t="shared" si="2"/>
        <v>97.015531174657426</v>
      </c>
      <c r="E5" s="199">
        <f t="shared" si="6"/>
        <v>4</v>
      </c>
      <c r="F5" s="198">
        <f t="shared" si="3"/>
        <v>11.954333948789944</v>
      </c>
      <c r="G5" s="198">
        <f t="shared" si="4"/>
        <v>5.6628772850733977</v>
      </c>
      <c r="H5" s="199">
        <f t="shared" si="5"/>
        <v>0</v>
      </c>
      <c r="I5" s="200">
        <v>7.0748008667256697</v>
      </c>
      <c r="Q5" s="197">
        <v>101</v>
      </c>
      <c r="R5" s="198">
        <f t="shared" ref="R5:R31" si="8">$Q$32+($B$34*$I$32)</f>
        <v>103.82018311105686</v>
      </c>
      <c r="S5" s="198">
        <f t="shared" si="7"/>
        <v>100.53571428571429</v>
      </c>
      <c r="T5" s="198">
        <f t="shared" ref="T5:T31" si="9">$Q$32-($B$34*$I$32)</f>
        <v>97.25124546037172</v>
      </c>
      <c r="U5" s="199">
        <f>U4+1</f>
        <v>2</v>
      </c>
    </row>
    <row r="6" spans="1:21">
      <c r="A6" s="197">
        <v>102</v>
      </c>
      <c r="B6" s="198">
        <f t="shared" si="0"/>
        <v>103.58446882534257</v>
      </c>
      <c r="C6" s="198">
        <f t="shared" si="1"/>
        <v>100.3</v>
      </c>
      <c r="D6" s="198">
        <f t="shared" si="2"/>
        <v>97.015531174657426</v>
      </c>
      <c r="E6" s="199">
        <f t="shared" si="6"/>
        <v>5</v>
      </c>
      <c r="F6" s="198">
        <f t="shared" si="3"/>
        <v>11.954333948789944</v>
      </c>
      <c r="G6" s="198">
        <f t="shared" si="4"/>
        <v>5.6628772850733977</v>
      </c>
      <c r="H6" s="199">
        <f t="shared" si="5"/>
        <v>0</v>
      </c>
      <c r="I6" s="200">
        <v>1.9607837153233438</v>
      </c>
      <c r="Q6" s="197">
        <v>102</v>
      </c>
      <c r="R6" s="198">
        <f t="shared" si="8"/>
        <v>103.82018311105686</v>
      </c>
      <c r="S6" s="198">
        <f t="shared" si="7"/>
        <v>100.53571428571429</v>
      </c>
      <c r="T6" s="198">
        <f t="shared" si="9"/>
        <v>97.25124546037172</v>
      </c>
      <c r="U6" s="199">
        <f t="shared" ref="U6:U31" si="10">U5+1</f>
        <v>3</v>
      </c>
    </row>
    <row r="7" spans="1:21">
      <c r="A7" s="197">
        <v>101</v>
      </c>
      <c r="B7" s="198">
        <f t="shared" si="0"/>
        <v>103.58446882534257</v>
      </c>
      <c r="C7" s="198">
        <f t="shared" si="1"/>
        <v>100.3</v>
      </c>
      <c r="D7" s="198">
        <f t="shared" si="2"/>
        <v>97.015531174657426</v>
      </c>
      <c r="E7" s="199">
        <f t="shared" si="6"/>
        <v>6</v>
      </c>
      <c r="F7" s="198">
        <f t="shared" si="3"/>
        <v>11.954333948789944</v>
      </c>
      <c r="G7" s="198">
        <f t="shared" si="4"/>
        <v>5.6628772850733977</v>
      </c>
      <c r="H7" s="199">
        <f t="shared" si="5"/>
        <v>0</v>
      </c>
      <c r="I7" s="200">
        <v>5.6492812891018396</v>
      </c>
      <c r="Q7" s="197">
        <v>103</v>
      </c>
      <c r="R7" s="198">
        <f t="shared" si="8"/>
        <v>103.82018311105686</v>
      </c>
      <c r="S7" s="198">
        <f t="shared" si="7"/>
        <v>100.53571428571429</v>
      </c>
      <c r="T7" s="198">
        <f t="shared" si="9"/>
        <v>97.25124546037172</v>
      </c>
      <c r="U7" s="199">
        <f t="shared" si="10"/>
        <v>4</v>
      </c>
    </row>
    <row r="8" spans="1:21">
      <c r="A8" s="197">
        <v>100</v>
      </c>
      <c r="B8" s="198">
        <f t="shared" si="0"/>
        <v>103.58446882534257</v>
      </c>
      <c r="C8" s="198">
        <f t="shared" si="1"/>
        <v>100.3</v>
      </c>
      <c r="D8" s="198">
        <f t="shared" si="2"/>
        <v>97.015531174657426</v>
      </c>
      <c r="E8" s="199">
        <f t="shared" si="6"/>
        <v>7</v>
      </c>
      <c r="F8" s="198">
        <f t="shared" si="3"/>
        <v>11.954333948789944</v>
      </c>
      <c r="G8" s="198">
        <f t="shared" si="4"/>
        <v>5.6628772850733977</v>
      </c>
      <c r="H8" s="199">
        <f t="shared" si="5"/>
        <v>0</v>
      </c>
      <c r="I8" s="200">
        <v>5.4070253608813745</v>
      </c>
      <c r="Q8" s="197">
        <v>102</v>
      </c>
      <c r="R8" s="198">
        <f t="shared" si="8"/>
        <v>103.82018311105686</v>
      </c>
      <c r="S8" s="198">
        <f t="shared" si="7"/>
        <v>100.53571428571429</v>
      </c>
      <c r="T8" s="198">
        <f t="shared" si="9"/>
        <v>97.25124546037172</v>
      </c>
      <c r="U8" s="199">
        <f t="shared" si="10"/>
        <v>5</v>
      </c>
    </row>
    <row r="9" spans="1:21">
      <c r="A9" s="197">
        <v>99</v>
      </c>
      <c r="B9" s="198">
        <f t="shared" si="0"/>
        <v>103.58446882534257</v>
      </c>
      <c r="C9" s="198">
        <f t="shared" si="1"/>
        <v>100.3</v>
      </c>
      <c r="D9" s="198">
        <f t="shared" si="2"/>
        <v>97.015531174657426</v>
      </c>
      <c r="E9" s="199">
        <f t="shared" si="6"/>
        <v>8</v>
      </c>
      <c r="F9" s="198">
        <f t="shared" si="3"/>
        <v>11.954333948789944</v>
      </c>
      <c r="G9" s="198">
        <f t="shared" si="4"/>
        <v>5.6628772850733977</v>
      </c>
      <c r="H9" s="199">
        <f t="shared" si="5"/>
        <v>0</v>
      </c>
      <c r="I9" s="200">
        <v>6.4221930600909447</v>
      </c>
      <c r="Q9" s="197">
        <v>101</v>
      </c>
      <c r="R9" s="198">
        <f t="shared" si="8"/>
        <v>103.82018311105686</v>
      </c>
      <c r="S9" s="198">
        <f t="shared" si="7"/>
        <v>100.53571428571429</v>
      </c>
      <c r="T9" s="198">
        <f t="shared" si="9"/>
        <v>97.25124546037172</v>
      </c>
      <c r="U9" s="199">
        <f t="shared" si="10"/>
        <v>6</v>
      </c>
    </row>
    <row r="10" spans="1:21">
      <c r="A10" s="197">
        <v>98</v>
      </c>
      <c r="B10" s="198">
        <f t="shared" si="0"/>
        <v>103.58446882534257</v>
      </c>
      <c r="C10" s="198">
        <f t="shared" si="1"/>
        <v>100.3</v>
      </c>
      <c r="D10" s="198">
        <f t="shared" si="2"/>
        <v>97.015531174657426</v>
      </c>
      <c r="E10" s="199">
        <f t="shared" si="6"/>
        <v>9</v>
      </c>
      <c r="F10" s="198">
        <f t="shared" si="3"/>
        <v>11.954333948789944</v>
      </c>
      <c r="G10" s="198">
        <f t="shared" si="4"/>
        <v>5.6628772850733977</v>
      </c>
      <c r="H10" s="199">
        <f t="shared" si="5"/>
        <v>0</v>
      </c>
      <c r="I10" s="200">
        <v>4.3295083468123403</v>
      </c>
      <c r="Q10" s="197">
        <v>100</v>
      </c>
      <c r="R10" s="198">
        <f t="shared" si="8"/>
        <v>103.82018311105686</v>
      </c>
      <c r="S10" s="198">
        <f t="shared" si="7"/>
        <v>100.53571428571429</v>
      </c>
      <c r="T10" s="198">
        <f t="shared" si="9"/>
        <v>97.25124546037172</v>
      </c>
      <c r="U10" s="199">
        <f t="shared" si="10"/>
        <v>7</v>
      </c>
    </row>
    <row r="11" spans="1:21">
      <c r="A11" s="197">
        <v>97</v>
      </c>
      <c r="B11" s="198">
        <f t="shared" si="0"/>
        <v>103.58446882534257</v>
      </c>
      <c r="C11" s="198">
        <f t="shared" si="1"/>
        <v>100.3</v>
      </c>
      <c r="D11" s="198">
        <f t="shared" si="2"/>
        <v>97.015531174657426</v>
      </c>
      <c r="E11" s="199">
        <f t="shared" si="6"/>
        <v>10</v>
      </c>
      <c r="F11" s="198">
        <f t="shared" si="3"/>
        <v>11.954333948789944</v>
      </c>
      <c r="G11" s="198">
        <f t="shared" si="4"/>
        <v>5.6628772850733977</v>
      </c>
      <c r="H11" s="199">
        <f t="shared" si="5"/>
        <v>0</v>
      </c>
      <c r="I11" s="200">
        <v>3.3099459822382262</v>
      </c>
      <c r="Q11" s="197">
        <v>99</v>
      </c>
      <c r="R11" s="198">
        <f t="shared" si="8"/>
        <v>103.82018311105686</v>
      </c>
      <c r="S11" s="198">
        <f t="shared" si="7"/>
        <v>100.53571428571429</v>
      </c>
      <c r="T11" s="198">
        <f t="shared" si="9"/>
        <v>97.25124546037172</v>
      </c>
      <c r="U11" s="199">
        <f t="shared" si="10"/>
        <v>8</v>
      </c>
    </row>
    <row r="12" spans="1:21">
      <c r="A12" s="197">
        <v>98</v>
      </c>
      <c r="B12" s="198">
        <f t="shared" si="0"/>
        <v>103.58446882534257</v>
      </c>
      <c r="C12" s="198">
        <f t="shared" si="1"/>
        <v>100.3</v>
      </c>
      <c r="D12" s="198">
        <f t="shared" si="2"/>
        <v>97.015531174657426</v>
      </c>
      <c r="E12" s="199">
        <f t="shared" si="6"/>
        <v>11</v>
      </c>
      <c r="F12" s="198">
        <f t="shared" si="3"/>
        <v>11.954333948789944</v>
      </c>
      <c r="G12" s="198">
        <f t="shared" si="4"/>
        <v>5.6628772850733977</v>
      </c>
      <c r="H12" s="199">
        <f t="shared" si="5"/>
        <v>0</v>
      </c>
      <c r="I12" s="200">
        <v>4.3676870021668135</v>
      </c>
      <c r="Q12" s="197">
        <v>98</v>
      </c>
      <c r="R12" s="198">
        <f t="shared" si="8"/>
        <v>103.82018311105686</v>
      </c>
      <c r="S12" s="198">
        <f t="shared" si="7"/>
        <v>100.53571428571429</v>
      </c>
      <c r="T12" s="198">
        <f t="shared" si="9"/>
        <v>97.25124546037172</v>
      </c>
      <c r="U12" s="199">
        <f t="shared" si="10"/>
        <v>9</v>
      </c>
    </row>
    <row r="13" spans="1:21">
      <c r="A13" s="197">
        <v>99</v>
      </c>
      <c r="B13" s="198">
        <f t="shared" si="0"/>
        <v>103.58446882534257</v>
      </c>
      <c r="C13" s="198">
        <f t="shared" si="1"/>
        <v>100.3</v>
      </c>
      <c r="D13" s="198">
        <f t="shared" si="2"/>
        <v>97.015531174657426</v>
      </c>
      <c r="E13" s="199">
        <f t="shared" si="6"/>
        <v>12</v>
      </c>
      <c r="F13" s="198">
        <f t="shared" si="3"/>
        <v>11.954333948789944</v>
      </c>
      <c r="G13" s="198">
        <f t="shared" si="4"/>
        <v>5.6628772850733977</v>
      </c>
      <c r="H13" s="199">
        <f t="shared" si="5"/>
        <v>0</v>
      </c>
      <c r="I13" s="200">
        <v>8.4302804651020828</v>
      </c>
      <c r="Q13" s="197">
        <v>98</v>
      </c>
      <c r="R13" s="198">
        <f t="shared" si="8"/>
        <v>103.82018311105686</v>
      </c>
      <c r="S13" s="198">
        <f t="shared" si="7"/>
        <v>100.53571428571429</v>
      </c>
      <c r="T13" s="198">
        <f t="shared" si="9"/>
        <v>97.25124546037172</v>
      </c>
      <c r="U13" s="199">
        <f t="shared" si="10"/>
        <v>10</v>
      </c>
    </row>
    <row r="14" spans="1:21">
      <c r="A14" s="197">
        <v>100</v>
      </c>
      <c r="B14" s="198">
        <f t="shared" si="0"/>
        <v>103.58446882534257</v>
      </c>
      <c r="C14" s="198">
        <f t="shared" si="1"/>
        <v>100.3</v>
      </c>
      <c r="D14" s="198">
        <f t="shared" si="2"/>
        <v>97.015531174657426</v>
      </c>
      <c r="E14" s="199">
        <f t="shared" si="6"/>
        <v>13</v>
      </c>
      <c r="F14" s="198">
        <f t="shared" si="3"/>
        <v>11.954333948789944</v>
      </c>
      <c r="G14" s="198">
        <f t="shared" si="4"/>
        <v>5.6628772850733977</v>
      </c>
      <c r="H14" s="199">
        <f t="shared" si="5"/>
        <v>0</v>
      </c>
      <c r="I14" s="200">
        <v>2.5543382061220137</v>
      </c>
      <c r="Q14" s="197">
        <v>99</v>
      </c>
      <c r="R14" s="198">
        <f t="shared" si="8"/>
        <v>103.82018311105686</v>
      </c>
      <c r="S14" s="198">
        <f t="shared" si="7"/>
        <v>100.53571428571429</v>
      </c>
      <c r="T14" s="198">
        <f t="shared" si="9"/>
        <v>97.25124546037172</v>
      </c>
      <c r="U14" s="199">
        <f t="shared" si="10"/>
        <v>11</v>
      </c>
    </row>
    <row r="15" spans="1:21">
      <c r="A15" s="197">
        <v>101</v>
      </c>
      <c r="B15" s="198">
        <f t="shared" si="0"/>
        <v>103.58446882534257</v>
      </c>
      <c r="C15" s="198">
        <f t="shared" si="1"/>
        <v>100.3</v>
      </c>
      <c r="D15" s="198">
        <f t="shared" si="2"/>
        <v>97.015531174657426</v>
      </c>
      <c r="E15" s="199">
        <f t="shared" si="6"/>
        <v>14</v>
      </c>
      <c r="F15" s="198">
        <f t="shared" si="3"/>
        <v>11.954333948789944</v>
      </c>
      <c r="G15" s="198">
        <f t="shared" si="4"/>
        <v>5.6628772850733977</v>
      </c>
      <c r="H15" s="199">
        <f t="shared" si="5"/>
        <v>0</v>
      </c>
      <c r="I15" s="200">
        <v>3.6801965392010252</v>
      </c>
      <c r="Q15" s="197">
        <v>100</v>
      </c>
      <c r="R15" s="198">
        <f t="shared" si="8"/>
        <v>103.82018311105686</v>
      </c>
      <c r="S15" s="198">
        <f t="shared" si="7"/>
        <v>100.53571428571429</v>
      </c>
      <c r="T15" s="198">
        <f t="shared" si="9"/>
        <v>97.25124546037172</v>
      </c>
      <c r="U15" s="199">
        <f t="shared" si="10"/>
        <v>12</v>
      </c>
    </row>
    <row r="16" spans="1:21">
      <c r="A16" s="197">
        <v>102</v>
      </c>
      <c r="B16" s="198">
        <f t="shared" si="0"/>
        <v>103.58446882534257</v>
      </c>
      <c r="C16" s="198">
        <f t="shared" si="1"/>
        <v>100.3</v>
      </c>
      <c r="D16" s="198">
        <f t="shared" si="2"/>
        <v>97.015531174657426</v>
      </c>
      <c r="E16" s="199">
        <f t="shared" si="6"/>
        <v>15</v>
      </c>
      <c r="F16" s="198">
        <f t="shared" si="3"/>
        <v>11.954333948789944</v>
      </c>
      <c r="G16" s="198">
        <f t="shared" si="4"/>
        <v>5.6628772850733977</v>
      </c>
      <c r="H16" s="199">
        <f t="shared" si="5"/>
        <v>0</v>
      </c>
      <c r="I16" s="200">
        <v>6.7918942838831766</v>
      </c>
      <c r="Q16" s="197">
        <v>101</v>
      </c>
      <c r="R16" s="198">
        <f t="shared" si="8"/>
        <v>103.82018311105686</v>
      </c>
      <c r="S16" s="198">
        <f t="shared" si="7"/>
        <v>100.53571428571429</v>
      </c>
      <c r="T16" s="198">
        <f t="shared" si="9"/>
        <v>97.25124546037172</v>
      </c>
      <c r="U16" s="199">
        <f t="shared" si="10"/>
        <v>13</v>
      </c>
    </row>
    <row r="17" spans="1:21">
      <c r="A17" s="197">
        <v>103</v>
      </c>
      <c r="B17" s="198">
        <f t="shared" si="0"/>
        <v>103.58446882534257</v>
      </c>
      <c r="C17" s="198">
        <f t="shared" si="1"/>
        <v>100.3</v>
      </c>
      <c r="D17" s="198">
        <f t="shared" si="2"/>
        <v>97.015531174657426</v>
      </c>
      <c r="E17" s="199">
        <f t="shared" si="6"/>
        <v>16</v>
      </c>
      <c r="F17" s="198">
        <f t="shared" si="3"/>
        <v>11.954333948789944</v>
      </c>
      <c r="G17" s="198">
        <f t="shared" si="4"/>
        <v>5.6628772850733977</v>
      </c>
      <c r="H17" s="199">
        <f t="shared" si="5"/>
        <v>0</v>
      </c>
      <c r="I17" s="200">
        <v>8.1069978942228467</v>
      </c>
      <c r="Q17" s="197">
        <v>102</v>
      </c>
      <c r="R17" s="198">
        <f t="shared" si="8"/>
        <v>103.82018311105686</v>
      </c>
      <c r="S17" s="198">
        <f t="shared" si="7"/>
        <v>100.53571428571429</v>
      </c>
      <c r="T17" s="198">
        <f t="shared" si="9"/>
        <v>97.25124546037172</v>
      </c>
      <c r="U17" s="199">
        <f t="shared" si="10"/>
        <v>14</v>
      </c>
    </row>
    <row r="18" spans="1:21">
      <c r="A18" s="197">
        <v>102</v>
      </c>
      <c r="B18" s="198">
        <f t="shared" si="0"/>
        <v>103.58446882534257</v>
      </c>
      <c r="C18" s="198">
        <f t="shared" si="1"/>
        <v>100.3</v>
      </c>
      <c r="D18" s="198">
        <f t="shared" si="2"/>
        <v>97.015531174657426</v>
      </c>
      <c r="E18" s="199">
        <f t="shared" si="6"/>
        <v>17</v>
      </c>
      <c r="F18" s="198">
        <f t="shared" si="3"/>
        <v>11.954333948789944</v>
      </c>
      <c r="G18" s="198">
        <f t="shared" si="4"/>
        <v>5.6628772850733977</v>
      </c>
      <c r="H18" s="199">
        <f t="shared" si="5"/>
        <v>0</v>
      </c>
      <c r="I18" s="200">
        <v>9.8904080324716954</v>
      </c>
      <c r="Q18" s="197">
        <v>103</v>
      </c>
      <c r="R18" s="198">
        <f t="shared" si="8"/>
        <v>103.82018311105686</v>
      </c>
      <c r="S18" s="198">
        <f t="shared" si="7"/>
        <v>100.53571428571429</v>
      </c>
      <c r="T18" s="198">
        <f t="shared" si="9"/>
        <v>97.25124546037172</v>
      </c>
      <c r="U18" s="199">
        <f t="shared" si="10"/>
        <v>15</v>
      </c>
    </row>
    <row r="19" spans="1:21">
      <c r="A19" s="197">
        <v>101</v>
      </c>
      <c r="B19" s="198">
        <f t="shared" si="0"/>
        <v>103.58446882534257</v>
      </c>
      <c r="C19" s="198">
        <f t="shared" si="1"/>
        <v>100.3</v>
      </c>
      <c r="D19" s="198">
        <f t="shared" si="2"/>
        <v>97.015531174657426</v>
      </c>
      <c r="E19" s="199">
        <f t="shared" si="6"/>
        <v>18</v>
      </c>
      <c r="F19" s="198">
        <f t="shared" si="3"/>
        <v>11.954333948789944</v>
      </c>
      <c r="G19" s="198">
        <f t="shared" si="4"/>
        <v>5.6628772850733977</v>
      </c>
      <c r="H19" s="199">
        <f t="shared" si="5"/>
        <v>0</v>
      </c>
      <c r="I19" s="200">
        <v>8.2053285317545104</v>
      </c>
      <c r="Q19" s="197">
        <v>102</v>
      </c>
      <c r="R19" s="198">
        <f t="shared" si="8"/>
        <v>103.82018311105686</v>
      </c>
      <c r="S19" s="198">
        <f t="shared" si="7"/>
        <v>100.53571428571429</v>
      </c>
      <c r="T19" s="198">
        <f t="shared" si="9"/>
        <v>97.25124546037172</v>
      </c>
      <c r="U19" s="199">
        <f t="shared" si="10"/>
        <v>16</v>
      </c>
    </row>
    <row r="20" spans="1:21">
      <c r="A20" s="197">
        <v>100</v>
      </c>
      <c r="B20" s="198">
        <f t="shared" si="0"/>
        <v>103.58446882534257</v>
      </c>
      <c r="C20" s="198">
        <f t="shared" si="1"/>
        <v>100.3</v>
      </c>
      <c r="D20" s="198">
        <f t="shared" si="2"/>
        <v>97.015531174657426</v>
      </c>
      <c r="E20" s="199">
        <f t="shared" si="6"/>
        <v>19</v>
      </c>
      <c r="F20" s="198">
        <f t="shared" si="3"/>
        <v>11.954333948789944</v>
      </c>
      <c r="G20" s="198">
        <f t="shared" si="4"/>
        <v>5.6628772850733977</v>
      </c>
      <c r="H20" s="199">
        <f t="shared" si="5"/>
        <v>0</v>
      </c>
      <c r="I20" s="200">
        <v>5.1782280953398248</v>
      </c>
      <c r="Q20" s="197">
        <v>101</v>
      </c>
      <c r="R20" s="198">
        <f t="shared" si="8"/>
        <v>103.82018311105686</v>
      </c>
      <c r="S20" s="198">
        <f t="shared" si="7"/>
        <v>100.53571428571429</v>
      </c>
      <c r="T20" s="198">
        <f t="shared" si="9"/>
        <v>97.25124546037172</v>
      </c>
      <c r="U20" s="199">
        <f t="shared" si="10"/>
        <v>17</v>
      </c>
    </row>
    <row r="21" spans="1:21">
      <c r="A21" s="197">
        <v>99</v>
      </c>
      <c r="B21" s="198">
        <f t="shared" si="0"/>
        <v>103.58446882534257</v>
      </c>
      <c r="C21" s="198">
        <f t="shared" si="1"/>
        <v>100.3</v>
      </c>
      <c r="D21" s="198">
        <f t="shared" si="2"/>
        <v>97.015531174657426</v>
      </c>
      <c r="E21" s="199">
        <f t="shared" si="6"/>
        <v>20</v>
      </c>
      <c r="F21" s="198">
        <f t="shared" si="3"/>
        <v>11.954333948789944</v>
      </c>
      <c r="G21" s="198">
        <f t="shared" si="4"/>
        <v>5.6628772850733977</v>
      </c>
      <c r="H21" s="199">
        <f t="shared" si="5"/>
        <v>0</v>
      </c>
      <c r="I21" s="200">
        <v>5.8508865627002757</v>
      </c>
      <c r="Q21" s="197">
        <v>100</v>
      </c>
      <c r="R21" s="198">
        <f t="shared" si="8"/>
        <v>103.82018311105686</v>
      </c>
      <c r="S21" s="198">
        <f t="shared" si="7"/>
        <v>100.53571428571429</v>
      </c>
      <c r="T21" s="198">
        <f t="shared" si="9"/>
        <v>97.25124546037172</v>
      </c>
      <c r="U21" s="199">
        <f t="shared" si="10"/>
        <v>18</v>
      </c>
    </row>
    <row r="22" spans="1:21">
      <c r="A22" s="197">
        <v>98</v>
      </c>
      <c r="B22" s="198">
        <f t="shared" si="0"/>
        <v>103.58446882534257</v>
      </c>
      <c r="C22" s="198">
        <f t="shared" si="1"/>
        <v>100.3</v>
      </c>
      <c r="D22" s="198">
        <f t="shared" si="2"/>
        <v>97.015531174657426</v>
      </c>
      <c r="E22" s="199">
        <f t="shared" si="6"/>
        <v>21</v>
      </c>
      <c r="F22" s="198">
        <f t="shared" si="3"/>
        <v>11.954333948789944</v>
      </c>
      <c r="G22" s="198">
        <f t="shared" si="4"/>
        <v>5.6628772850733977</v>
      </c>
      <c r="H22" s="199">
        <f t="shared" si="5"/>
        <v>0</v>
      </c>
      <c r="I22" s="200">
        <v>6.629566331980346</v>
      </c>
      <c r="Q22" s="197">
        <v>99</v>
      </c>
      <c r="R22" s="198">
        <f t="shared" si="8"/>
        <v>103.82018311105686</v>
      </c>
      <c r="S22" s="198">
        <f t="shared" si="7"/>
        <v>100.53571428571429</v>
      </c>
      <c r="T22" s="198">
        <f t="shared" si="9"/>
        <v>97.25124546037172</v>
      </c>
      <c r="U22" s="199">
        <f t="shared" si="10"/>
        <v>19</v>
      </c>
    </row>
    <row r="23" spans="1:21">
      <c r="A23" s="197">
        <v>97</v>
      </c>
      <c r="B23" s="198">
        <f t="shared" si="0"/>
        <v>103.58446882534257</v>
      </c>
      <c r="C23" s="198">
        <f t="shared" si="1"/>
        <v>100.3</v>
      </c>
      <c r="D23" s="198">
        <f t="shared" si="2"/>
        <v>97.015531174657426</v>
      </c>
      <c r="E23" s="199">
        <f t="shared" si="6"/>
        <v>22</v>
      </c>
      <c r="F23" s="198">
        <f t="shared" si="3"/>
        <v>11.954333948789944</v>
      </c>
      <c r="G23" s="198">
        <f t="shared" si="4"/>
        <v>5.6628772850733977</v>
      </c>
      <c r="H23" s="199">
        <f t="shared" si="5"/>
        <v>0</v>
      </c>
      <c r="I23" s="200">
        <v>3.2497940000610379</v>
      </c>
      <c r="Q23" s="197">
        <v>98</v>
      </c>
      <c r="R23" s="198">
        <f t="shared" si="8"/>
        <v>103.82018311105686</v>
      </c>
      <c r="S23" s="198">
        <f t="shared" si="7"/>
        <v>100.53571428571429</v>
      </c>
      <c r="T23" s="198">
        <f t="shared" si="9"/>
        <v>97.25124546037172</v>
      </c>
      <c r="U23" s="199">
        <f t="shared" si="10"/>
        <v>20</v>
      </c>
    </row>
    <row r="24" spans="1:21">
      <c r="A24" s="197">
        <v>98</v>
      </c>
      <c r="B24" s="198">
        <f t="shared" si="0"/>
        <v>103.58446882534257</v>
      </c>
      <c r="C24" s="198">
        <f t="shared" si="1"/>
        <v>100.3</v>
      </c>
      <c r="D24" s="198">
        <f t="shared" si="2"/>
        <v>97.015531174657426</v>
      </c>
      <c r="E24" s="199">
        <f t="shared" si="6"/>
        <v>23</v>
      </c>
      <c r="F24" s="198">
        <f t="shared" si="3"/>
        <v>11.954333948789944</v>
      </c>
      <c r="G24" s="198">
        <f t="shared" si="4"/>
        <v>5.6628772850733977</v>
      </c>
      <c r="H24" s="199">
        <f t="shared" si="5"/>
        <v>0</v>
      </c>
      <c r="I24" s="200">
        <v>7.3351847895748765</v>
      </c>
      <c r="Q24" s="197">
        <v>98</v>
      </c>
      <c r="R24" s="198">
        <f t="shared" si="8"/>
        <v>103.82018311105686</v>
      </c>
      <c r="S24" s="198">
        <f t="shared" si="7"/>
        <v>100.53571428571429</v>
      </c>
      <c r="T24" s="198">
        <f t="shared" si="9"/>
        <v>97.25124546037172</v>
      </c>
      <c r="U24" s="199">
        <f t="shared" si="10"/>
        <v>21</v>
      </c>
    </row>
    <row r="25" spans="1:21">
      <c r="A25" s="197">
        <v>99</v>
      </c>
      <c r="B25" s="198">
        <f t="shared" si="0"/>
        <v>103.58446882534257</v>
      </c>
      <c r="C25" s="198">
        <f t="shared" si="1"/>
        <v>100.3</v>
      </c>
      <c r="D25" s="198">
        <f t="shared" si="2"/>
        <v>97.015531174657426</v>
      </c>
      <c r="E25" s="199">
        <f t="shared" si="6"/>
        <v>24</v>
      </c>
      <c r="F25" s="198">
        <f t="shared" si="3"/>
        <v>11.954333948789944</v>
      </c>
      <c r="G25" s="198">
        <f t="shared" si="4"/>
        <v>5.6628772850733977</v>
      </c>
      <c r="H25" s="199">
        <f t="shared" si="5"/>
        <v>0</v>
      </c>
      <c r="I25" s="200">
        <v>7.4466994232001698</v>
      </c>
      <c r="Q25" s="197">
        <v>99</v>
      </c>
      <c r="R25" s="198">
        <f t="shared" si="8"/>
        <v>103.82018311105686</v>
      </c>
      <c r="S25" s="198">
        <f t="shared" si="7"/>
        <v>100.53571428571429</v>
      </c>
      <c r="T25" s="198">
        <f t="shared" si="9"/>
        <v>97.25124546037172</v>
      </c>
      <c r="U25" s="199">
        <f t="shared" si="10"/>
        <v>22</v>
      </c>
    </row>
    <row r="26" spans="1:21">
      <c r="A26" s="197">
        <v>100</v>
      </c>
      <c r="B26" s="198">
        <f t="shared" si="0"/>
        <v>103.58446882534257</v>
      </c>
      <c r="C26" s="198">
        <f t="shared" si="1"/>
        <v>100.3</v>
      </c>
      <c r="D26" s="198">
        <f t="shared" si="2"/>
        <v>97.015531174657426</v>
      </c>
      <c r="E26" s="199">
        <f t="shared" si="6"/>
        <v>25</v>
      </c>
      <c r="F26" s="198">
        <f t="shared" si="3"/>
        <v>11.954333948789944</v>
      </c>
      <c r="G26" s="198">
        <f t="shared" si="4"/>
        <v>5.6628772850733977</v>
      </c>
      <c r="H26" s="199">
        <f t="shared" si="5"/>
        <v>0</v>
      </c>
      <c r="I26" s="200">
        <v>9.8156987212744529</v>
      </c>
      <c r="Q26" s="197">
        <v>100</v>
      </c>
      <c r="R26" s="198">
        <f t="shared" si="8"/>
        <v>103.82018311105686</v>
      </c>
      <c r="S26" s="198">
        <f t="shared" si="7"/>
        <v>100.53571428571429</v>
      </c>
      <c r="T26" s="198">
        <f t="shared" si="9"/>
        <v>97.25124546037172</v>
      </c>
      <c r="U26" s="199">
        <f t="shared" si="10"/>
        <v>23</v>
      </c>
    </row>
    <row r="27" spans="1:21">
      <c r="A27" s="197">
        <v>101</v>
      </c>
      <c r="B27" s="198">
        <f t="shared" si="0"/>
        <v>103.58446882534257</v>
      </c>
      <c r="C27" s="198">
        <f t="shared" si="1"/>
        <v>100.3</v>
      </c>
      <c r="D27" s="198">
        <f t="shared" si="2"/>
        <v>97.015531174657426</v>
      </c>
      <c r="E27" s="199">
        <f t="shared" si="6"/>
        <v>26</v>
      </c>
      <c r="F27" s="198">
        <f t="shared" si="3"/>
        <v>11.954333948789944</v>
      </c>
      <c r="G27" s="198">
        <f t="shared" si="4"/>
        <v>5.6628772850733977</v>
      </c>
      <c r="H27" s="199">
        <f t="shared" si="5"/>
        <v>0</v>
      </c>
      <c r="I27" s="200">
        <v>3.9611804559465313</v>
      </c>
      <c r="Q27" s="197">
        <v>101</v>
      </c>
      <c r="R27" s="198">
        <f t="shared" si="8"/>
        <v>103.82018311105686</v>
      </c>
      <c r="S27" s="198">
        <f t="shared" si="7"/>
        <v>100.53571428571429</v>
      </c>
      <c r="T27" s="198">
        <f t="shared" si="9"/>
        <v>97.25124546037172</v>
      </c>
      <c r="U27" s="199">
        <f t="shared" si="10"/>
        <v>24</v>
      </c>
    </row>
    <row r="28" spans="1:21">
      <c r="A28" s="197">
        <v>102</v>
      </c>
      <c r="B28" s="198">
        <f t="shared" si="0"/>
        <v>103.58446882534257</v>
      </c>
      <c r="C28" s="198">
        <f t="shared" si="1"/>
        <v>100.3</v>
      </c>
      <c r="D28" s="198">
        <f t="shared" si="2"/>
        <v>97.015531174657426</v>
      </c>
      <c r="E28" s="199">
        <f>E27+1</f>
        <v>27</v>
      </c>
      <c r="F28" s="198">
        <f t="shared" si="3"/>
        <v>11.954333948789944</v>
      </c>
      <c r="G28" s="198">
        <f t="shared" si="4"/>
        <v>5.6628772850733977</v>
      </c>
      <c r="H28" s="199">
        <f t="shared" si="5"/>
        <v>0</v>
      </c>
      <c r="I28" s="200">
        <v>5.0090334788048949</v>
      </c>
      <c r="Q28" s="197">
        <v>102</v>
      </c>
      <c r="R28" s="198">
        <f t="shared" si="8"/>
        <v>103.82018311105686</v>
      </c>
      <c r="S28" s="198">
        <f t="shared" si="7"/>
        <v>100.53571428571429</v>
      </c>
      <c r="T28" s="198">
        <f t="shared" si="9"/>
        <v>97.25124546037172</v>
      </c>
      <c r="U28" s="199">
        <f t="shared" si="10"/>
        <v>25</v>
      </c>
    </row>
    <row r="29" spans="1:21">
      <c r="A29" s="197">
        <v>103</v>
      </c>
      <c r="B29" s="198">
        <f t="shared" si="0"/>
        <v>103.58446882534257</v>
      </c>
      <c r="C29" s="198">
        <f t="shared" si="1"/>
        <v>100.3</v>
      </c>
      <c r="D29" s="198">
        <f t="shared" si="2"/>
        <v>97.015531174657426</v>
      </c>
      <c r="E29" s="199">
        <f t="shared" si="6"/>
        <v>28</v>
      </c>
      <c r="F29" s="198">
        <f t="shared" si="3"/>
        <v>11.954333948789944</v>
      </c>
      <c r="G29" s="198">
        <f t="shared" si="4"/>
        <v>5.6628772850733977</v>
      </c>
      <c r="H29" s="199">
        <f t="shared" si="5"/>
        <v>0</v>
      </c>
      <c r="I29" s="200">
        <v>7.3755607776116214</v>
      </c>
      <c r="Q29" s="197">
        <v>103</v>
      </c>
      <c r="R29" s="198">
        <f t="shared" si="8"/>
        <v>103.82018311105686</v>
      </c>
      <c r="S29" s="198">
        <f t="shared" si="7"/>
        <v>100.53571428571429</v>
      </c>
      <c r="T29" s="198">
        <f t="shared" si="9"/>
        <v>97.25124546037172</v>
      </c>
      <c r="U29" s="199">
        <f t="shared" si="10"/>
        <v>26</v>
      </c>
    </row>
    <row r="30" spans="1:21">
      <c r="A30" s="197">
        <v>102</v>
      </c>
      <c r="B30" s="198">
        <f t="shared" si="0"/>
        <v>103.58446882534257</v>
      </c>
      <c r="C30" s="198">
        <f t="shared" si="1"/>
        <v>100.3</v>
      </c>
      <c r="D30" s="198">
        <f t="shared" si="2"/>
        <v>97.015531174657426</v>
      </c>
      <c r="E30" s="199">
        <f t="shared" si="6"/>
        <v>29</v>
      </c>
      <c r="F30" s="198">
        <f t="shared" si="3"/>
        <v>11.954333948789944</v>
      </c>
      <c r="G30" s="198">
        <f t="shared" si="4"/>
        <v>5.6628772850733977</v>
      </c>
      <c r="H30" s="199">
        <f t="shared" si="5"/>
        <v>0</v>
      </c>
      <c r="I30" s="200">
        <v>7.6590166936246833</v>
      </c>
      <c r="Q30" s="197">
        <v>102</v>
      </c>
      <c r="R30" s="198">
        <f t="shared" si="8"/>
        <v>103.82018311105686</v>
      </c>
      <c r="S30" s="198">
        <f t="shared" si="7"/>
        <v>100.53571428571429</v>
      </c>
      <c r="T30" s="198">
        <f t="shared" si="9"/>
        <v>97.25124546037172</v>
      </c>
      <c r="U30" s="199">
        <f t="shared" si="10"/>
        <v>27</v>
      </c>
    </row>
    <row r="31" spans="1:21">
      <c r="A31" s="197">
        <v>101</v>
      </c>
      <c r="B31" s="198">
        <f t="shared" si="0"/>
        <v>103.58446882534257</v>
      </c>
      <c r="C31" s="198">
        <f t="shared" si="1"/>
        <v>100.3</v>
      </c>
      <c r="D31" s="198">
        <f t="shared" si="2"/>
        <v>97.015531174657426</v>
      </c>
      <c r="E31" s="199">
        <f t="shared" si="6"/>
        <v>30</v>
      </c>
      <c r="F31" s="198">
        <f t="shared" si="3"/>
        <v>11.954333948789944</v>
      </c>
      <c r="G31" s="198">
        <f t="shared" si="4"/>
        <v>5.6628772850733977</v>
      </c>
      <c r="H31" s="199">
        <f t="shared" si="5"/>
        <v>0</v>
      </c>
      <c r="I31" s="200">
        <v>2.5548875392925807</v>
      </c>
      <c r="Q31" s="197">
        <v>101</v>
      </c>
      <c r="R31" s="198">
        <f t="shared" si="8"/>
        <v>103.82018311105686</v>
      </c>
      <c r="S31" s="198">
        <f t="shared" si="7"/>
        <v>100.53571428571429</v>
      </c>
      <c r="T31" s="198">
        <f t="shared" si="9"/>
        <v>97.25124546037172</v>
      </c>
      <c r="U31" s="199">
        <f t="shared" si="10"/>
        <v>28</v>
      </c>
    </row>
    <row r="32" spans="1:21">
      <c r="A32" s="201">
        <f>AVERAGE(A2:A31)</f>
        <v>100.3</v>
      </c>
      <c r="B32" s="199"/>
      <c r="C32" s="199"/>
      <c r="D32" s="199"/>
      <c r="E32" s="199"/>
      <c r="F32" s="199"/>
      <c r="G32" s="199"/>
      <c r="H32" s="199"/>
      <c r="I32" s="200">
        <f>AVERAGE(I2:I31)</f>
        <v>5.6628772850733977</v>
      </c>
      <c r="Q32" s="201">
        <f>AVERAGE(Q4:Q31)</f>
        <v>100.53571428571429</v>
      </c>
      <c r="R32" s="199"/>
      <c r="S32" s="199"/>
      <c r="T32" s="199"/>
      <c r="U32" s="199"/>
    </row>
    <row r="33" spans="1:9">
      <c r="A33" s="199"/>
      <c r="B33" s="199"/>
      <c r="C33" s="199"/>
      <c r="D33" s="199"/>
      <c r="E33" s="199"/>
      <c r="F33" s="199"/>
      <c r="G33" s="199"/>
      <c r="H33" s="199"/>
      <c r="I33" s="202"/>
    </row>
    <row r="34" spans="1:9">
      <c r="A34" s="196" t="s">
        <v>361</v>
      </c>
      <c r="B34" s="203">
        <v>0.57999999999999996</v>
      </c>
    </row>
    <row r="35" spans="1:9">
      <c r="A35" s="196" t="s">
        <v>364</v>
      </c>
      <c r="B35" s="203">
        <v>2.1110000000000002</v>
      </c>
    </row>
    <row r="36" spans="1:9">
      <c r="A36" s="196" t="s">
        <v>367</v>
      </c>
      <c r="B36" s="203">
        <v>0</v>
      </c>
    </row>
    <row r="37" spans="1:9">
      <c r="A37" s="196" t="s">
        <v>333</v>
      </c>
      <c r="B37" s="203">
        <v>2.33</v>
      </c>
    </row>
    <row r="39" spans="1:9">
      <c r="A39" s="196" t="s">
        <v>396</v>
      </c>
    </row>
    <row r="41" spans="1:9">
      <c r="A41" s="196" t="s">
        <v>332</v>
      </c>
      <c r="B41" s="195">
        <f>I32/B37</f>
        <v>2.4304194356538189</v>
      </c>
      <c r="D41" s="195" t="s">
        <v>384</v>
      </c>
      <c r="E41" s="195" t="s">
        <v>385</v>
      </c>
    </row>
    <row r="42" spans="1:9">
      <c r="D42" s="195">
        <f>(B43-Q32)/B41</f>
        <v>1.0139343350102772</v>
      </c>
      <c r="E42" s="195">
        <f>(B45-Q32)/B41</f>
        <v>-1.454775350232143</v>
      </c>
    </row>
    <row r="43" spans="1:9">
      <c r="A43" s="195" t="s">
        <v>363</v>
      </c>
      <c r="B43" s="195">
        <v>103</v>
      </c>
      <c r="D43" s="195">
        <f>NORMSDIST(D42)</f>
        <v>0.84469295675813005</v>
      </c>
      <c r="E43" s="195">
        <f>NORMSDIST(E42)</f>
        <v>7.2865732216472592E-2</v>
      </c>
    </row>
    <row r="44" spans="1:9">
      <c r="A44" s="195" t="s">
        <v>365</v>
      </c>
      <c r="B44" s="195">
        <v>100</v>
      </c>
    </row>
    <row r="45" spans="1:9">
      <c r="A45" s="195" t="s">
        <v>368</v>
      </c>
      <c r="B45" s="195">
        <v>97</v>
      </c>
      <c r="D45" s="195" t="s">
        <v>397</v>
      </c>
      <c r="E45" s="204">
        <f>1-(D43-E43)</f>
        <v>0.22817277545834258</v>
      </c>
    </row>
    <row r="47" spans="1:9">
      <c r="A47" s="196" t="s">
        <v>398</v>
      </c>
    </row>
    <row r="49" spans="1:3">
      <c r="A49" s="195" t="s">
        <v>327</v>
      </c>
      <c r="B49" s="197">
        <f>(16/60)*100</f>
        <v>26.666666666666668</v>
      </c>
    </row>
    <row r="51" spans="1:3">
      <c r="A51" s="196" t="s">
        <v>399</v>
      </c>
    </row>
    <row r="53" spans="1:3">
      <c r="A53" s="195" t="s">
        <v>331</v>
      </c>
      <c r="B53" s="198">
        <f>(B43-B45)/(6*B41)</f>
        <v>0.41145161420707005</v>
      </c>
      <c r="C53" s="198"/>
    </row>
    <row r="54" spans="1:3">
      <c r="A54" s="195" t="s">
        <v>330</v>
      </c>
      <c r="B54" s="198">
        <f>(B43-Q32)/(3*B41)</f>
        <v>0.33797811167009245</v>
      </c>
      <c r="C54" s="198">
        <f>(Q32-B45)/(3*B41)</f>
        <v>0.4849251167440477</v>
      </c>
    </row>
    <row r="55" spans="1:3">
      <c r="A55" s="195" t="s">
        <v>329</v>
      </c>
      <c r="B55" s="198">
        <f>(B43-B45)/(6*B56)</f>
        <v>0.40180645428386075</v>
      </c>
      <c r="C55" s="198"/>
    </row>
    <row r="56" spans="1:3">
      <c r="A56" s="195" t="s">
        <v>400</v>
      </c>
      <c r="B56" s="198">
        <f>SQRT((B41^2+(Q32-B44)^2))</f>
        <v>2.4887604201935956</v>
      </c>
      <c r="C56" s="198"/>
    </row>
  </sheetData>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3B93D-FA26-C147-9056-239D560B4E4C}">
  <dimension ref="A1:M59"/>
  <sheetViews>
    <sheetView zoomScale="120" zoomScaleNormal="120" workbookViewId="0"/>
  </sheetViews>
  <sheetFormatPr baseColWidth="10" defaultRowHeight="13"/>
  <cols>
    <col min="1" max="1" width="4.6640625" style="195" customWidth="1"/>
    <col min="2" max="2" width="4.5" style="195" customWidth="1"/>
    <col min="3" max="3" width="11.6640625" style="195" customWidth="1"/>
    <col min="4" max="4" width="8.1640625" style="195" customWidth="1"/>
    <col min="5" max="5" width="7.33203125" style="195" customWidth="1"/>
    <col min="6" max="6" width="9" style="195" customWidth="1"/>
    <col min="7" max="7" width="6.83203125" style="195" customWidth="1"/>
    <col min="8" max="252" width="10.83203125" style="195"/>
    <col min="253" max="253" width="4.6640625" style="195" customWidth="1"/>
    <col min="254" max="254" width="4.5" style="195" customWidth="1"/>
    <col min="255" max="255" width="11.6640625" style="195" customWidth="1"/>
    <col min="256" max="256" width="8.1640625" style="195" customWidth="1"/>
    <col min="257" max="257" width="7.33203125" style="195" customWidth="1"/>
    <col min="258" max="258" width="6.6640625" style="195" customWidth="1"/>
    <col min="259" max="259" width="6.83203125" style="195" customWidth="1"/>
    <col min="260" max="508" width="10.83203125" style="195"/>
    <col min="509" max="509" width="4.6640625" style="195" customWidth="1"/>
    <col min="510" max="510" width="4.5" style="195" customWidth="1"/>
    <col min="511" max="511" width="11.6640625" style="195" customWidth="1"/>
    <col min="512" max="512" width="8.1640625" style="195" customWidth="1"/>
    <col min="513" max="513" width="7.33203125" style="195" customWidth="1"/>
    <col min="514" max="514" width="6.6640625" style="195" customWidth="1"/>
    <col min="515" max="515" width="6.83203125" style="195" customWidth="1"/>
    <col min="516" max="764" width="10.83203125" style="195"/>
    <col min="765" max="765" width="4.6640625" style="195" customWidth="1"/>
    <col min="766" max="766" width="4.5" style="195" customWidth="1"/>
    <col min="767" max="767" width="11.6640625" style="195" customWidth="1"/>
    <col min="768" max="768" width="8.1640625" style="195" customWidth="1"/>
    <col min="769" max="769" width="7.33203125" style="195" customWidth="1"/>
    <col min="770" max="770" width="6.6640625" style="195" customWidth="1"/>
    <col min="771" max="771" width="6.83203125" style="195" customWidth="1"/>
    <col min="772" max="1020" width="10.83203125" style="195"/>
    <col min="1021" max="1021" width="4.6640625" style="195" customWidth="1"/>
    <col min="1022" max="1022" width="4.5" style="195" customWidth="1"/>
    <col min="1023" max="1023" width="11.6640625" style="195" customWidth="1"/>
    <col min="1024" max="1024" width="8.1640625" style="195" customWidth="1"/>
    <col min="1025" max="1025" width="7.33203125" style="195" customWidth="1"/>
    <col min="1026" max="1026" width="6.6640625" style="195" customWidth="1"/>
    <col min="1027" max="1027" width="6.83203125" style="195" customWidth="1"/>
    <col min="1028" max="1276" width="10.83203125" style="195"/>
    <col min="1277" max="1277" width="4.6640625" style="195" customWidth="1"/>
    <col min="1278" max="1278" width="4.5" style="195" customWidth="1"/>
    <col min="1279" max="1279" width="11.6640625" style="195" customWidth="1"/>
    <col min="1280" max="1280" width="8.1640625" style="195" customWidth="1"/>
    <col min="1281" max="1281" width="7.33203125" style="195" customWidth="1"/>
    <col min="1282" max="1282" width="6.6640625" style="195" customWidth="1"/>
    <col min="1283" max="1283" width="6.83203125" style="195" customWidth="1"/>
    <col min="1284" max="1532" width="10.83203125" style="195"/>
    <col min="1533" max="1533" width="4.6640625" style="195" customWidth="1"/>
    <col min="1534" max="1534" width="4.5" style="195" customWidth="1"/>
    <col min="1535" max="1535" width="11.6640625" style="195" customWidth="1"/>
    <col min="1536" max="1536" width="8.1640625" style="195" customWidth="1"/>
    <col min="1537" max="1537" width="7.33203125" style="195" customWidth="1"/>
    <col min="1538" max="1538" width="6.6640625" style="195" customWidth="1"/>
    <col min="1539" max="1539" width="6.83203125" style="195" customWidth="1"/>
    <col min="1540" max="1788" width="10.83203125" style="195"/>
    <col min="1789" max="1789" width="4.6640625" style="195" customWidth="1"/>
    <col min="1790" max="1790" width="4.5" style="195" customWidth="1"/>
    <col min="1791" max="1791" width="11.6640625" style="195" customWidth="1"/>
    <col min="1792" max="1792" width="8.1640625" style="195" customWidth="1"/>
    <col min="1793" max="1793" width="7.33203125" style="195" customWidth="1"/>
    <col min="1794" max="1794" width="6.6640625" style="195" customWidth="1"/>
    <col min="1795" max="1795" width="6.83203125" style="195" customWidth="1"/>
    <col min="1796" max="2044" width="10.83203125" style="195"/>
    <col min="2045" max="2045" width="4.6640625" style="195" customWidth="1"/>
    <col min="2046" max="2046" width="4.5" style="195" customWidth="1"/>
    <col min="2047" max="2047" width="11.6640625" style="195" customWidth="1"/>
    <col min="2048" max="2048" width="8.1640625" style="195" customWidth="1"/>
    <col min="2049" max="2049" width="7.33203125" style="195" customWidth="1"/>
    <col min="2050" max="2050" width="6.6640625" style="195" customWidth="1"/>
    <col min="2051" max="2051" width="6.83203125" style="195" customWidth="1"/>
    <col min="2052" max="2300" width="10.83203125" style="195"/>
    <col min="2301" max="2301" width="4.6640625" style="195" customWidth="1"/>
    <col min="2302" max="2302" width="4.5" style="195" customWidth="1"/>
    <col min="2303" max="2303" width="11.6640625" style="195" customWidth="1"/>
    <col min="2304" max="2304" width="8.1640625" style="195" customWidth="1"/>
    <col min="2305" max="2305" width="7.33203125" style="195" customWidth="1"/>
    <col min="2306" max="2306" width="6.6640625" style="195" customWidth="1"/>
    <col min="2307" max="2307" width="6.83203125" style="195" customWidth="1"/>
    <col min="2308" max="2556" width="10.83203125" style="195"/>
    <col min="2557" max="2557" width="4.6640625" style="195" customWidth="1"/>
    <col min="2558" max="2558" width="4.5" style="195" customWidth="1"/>
    <col min="2559" max="2559" width="11.6640625" style="195" customWidth="1"/>
    <col min="2560" max="2560" width="8.1640625" style="195" customWidth="1"/>
    <col min="2561" max="2561" width="7.33203125" style="195" customWidth="1"/>
    <col min="2562" max="2562" width="6.6640625" style="195" customWidth="1"/>
    <col min="2563" max="2563" width="6.83203125" style="195" customWidth="1"/>
    <col min="2564" max="2812" width="10.83203125" style="195"/>
    <col min="2813" max="2813" width="4.6640625" style="195" customWidth="1"/>
    <col min="2814" max="2814" width="4.5" style="195" customWidth="1"/>
    <col min="2815" max="2815" width="11.6640625" style="195" customWidth="1"/>
    <col min="2816" max="2816" width="8.1640625" style="195" customWidth="1"/>
    <col min="2817" max="2817" width="7.33203125" style="195" customWidth="1"/>
    <col min="2818" max="2818" width="6.6640625" style="195" customWidth="1"/>
    <col min="2819" max="2819" width="6.83203125" style="195" customWidth="1"/>
    <col min="2820" max="3068" width="10.83203125" style="195"/>
    <col min="3069" max="3069" width="4.6640625" style="195" customWidth="1"/>
    <col min="3070" max="3070" width="4.5" style="195" customWidth="1"/>
    <col min="3071" max="3071" width="11.6640625" style="195" customWidth="1"/>
    <col min="3072" max="3072" width="8.1640625" style="195" customWidth="1"/>
    <col min="3073" max="3073" width="7.33203125" style="195" customWidth="1"/>
    <col min="3074" max="3074" width="6.6640625" style="195" customWidth="1"/>
    <col min="3075" max="3075" width="6.83203125" style="195" customWidth="1"/>
    <col min="3076" max="3324" width="10.83203125" style="195"/>
    <col min="3325" max="3325" width="4.6640625" style="195" customWidth="1"/>
    <col min="3326" max="3326" width="4.5" style="195" customWidth="1"/>
    <col min="3327" max="3327" width="11.6640625" style="195" customWidth="1"/>
    <col min="3328" max="3328" width="8.1640625" style="195" customWidth="1"/>
    <col min="3329" max="3329" width="7.33203125" style="195" customWidth="1"/>
    <col min="3330" max="3330" width="6.6640625" style="195" customWidth="1"/>
    <col min="3331" max="3331" width="6.83203125" style="195" customWidth="1"/>
    <col min="3332" max="3580" width="10.83203125" style="195"/>
    <col min="3581" max="3581" width="4.6640625" style="195" customWidth="1"/>
    <col min="3582" max="3582" width="4.5" style="195" customWidth="1"/>
    <col min="3583" max="3583" width="11.6640625" style="195" customWidth="1"/>
    <col min="3584" max="3584" width="8.1640625" style="195" customWidth="1"/>
    <col min="3585" max="3585" width="7.33203125" style="195" customWidth="1"/>
    <col min="3586" max="3586" width="6.6640625" style="195" customWidth="1"/>
    <col min="3587" max="3587" width="6.83203125" style="195" customWidth="1"/>
    <col min="3588" max="3836" width="10.83203125" style="195"/>
    <col min="3837" max="3837" width="4.6640625" style="195" customWidth="1"/>
    <col min="3838" max="3838" width="4.5" style="195" customWidth="1"/>
    <col min="3839" max="3839" width="11.6640625" style="195" customWidth="1"/>
    <col min="3840" max="3840" width="8.1640625" style="195" customWidth="1"/>
    <col min="3841" max="3841" width="7.33203125" style="195" customWidth="1"/>
    <col min="3842" max="3842" width="6.6640625" style="195" customWidth="1"/>
    <col min="3843" max="3843" width="6.83203125" style="195" customWidth="1"/>
    <col min="3844" max="4092" width="10.83203125" style="195"/>
    <col min="4093" max="4093" width="4.6640625" style="195" customWidth="1"/>
    <col min="4094" max="4094" width="4.5" style="195" customWidth="1"/>
    <col min="4095" max="4095" width="11.6640625" style="195" customWidth="1"/>
    <col min="4096" max="4096" width="8.1640625" style="195" customWidth="1"/>
    <col min="4097" max="4097" width="7.33203125" style="195" customWidth="1"/>
    <col min="4098" max="4098" width="6.6640625" style="195" customWidth="1"/>
    <col min="4099" max="4099" width="6.83203125" style="195" customWidth="1"/>
    <col min="4100" max="4348" width="10.83203125" style="195"/>
    <col min="4349" max="4349" width="4.6640625" style="195" customWidth="1"/>
    <col min="4350" max="4350" width="4.5" style="195" customWidth="1"/>
    <col min="4351" max="4351" width="11.6640625" style="195" customWidth="1"/>
    <col min="4352" max="4352" width="8.1640625" style="195" customWidth="1"/>
    <col min="4353" max="4353" width="7.33203125" style="195" customWidth="1"/>
    <col min="4354" max="4354" width="6.6640625" style="195" customWidth="1"/>
    <col min="4355" max="4355" width="6.83203125" style="195" customWidth="1"/>
    <col min="4356" max="4604" width="10.83203125" style="195"/>
    <col min="4605" max="4605" width="4.6640625" style="195" customWidth="1"/>
    <col min="4606" max="4606" width="4.5" style="195" customWidth="1"/>
    <col min="4607" max="4607" width="11.6640625" style="195" customWidth="1"/>
    <col min="4608" max="4608" width="8.1640625" style="195" customWidth="1"/>
    <col min="4609" max="4609" width="7.33203125" style="195" customWidth="1"/>
    <col min="4610" max="4610" width="6.6640625" style="195" customWidth="1"/>
    <col min="4611" max="4611" width="6.83203125" style="195" customWidth="1"/>
    <col min="4612" max="4860" width="10.83203125" style="195"/>
    <col min="4861" max="4861" width="4.6640625" style="195" customWidth="1"/>
    <col min="4862" max="4862" width="4.5" style="195" customWidth="1"/>
    <col min="4863" max="4863" width="11.6640625" style="195" customWidth="1"/>
    <col min="4864" max="4864" width="8.1640625" style="195" customWidth="1"/>
    <col min="4865" max="4865" width="7.33203125" style="195" customWidth="1"/>
    <col min="4866" max="4866" width="6.6640625" style="195" customWidth="1"/>
    <col min="4867" max="4867" width="6.83203125" style="195" customWidth="1"/>
    <col min="4868" max="5116" width="10.83203125" style="195"/>
    <col min="5117" max="5117" width="4.6640625" style="195" customWidth="1"/>
    <col min="5118" max="5118" width="4.5" style="195" customWidth="1"/>
    <col min="5119" max="5119" width="11.6640625" style="195" customWidth="1"/>
    <col min="5120" max="5120" width="8.1640625" style="195" customWidth="1"/>
    <col min="5121" max="5121" width="7.33203125" style="195" customWidth="1"/>
    <col min="5122" max="5122" width="6.6640625" style="195" customWidth="1"/>
    <col min="5123" max="5123" width="6.83203125" style="195" customWidth="1"/>
    <col min="5124" max="5372" width="10.83203125" style="195"/>
    <col min="5373" max="5373" width="4.6640625" style="195" customWidth="1"/>
    <col min="5374" max="5374" width="4.5" style="195" customWidth="1"/>
    <col min="5375" max="5375" width="11.6640625" style="195" customWidth="1"/>
    <col min="5376" max="5376" width="8.1640625" style="195" customWidth="1"/>
    <col min="5377" max="5377" width="7.33203125" style="195" customWidth="1"/>
    <col min="5378" max="5378" width="6.6640625" style="195" customWidth="1"/>
    <col min="5379" max="5379" width="6.83203125" style="195" customWidth="1"/>
    <col min="5380" max="5628" width="10.83203125" style="195"/>
    <col min="5629" max="5629" width="4.6640625" style="195" customWidth="1"/>
    <col min="5630" max="5630" width="4.5" style="195" customWidth="1"/>
    <col min="5631" max="5631" width="11.6640625" style="195" customWidth="1"/>
    <col min="5632" max="5632" width="8.1640625" style="195" customWidth="1"/>
    <col min="5633" max="5633" width="7.33203125" style="195" customWidth="1"/>
    <col min="5634" max="5634" width="6.6640625" style="195" customWidth="1"/>
    <col min="5635" max="5635" width="6.83203125" style="195" customWidth="1"/>
    <col min="5636" max="5884" width="10.83203125" style="195"/>
    <col min="5885" max="5885" width="4.6640625" style="195" customWidth="1"/>
    <col min="5886" max="5886" width="4.5" style="195" customWidth="1"/>
    <col min="5887" max="5887" width="11.6640625" style="195" customWidth="1"/>
    <col min="5888" max="5888" width="8.1640625" style="195" customWidth="1"/>
    <col min="5889" max="5889" width="7.33203125" style="195" customWidth="1"/>
    <col min="5890" max="5890" width="6.6640625" style="195" customWidth="1"/>
    <col min="5891" max="5891" width="6.83203125" style="195" customWidth="1"/>
    <col min="5892" max="6140" width="10.83203125" style="195"/>
    <col min="6141" max="6141" width="4.6640625" style="195" customWidth="1"/>
    <col min="6142" max="6142" width="4.5" style="195" customWidth="1"/>
    <col min="6143" max="6143" width="11.6640625" style="195" customWidth="1"/>
    <col min="6144" max="6144" width="8.1640625" style="195" customWidth="1"/>
    <col min="6145" max="6145" width="7.33203125" style="195" customWidth="1"/>
    <col min="6146" max="6146" width="6.6640625" style="195" customWidth="1"/>
    <col min="6147" max="6147" width="6.83203125" style="195" customWidth="1"/>
    <col min="6148" max="6396" width="10.83203125" style="195"/>
    <col min="6397" max="6397" width="4.6640625" style="195" customWidth="1"/>
    <col min="6398" max="6398" width="4.5" style="195" customWidth="1"/>
    <col min="6399" max="6399" width="11.6640625" style="195" customWidth="1"/>
    <col min="6400" max="6400" width="8.1640625" style="195" customWidth="1"/>
    <col min="6401" max="6401" width="7.33203125" style="195" customWidth="1"/>
    <col min="6402" max="6402" width="6.6640625" style="195" customWidth="1"/>
    <col min="6403" max="6403" width="6.83203125" style="195" customWidth="1"/>
    <col min="6404" max="6652" width="10.83203125" style="195"/>
    <col min="6653" max="6653" width="4.6640625" style="195" customWidth="1"/>
    <col min="6654" max="6654" width="4.5" style="195" customWidth="1"/>
    <col min="6655" max="6655" width="11.6640625" style="195" customWidth="1"/>
    <col min="6656" max="6656" width="8.1640625" style="195" customWidth="1"/>
    <col min="6657" max="6657" width="7.33203125" style="195" customWidth="1"/>
    <col min="6658" max="6658" width="6.6640625" style="195" customWidth="1"/>
    <col min="6659" max="6659" width="6.83203125" style="195" customWidth="1"/>
    <col min="6660" max="6908" width="10.83203125" style="195"/>
    <col min="6909" max="6909" width="4.6640625" style="195" customWidth="1"/>
    <col min="6910" max="6910" width="4.5" style="195" customWidth="1"/>
    <col min="6911" max="6911" width="11.6640625" style="195" customWidth="1"/>
    <col min="6912" max="6912" width="8.1640625" style="195" customWidth="1"/>
    <col min="6913" max="6913" width="7.33203125" style="195" customWidth="1"/>
    <col min="6914" max="6914" width="6.6640625" style="195" customWidth="1"/>
    <col min="6915" max="6915" width="6.83203125" style="195" customWidth="1"/>
    <col min="6916" max="7164" width="10.83203125" style="195"/>
    <col min="7165" max="7165" width="4.6640625" style="195" customWidth="1"/>
    <col min="7166" max="7166" width="4.5" style="195" customWidth="1"/>
    <col min="7167" max="7167" width="11.6640625" style="195" customWidth="1"/>
    <col min="7168" max="7168" width="8.1640625" style="195" customWidth="1"/>
    <col min="7169" max="7169" width="7.33203125" style="195" customWidth="1"/>
    <col min="7170" max="7170" width="6.6640625" style="195" customWidth="1"/>
    <col min="7171" max="7171" width="6.83203125" style="195" customWidth="1"/>
    <col min="7172" max="7420" width="10.83203125" style="195"/>
    <col min="7421" max="7421" width="4.6640625" style="195" customWidth="1"/>
    <col min="7422" max="7422" width="4.5" style="195" customWidth="1"/>
    <col min="7423" max="7423" width="11.6640625" style="195" customWidth="1"/>
    <col min="7424" max="7424" width="8.1640625" style="195" customWidth="1"/>
    <col min="7425" max="7425" width="7.33203125" style="195" customWidth="1"/>
    <col min="7426" max="7426" width="6.6640625" style="195" customWidth="1"/>
    <col min="7427" max="7427" width="6.83203125" style="195" customWidth="1"/>
    <col min="7428" max="7676" width="10.83203125" style="195"/>
    <col min="7677" max="7677" width="4.6640625" style="195" customWidth="1"/>
    <col min="7678" max="7678" width="4.5" style="195" customWidth="1"/>
    <col min="7679" max="7679" width="11.6640625" style="195" customWidth="1"/>
    <col min="7680" max="7680" width="8.1640625" style="195" customWidth="1"/>
    <col min="7681" max="7681" width="7.33203125" style="195" customWidth="1"/>
    <col min="7682" max="7682" width="6.6640625" style="195" customWidth="1"/>
    <col min="7683" max="7683" width="6.83203125" style="195" customWidth="1"/>
    <col min="7684" max="7932" width="10.83203125" style="195"/>
    <col min="7933" max="7933" width="4.6640625" style="195" customWidth="1"/>
    <col min="7934" max="7934" width="4.5" style="195" customWidth="1"/>
    <col min="7935" max="7935" width="11.6640625" style="195" customWidth="1"/>
    <col min="7936" max="7936" width="8.1640625" style="195" customWidth="1"/>
    <col min="7937" max="7937" width="7.33203125" style="195" customWidth="1"/>
    <col min="7938" max="7938" width="6.6640625" style="195" customWidth="1"/>
    <col min="7939" max="7939" width="6.83203125" style="195" customWidth="1"/>
    <col min="7940" max="8188" width="10.83203125" style="195"/>
    <col min="8189" max="8189" width="4.6640625" style="195" customWidth="1"/>
    <col min="8190" max="8190" width="4.5" style="195" customWidth="1"/>
    <col min="8191" max="8191" width="11.6640625" style="195" customWidth="1"/>
    <col min="8192" max="8192" width="8.1640625" style="195" customWidth="1"/>
    <col min="8193" max="8193" width="7.33203125" style="195" customWidth="1"/>
    <col min="8194" max="8194" width="6.6640625" style="195" customWidth="1"/>
    <col min="8195" max="8195" width="6.83203125" style="195" customWidth="1"/>
    <col min="8196" max="8444" width="10.83203125" style="195"/>
    <col min="8445" max="8445" width="4.6640625" style="195" customWidth="1"/>
    <col min="8446" max="8446" width="4.5" style="195" customWidth="1"/>
    <col min="8447" max="8447" width="11.6640625" style="195" customWidth="1"/>
    <col min="8448" max="8448" width="8.1640625" style="195" customWidth="1"/>
    <col min="8449" max="8449" width="7.33203125" style="195" customWidth="1"/>
    <col min="8450" max="8450" width="6.6640625" style="195" customWidth="1"/>
    <col min="8451" max="8451" width="6.83203125" style="195" customWidth="1"/>
    <col min="8452" max="8700" width="10.83203125" style="195"/>
    <col min="8701" max="8701" width="4.6640625" style="195" customWidth="1"/>
    <col min="8702" max="8702" width="4.5" style="195" customWidth="1"/>
    <col min="8703" max="8703" width="11.6640625" style="195" customWidth="1"/>
    <col min="8704" max="8704" width="8.1640625" style="195" customWidth="1"/>
    <col min="8705" max="8705" width="7.33203125" style="195" customWidth="1"/>
    <col min="8706" max="8706" width="6.6640625" style="195" customWidth="1"/>
    <col min="8707" max="8707" width="6.83203125" style="195" customWidth="1"/>
    <col min="8708" max="8956" width="10.83203125" style="195"/>
    <col min="8957" max="8957" width="4.6640625" style="195" customWidth="1"/>
    <col min="8958" max="8958" width="4.5" style="195" customWidth="1"/>
    <col min="8959" max="8959" width="11.6640625" style="195" customWidth="1"/>
    <col min="8960" max="8960" width="8.1640625" style="195" customWidth="1"/>
    <col min="8961" max="8961" width="7.33203125" style="195" customWidth="1"/>
    <col min="8962" max="8962" width="6.6640625" style="195" customWidth="1"/>
    <col min="8963" max="8963" width="6.83203125" style="195" customWidth="1"/>
    <col min="8964" max="9212" width="10.83203125" style="195"/>
    <col min="9213" max="9213" width="4.6640625" style="195" customWidth="1"/>
    <col min="9214" max="9214" width="4.5" style="195" customWidth="1"/>
    <col min="9215" max="9215" width="11.6640625" style="195" customWidth="1"/>
    <col min="9216" max="9216" width="8.1640625" style="195" customWidth="1"/>
    <col min="9217" max="9217" width="7.33203125" style="195" customWidth="1"/>
    <col min="9218" max="9218" width="6.6640625" style="195" customWidth="1"/>
    <col min="9219" max="9219" width="6.83203125" style="195" customWidth="1"/>
    <col min="9220" max="9468" width="10.83203125" style="195"/>
    <col min="9469" max="9469" width="4.6640625" style="195" customWidth="1"/>
    <col min="9470" max="9470" width="4.5" style="195" customWidth="1"/>
    <col min="9471" max="9471" width="11.6640625" style="195" customWidth="1"/>
    <col min="9472" max="9472" width="8.1640625" style="195" customWidth="1"/>
    <col min="9473" max="9473" width="7.33203125" style="195" customWidth="1"/>
    <col min="9474" max="9474" width="6.6640625" style="195" customWidth="1"/>
    <col min="9475" max="9475" width="6.83203125" style="195" customWidth="1"/>
    <col min="9476" max="9724" width="10.83203125" style="195"/>
    <col min="9725" max="9725" width="4.6640625" style="195" customWidth="1"/>
    <col min="9726" max="9726" width="4.5" style="195" customWidth="1"/>
    <col min="9727" max="9727" width="11.6640625" style="195" customWidth="1"/>
    <col min="9728" max="9728" width="8.1640625" style="195" customWidth="1"/>
    <col min="9729" max="9729" width="7.33203125" style="195" customWidth="1"/>
    <col min="9730" max="9730" width="6.6640625" style="195" customWidth="1"/>
    <col min="9731" max="9731" width="6.83203125" style="195" customWidth="1"/>
    <col min="9732" max="9980" width="10.83203125" style="195"/>
    <col min="9981" max="9981" width="4.6640625" style="195" customWidth="1"/>
    <col min="9982" max="9982" width="4.5" style="195" customWidth="1"/>
    <col min="9983" max="9983" width="11.6640625" style="195" customWidth="1"/>
    <col min="9984" max="9984" width="8.1640625" style="195" customWidth="1"/>
    <col min="9985" max="9985" width="7.33203125" style="195" customWidth="1"/>
    <col min="9986" max="9986" width="6.6640625" style="195" customWidth="1"/>
    <col min="9987" max="9987" width="6.83203125" style="195" customWidth="1"/>
    <col min="9988" max="10236" width="10.83203125" style="195"/>
    <col min="10237" max="10237" width="4.6640625" style="195" customWidth="1"/>
    <col min="10238" max="10238" width="4.5" style="195" customWidth="1"/>
    <col min="10239" max="10239" width="11.6640625" style="195" customWidth="1"/>
    <col min="10240" max="10240" width="8.1640625" style="195" customWidth="1"/>
    <col min="10241" max="10241" width="7.33203125" style="195" customWidth="1"/>
    <col min="10242" max="10242" width="6.6640625" style="195" customWidth="1"/>
    <col min="10243" max="10243" width="6.83203125" style="195" customWidth="1"/>
    <col min="10244" max="10492" width="10.83203125" style="195"/>
    <col min="10493" max="10493" width="4.6640625" style="195" customWidth="1"/>
    <col min="10494" max="10494" width="4.5" style="195" customWidth="1"/>
    <col min="10495" max="10495" width="11.6640625" style="195" customWidth="1"/>
    <col min="10496" max="10496" width="8.1640625" style="195" customWidth="1"/>
    <col min="10497" max="10497" width="7.33203125" style="195" customWidth="1"/>
    <col min="10498" max="10498" width="6.6640625" style="195" customWidth="1"/>
    <col min="10499" max="10499" width="6.83203125" style="195" customWidth="1"/>
    <col min="10500" max="10748" width="10.83203125" style="195"/>
    <col min="10749" max="10749" width="4.6640625" style="195" customWidth="1"/>
    <col min="10750" max="10750" width="4.5" style="195" customWidth="1"/>
    <col min="10751" max="10751" width="11.6640625" style="195" customWidth="1"/>
    <col min="10752" max="10752" width="8.1640625" style="195" customWidth="1"/>
    <col min="10753" max="10753" width="7.33203125" style="195" customWidth="1"/>
    <col min="10754" max="10754" width="6.6640625" style="195" customWidth="1"/>
    <col min="10755" max="10755" width="6.83203125" style="195" customWidth="1"/>
    <col min="10756" max="11004" width="10.83203125" style="195"/>
    <col min="11005" max="11005" width="4.6640625" style="195" customWidth="1"/>
    <col min="11006" max="11006" width="4.5" style="195" customWidth="1"/>
    <col min="11007" max="11007" width="11.6640625" style="195" customWidth="1"/>
    <col min="11008" max="11008" width="8.1640625" style="195" customWidth="1"/>
    <col min="11009" max="11009" width="7.33203125" style="195" customWidth="1"/>
    <col min="11010" max="11010" width="6.6640625" style="195" customWidth="1"/>
    <col min="11011" max="11011" width="6.83203125" style="195" customWidth="1"/>
    <col min="11012" max="11260" width="10.83203125" style="195"/>
    <col min="11261" max="11261" width="4.6640625" style="195" customWidth="1"/>
    <col min="11262" max="11262" width="4.5" style="195" customWidth="1"/>
    <col min="11263" max="11263" width="11.6640625" style="195" customWidth="1"/>
    <col min="11264" max="11264" width="8.1640625" style="195" customWidth="1"/>
    <col min="11265" max="11265" width="7.33203125" style="195" customWidth="1"/>
    <col min="11266" max="11266" width="6.6640625" style="195" customWidth="1"/>
    <col min="11267" max="11267" width="6.83203125" style="195" customWidth="1"/>
    <col min="11268" max="11516" width="10.83203125" style="195"/>
    <col min="11517" max="11517" width="4.6640625" style="195" customWidth="1"/>
    <col min="11518" max="11518" width="4.5" style="195" customWidth="1"/>
    <col min="11519" max="11519" width="11.6640625" style="195" customWidth="1"/>
    <col min="11520" max="11520" width="8.1640625" style="195" customWidth="1"/>
    <col min="11521" max="11521" width="7.33203125" style="195" customWidth="1"/>
    <col min="11522" max="11522" width="6.6640625" style="195" customWidth="1"/>
    <col min="11523" max="11523" width="6.83203125" style="195" customWidth="1"/>
    <col min="11524" max="11772" width="10.83203125" style="195"/>
    <col min="11773" max="11773" width="4.6640625" style="195" customWidth="1"/>
    <col min="11774" max="11774" width="4.5" style="195" customWidth="1"/>
    <col min="11775" max="11775" width="11.6640625" style="195" customWidth="1"/>
    <col min="11776" max="11776" width="8.1640625" style="195" customWidth="1"/>
    <col min="11777" max="11777" width="7.33203125" style="195" customWidth="1"/>
    <col min="11778" max="11778" width="6.6640625" style="195" customWidth="1"/>
    <col min="11779" max="11779" width="6.83203125" style="195" customWidth="1"/>
    <col min="11780" max="12028" width="10.83203125" style="195"/>
    <col min="12029" max="12029" width="4.6640625" style="195" customWidth="1"/>
    <col min="12030" max="12030" width="4.5" style="195" customWidth="1"/>
    <col min="12031" max="12031" width="11.6640625" style="195" customWidth="1"/>
    <col min="12032" max="12032" width="8.1640625" style="195" customWidth="1"/>
    <col min="12033" max="12033" width="7.33203125" style="195" customWidth="1"/>
    <col min="12034" max="12034" width="6.6640625" style="195" customWidth="1"/>
    <col min="12035" max="12035" width="6.83203125" style="195" customWidth="1"/>
    <col min="12036" max="12284" width="10.83203125" style="195"/>
    <col min="12285" max="12285" width="4.6640625" style="195" customWidth="1"/>
    <col min="12286" max="12286" width="4.5" style="195" customWidth="1"/>
    <col min="12287" max="12287" width="11.6640625" style="195" customWidth="1"/>
    <col min="12288" max="12288" width="8.1640625" style="195" customWidth="1"/>
    <col min="12289" max="12289" width="7.33203125" style="195" customWidth="1"/>
    <col min="12290" max="12290" width="6.6640625" style="195" customWidth="1"/>
    <col min="12291" max="12291" width="6.83203125" style="195" customWidth="1"/>
    <col min="12292" max="12540" width="10.83203125" style="195"/>
    <col min="12541" max="12541" width="4.6640625" style="195" customWidth="1"/>
    <col min="12542" max="12542" width="4.5" style="195" customWidth="1"/>
    <col min="12543" max="12543" width="11.6640625" style="195" customWidth="1"/>
    <col min="12544" max="12544" width="8.1640625" style="195" customWidth="1"/>
    <col min="12545" max="12545" width="7.33203125" style="195" customWidth="1"/>
    <col min="12546" max="12546" width="6.6640625" style="195" customWidth="1"/>
    <col min="12547" max="12547" width="6.83203125" style="195" customWidth="1"/>
    <col min="12548" max="12796" width="10.83203125" style="195"/>
    <col min="12797" max="12797" width="4.6640625" style="195" customWidth="1"/>
    <col min="12798" max="12798" width="4.5" style="195" customWidth="1"/>
    <col min="12799" max="12799" width="11.6640625" style="195" customWidth="1"/>
    <col min="12800" max="12800" width="8.1640625" style="195" customWidth="1"/>
    <col min="12801" max="12801" width="7.33203125" style="195" customWidth="1"/>
    <col min="12802" max="12802" width="6.6640625" style="195" customWidth="1"/>
    <col min="12803" max="12803" width="6.83203125" style="195" customWidth="1"/>
    <col min="12804" max="13052" width="10.83203125" style="195"/>
    <col min="13053" max="13053" width="4.6640625" style="195" customWidth="1"/>
    <col min="13054" max="13054" width="4.5" style="195" customWidth="1"/>
    <col min="13055" max="13055" width="11.6640625" style="195" customWidth="1"/>
    <col min="13056" max="13056" width="8.1640625" style="195" customWidth="1"/>
    <col min="13057" max="13057" width="7.33203125" style="195" customWidth="1"/>
    <col min="13058" max="13058" width="6.6640625" style="195" customWidth="1"/>
    <col min="13059" max="13059" width="6.83203125" style="195" customWidth="1"/>
    <col min="13060" max="13308" width="10.83203125" style="195"/>
    <col min="13309" max="13309" width="4.6640625" style="195" customWidth="1"/>
    <col min="13310" max="13310" width="4.5" style="195" customWidth="1"/>
    <col min="13311" max="13311" width="11.6640625" style="195" customWidth="1"/>
    <col min="13312" max="13312" width="8.1640625" style="195" customWidth="1"/>
    <col min="13313" max="13313" width="7.33203125" style="195" customWidth="1"/>
    <col min="13314" max="13314" width="6.6640625" style="195" customWidth="1"/>
    <col min="13315" max="13315" width="6.83203125" style="195" customWidth="1"/>
    <col min="13316" max="13564" width="10.83203125" style="195"/>
    <col min="13565" max="13565" width="4.6640625" style="195" customWidth="1"/>
    <col min="13566" max="13566" width="4.5" style="195" customWidth="1"/>
    <col min="13567" max="13567" width="11.6640625" style="195" customWidth="1"/>
    <col min="13568" max="13568" width="8.1640625" style="195" customWidth="1"/>
    <col min="13569" max="13569" width="7.33203125" style="195" customWidth="1"/>
    <col min="13570" max="13570" width="6.6640625" style="195" customWidth="1"/>
    <col min="13571" max="13571" width="6.83203125" style="195" customWidth="1"/>
    <col min="13572" max="13820" width="10.83203125" style="195"/>
    <col min="13821" max="13821" width="4.6640625" style="195" customWidth="1"/>
    <col min="13822" max="13822" width="4.5" style="195" customWidth="1"/>
    <col min="13823" max="13823" width="11.6640625" style="195" customWidth="1"/>
    <col min="13824" max="13824" width="8.1640625" style="195" customWidth="1"/>
    <col min="13825" max="13825" width="7.33203125" style="195" customWidth="1"/>
    <col min="13826" max="13826" width="6.6640625" style="195" customWidth="1"/>
    <col min="13827" max="13827" width="6.83203125" style="195" customWidth="1"/>
    <col min="13828" max="14076" width="10.83203125" style="195"/>
    <col min="14077" max="14077" width="4.6640625" style="195" customWidth="1"/>
    <col min="14078" max="14078" width="4.5" style="195" customWidth="1"/>
    <col min="14079" max="14079" width="11.6640625" style="195" customWidth="1"/>
    <col min="14080" max="14080" width="8.1640625" style="195" customWidth="1"/>
    <col min="14081" max="14081" width="7.33203125" style="195" customWidth="1"/>
    <col min="14082" max="14082" width="6.6640625" style="195" customWidth="1"/>
    <col min="14083" max="14083" width="6.83203125" style="195" customWidth="1"/>
    <col min="14084" max="14332" width="10.83203125" style="195"/>
    <col min="14333" max="14333" width="4.6640625" style="195" customWidth="1"/>
    <col min="14334" max="14334" width="4.5" style="195" customWidth="1"/>
    <col min="14335" max="14335" width="11.6640625" style="195" customWidth="1"/>
    <col min="14336" max="14336" width="8.1640625" style="195" customWidth="1"/>
    <col min="14337" max="14337" width="7.33203125" style="195" customWidth="1"/>
    <col min="14338" max="14338" width="6.6640625" style="195" customWidth="1"/>
    <col min="14339" max="14339" width="6.83203125" style="195" customWidth="1"/>
    <col min="14340" max="14588" width="10.83203125" style="195"/>
    <col min="14589" max="14589" width="4.6640625" style="195" customWidth="1"/>
    <col min="14590" max="14590" width="4.5" style="195" customWidth="1"/>
    <col min="14591" max="14591" width="11.6640625" style="195" customWidth="1"/>
    <col min="14592" max="14592" width="8.1640625" style="195" customWidth="1"/>
    <col min="14593" max="14593" width="7.33203125" style="195" customWidth="1"/>
    <col min="14594" max="14594" width="6.6640625" style="195" customWidth="1"/>
    <col min="14595" max="14595" width="6.83203125" style="195" customWidth="1"/>
    <col min="14596" max="14844" width="10.83203125" style="195"/>
    <col min="14845" max="14845" width="4.6640625" style="195" customWidth="1"/>
    <col min="14846" max="14846" width="4.5" style="195" customWidth="1"/>
    <col min="14847" max="14847" width="11.6640625" style="195" customWidth="1"/>
    <col min="14848" max="14848" width="8.1640625" style="195" customWidth="1"/>
    <col min="14849" max="14849" width="7.33203125" style="195" customWidth="1"/>
    <col min="14850" max="14850" width="6.6640625" style="195" customWidth="1"/>
    <col min="14851" max="14851" width="6.83203125" style="195" customWidth="1"/>
    <col min="14852" max="15100" width="10.83203125" style="195"/>
    <col min="15101" max="15101" width="4.6640625" style="195" customWidth="1"/>
    <col min="15102" max="15102" width="4.5" style="195" customWidth="1"/>
    <col min="15103" max="15103" width="11.6640625" style="195" customWidth="1"/>
    <col min="15104" max="15104" width="8.1640625" style="195" customWidth="1"/>
    <col min="15105" max="15105" width="7.33203125" style="195" customWidth="1"/>
    <col min="15106" max="15106" width="6.6640625" style="195" customWidth="1"/>
    <col min="15107" max="15107" width="6.83203125" style="195" customWidth="1"/>
    <col min="15108" max="15356" width="10.83203125" style="195"/>
    <col min="15357" max="15357" width="4.6640625" style="195" customWidth="1"/>
    <col min="15358" max="15358" width="4.5" style="195" customWidth="1"/>
    <col min="15359" max="15359" width="11.6640625" style="195" customWidth="1"/>
    <col min="15360" max="15360" width="8.1640625" style="195" customWidth="1"/>
    <col min="15361" max="15361" width="7.33203125" style="195" customWidth="1"/>
    <col min="15362" max="15362" width="6.6640625" style="195" customWidth="1"/>
    <col min="15363" max="15363" width="6.83203125" style="195" customWidth="1"/>
    <col min="15364" max="15612" width="10.83203125" style="195"/>
    <col min="15613" max="15613" width="4.6640625" style="195" customWidth="1"/>
    <col min="15614" max="15614" width="4.5" style="195" customWidth="1"/>
    <col min="15615" max="15615" width="11.6640625" style="195" customWidth="1"/>
    <col min="15616" max="15616" width="8.1640625" style="195" customWidth="1"/>
    <col min="15617" max="15617" width="7.33203125" style="195" customWidth="1"/>
    <col min="15618" max="15618" width="6.6640625" style="195" customWidth="1"/>
    <col min="15619" max="15619" width="6.83203125" style="195" customWidth="1"/>
    <col min="15620" max="15868" width="10.83203125" style="195"/>
    <col min="15869" max="15869" width="4.6640625" style="195" customWidth="1"/>
    <col min="15870" max="15870" width="4.5" style="195" customWidth="1"/>
    <col min="15871" max="15871" width="11.6640625" style="195" customWidth="1"/>
    <col min="15872" max="15872" width="8.1640625" style="195" customWidth="1"/>
    <col min="15873" max="15873" width="7.33203125" style="195" customWidth="1"/>
    <col min="15874" max="15874" width="6.6640625" style="195" customWidth="1"/>
    <col min="15875" max="15875" width="6.83203125" style="195" customWidth="1"/>
    <col min="15876" max="16124" width="10.83203125" style="195"/>
    <col min="16125" max="16125" width="4.6640625" style="195" customWidth="1"/>
    <col min="16126" max="16126" width="4.5" style="195" customWidth="1"/>
    <col min="16127" max="16127" width="11.6640625" style="195" customWidth="1"/>
    <col min="16128" max="16128" width="8.1640625" style="195" customWidth="1"/>
    <col min="16129" max="16129" width="7.33203125" style="195" customWidth="1"/>
    <col min="16130" max="16130" width="6.6640625" style="195" customWidth="1"/>
    <col min="16131" max="16131" width="6.83203125" style="195" customWidth="1"/>
    <col min="16132" max="16384" width="10.83203125" style="195"/>
  </cols>
  <sheetData>
    <row r="1" spans="1:11">
      <c r="A1" s="195" t="s">
        <v>401</v>
      </c>
      <c r="B1" s="195" t="s">
        <v>14</v>
      </c>
      <c r="C1" s="195">
        <v>170</v>
      </c>
      <c r="E1" s="205">
        <f>(F3*(1-F3))/C1</f>
        <v>6.9949063708528393E-4</v>
      </c>
      <c r="F1" s="205">
        <f>SQRT(E1)</f>
        <v>2.6447885304600138E-2</v>
      </c>
      <c r="H1" s="206" t="s">
        <v>402</v>
      </c>
      <c r="J1" s="205">
        <f>(C54)/(B22*C1)</f>
        <v>0.11205882352941177</v>
      </c>
      <c r="K1" s="205">
        <f>(C55)/(10*C1)</f>
        <v>5.9411764705882351E-2</v>
      </c>
    </row>
    <row r="2" spans="1:11">
      <c r="B2" s="199" t="s">
        <v>403</v>
      </c>
      <c r="C2" s="199" t="s">
        <v>404</v>
      </c>
      <c r="D2" s="199" t="s">
        <v>346</v>
      </c>
      <c r="E2" s="199" t="s">
        <v>405</v>
      </c>
      <c r="F2" s="199" t="s">
        <v>402</v>
      </c>
      <c r="G2" s="199" t="s">
        <v>406</v>
      </c>
      <c r="H2" s="206" t="s">
        <v>406</v>
      </c>
      <c r="J2" s="205">
        <f>J1+(3*F24)</f>
        <v>0.18463798081900767</v>
      </c>
      <c r="K2" s="205">
        <f>K1+(3*F55)</f>
        <v>0.11380348457117376</v>
      </c>
    </row>
    <row r="3" spans="1:11">
      <c r="B3" s="195">
        <v>1</v>
      </c>
      <c r="C3" s="195">
        <v>17</v>
      </c>
      <c r="D3" s="207">
        <f>C3/$C$1</f>
        <v>0.1</v>
      </c>
      <c r="E3" s="207">
        <f>F3-(3*F1)</f>
        <v>5.8597520556787824E-2</v>
      </c>
      <c r="F3" s="207">
        <f>(C23)/(B22*C1)</f>
        <v>0.13794117647058823</v>
      </c>
      <c r="G3" s="207">
        <f>F3+(3*F1)</f>
        <v>0.21728483238438864</v>
      </c>
      <c r="H3" s="206" t="s">
        <v>405</v>
      </c>
      <c r="J3" s="205">
        <f>J1-(3*F24)</f>
        <v>3.9479666239815872E-2</v>
      </c>
      <c r="K3" s="205">
        <f>K1-(3*F55)</f>
        <v>5.0200448405909523E-3</v>
      </c>
    </row>
    <row r="4" spans="1:11">
      <c r="B4" s="195">
        <v>2</v>
      </c>
      <c r="C4" s="195">
        <v>27</v>
      </c>
      <c r="D4" s="207">
        <f t="shared" ref="D4:D22" si="0">C4/$C$1</f>
        <v>0.1588235294117647</v>
      </c>
      <c r="E4" s="207">
        <v>5.8597520556787824E-2</v>
      </c>
      <c r="F4" s="207">
        <v>0.13794117647058823</v>
      </c>
      <c r="G4" s="207">
        <v>0.21728483238438864</v>
      </c>
    </row>
    <row r="5" spans="1:11">
      <c r="B5" s="195">
        <v>3</v>
      </c>
      <c r="C5" s="195">
        <v>15</v>
      </c>
      <c r="D5" s="207">
        <f t="shared" si="0"/>
        <v>8.8235294117647065E-2</v>
      </c>
      <c r="E5" s="207">
        <v>5.8597520556787824E-2</v>
      </c>
      <c r="F5" s="207">
        <v>0.13794117647058823</v>
      </c>
      <c r="G5" s="207">
        <v>0.21728483238438864</v>
      </c>
    </row>
    <row r="6" spans="1:11">
      <c r="B6" s="195">
        <v>4</v>
      </c>
      <c r="C6" s="195">
        <v>30</v>
      </c>
      <c r="D6" s="207">
        <f t="shared" si="0"/>
        <v>0.17647058823529413</v>
      </c>
      <c r="E6" s="207">
        <v>5.8597520556787824E-2</v>
      </c>
      <c r="F6" s="207">
        <v>0.13794117647058823</v>
      </c>
      <c r="G6" s="207">
        <v>0.21728483238438864</v>
      </c>
    </row>
    <row r="7" spans="1:11">
      <c r="B7" s="195">
        <v>5</v>
      </c>
      <c r="C7" s="195">
        <v>28</v>
      </c>
      <c r="D7" s="207">
        <f t="shared" si="0"/>
        <v>0.16470588235294117</v>
      </c>
      <c r="E7" s="207">
        <v>5.8597520556787824E-2</v>
      </c>
      <c r="F7" s="207">
        <v>0.13794117647058823</v>
      </c>
      <c r="G7" s="207">
        <v>0.21728483238438864</v>
      </c>
    </row>
    <row r="8" spans="1:11">
      <c r="B8" s="195">
        <v>6</v>
      </c>
      <c r="C8" s="195">
        <v>15</v>
      </c>
      <c r="D8" s="207">
        <f t="shared" si="0"/>
        <v>8.8235294117647065E-2</v>
      </c>
      <c r="E8" s="207">
        <v>5.8597520556787824E-2</v>
      </c>
      <c r="F8" s="207">
        <v>0.13794117647058823</v>
      </c>
      <c r="G8" s="207">
        <v>0.21728483238438864</v>
      </c>
    </row>
    <row r="9" spans="1:11">
      <c r="B9" s="195">
        <v>7</v>
      </c>
      <c r="C9" s="195">
        <v>20</v>
      </c>
      <c r="D9" s="207">
        <f t="shared" si="0"/>
        <v>0.11764705882352941</v>
      </c>
      <c r="E9" s="207">
        <v>5.8597520556787824E-2</v>
      </c>
      <c r="F9" s="207">
        <v>0.13794117647058823</v>
      </c>
      <c r="G9" s="207">
        <v>0.21728483238438864</v>
      </c>
    </row>
    <row r="10" spans="1:11">
      <c r="B10" s="195">
        <v>8</v>
      </c>
      <c r="C10" s="195">
        <v>27</v>
      </c>
      <c r="D10" s="207">
        <f t="shared" si="0"/>
        <v>0.1588235294117647</v>
      </c>
      <c r="E10" s="207">
        <v>5.8597520556787824E-2</v>
      </c>
      <c r="F10" s="207">
        <v>0.13794117647058823</v>
      </c>
      <c r="G10" s="207">
        <v>0.21728483238438864</v>
      </c>
    </row>
    <row r="11" spans="1:11">
      <c r="B11" s="195">
        <v>9</v>
      </c>
      <c r="C11" s="195">
        <v>16</v>
      </c>
      <c r="D11" s="207">
        <f t="shared" si="0"/>
        <v>9.4117647058823528E-2</v>
      </c>
      <c r="E11" s="207">
        <v>5.8597520556787824E-2</v>
      </c>
      <c r="F11" s="207">
        <v>0.13794117647058823</v>
      </c>
      <c r="G11" s="207">
        <v>0.21728483238438864</v>
      </c>
    </row>
    <row r="12" spans="1:11">
      <c r="B12" s="195">
        <v>10</v>
      </c>
      <c r="C12" s="195">
        <v>43</v>
      </c>
      <c r="D12" s="207">
        <f t="shared" si="0"/>
        <v>0.25294117647058822</v>
      </c>
      <c r="E12" s="207">
        <v>5.8597520556787824E-2</v>
      </c>
      <c r="F12" s="207">
        <v>0.13794117647058823</v>
      </c>
      <c r="G12" s="207">
        <v>0.21728483238438864</v>
      </c>
    </row>
    <row r="13" spans="1:11">
      <c r="B13" s="195">
        <v>11</v>
      </c>
      <c r="C13" s="195">
        <v>13</v>
      </c>
      <c r="D13" s="207">
        <f t="shared" si="0"/>
        <v>7.6470588235294124E-2</v>
      </c>
      <c r="E13" s="207">
        <v>5.8597520556787824E-2</v>
      </c>
      <c r="F13" s="207">
        <v>0.13794117647058823</v>
      </c>
      <c r="G13" s="207">
        <v>0.21728483238438864</v>
      </c>
    </row>
    <row r="14" spans="1:11">
      <c r="B14" s="195">
        <v>12</v>
      </c>
      <c r="C14" s="195">
        <v>14</v>
      </c>
      <c r="D14" s="207">
        <f t="shared" si="0"/>
        <v>8.2352941176470587E-2</v>
      </c>
      <c r="E14" s="207">
        <v>5.8597520556787824E-2</v>
      </c>
      <c r="F14" s="207">
        <v>0.13794117647058823</v>
      </c>
      <c r="G14" s="207">
        <v>0.21728483238438864</v>
      </c>
    </row>
    <row r="15" spans="1:11">
      <c r="B15" s="195">
        <v>13</v>
      </c>
      <c r="C15" s="195">
        <v>22</v>
      </c>
      <c r="D15" s="207">
        <f t="shared" si="0"/>
        <v>0.12941176470588237</v>
      </c>
      <c r="E15" s="207">
        <v>5.8597520556787824E-2</v>
      </c>
      <c r="F15" s="207">
        <v>0.13794117647058823</v>
      </c>
      <c r="G15" s="207">
        <v>0.21728483238438864</v>
      </c>
    </row>
    <row r="16" spans="1:11">
      <c r="B16" s="195">
        <v>14</v>
      </c>
      <c r="C16" s="195">
        <v>17</v>
      </c>
      <c r="D16" s="207">
        <f t="shared" si="0"/>
        <v>0.1</v>
      </c>
      <c r="E16" s="207">
        <v>5.8597520556787824E-2</v>
      </c>
      <c r="F16" s="207">
        <v>0.13794117647058823</v>
      </c>
      <c r="G16" s="207">
        <v>0.21728483238438864</v>
      </c>
    </row>
    <row r="17" spans="1:13">
      <c r="B17" s="195">
        <v>15</v>
      </c>
      <c r="C17" s="195">
        <v>29</v>
      </c>
      <c r="D17" s="207">
        <f t="shared" si="0"/>
        <v>0.17058823529411765</v>
      </c>
      <c r="E17" s="207">
        <v>5.8597520556787824E-2</v>
      </c>
      <c r="F17" s="207">
        <v>0.13794117647058823</v>
      </c>
      <c r="G17" s="207">
        <v>0.21728483238438864</v>
      </c>
    </row>
    <row r="18" spans="1:13">
      <c r="B18" s="195">
        <v>16</v>
      </c>
      <c r="C18" s="195">
        <v>16</v>
      </c>
      <c r="D18" s="207">
        <f t="shared" si="0"/>
        <v>9.4117647058823528E-2</v>
      </c>
      <c r="E18" s="207">
        <v>5.8597520556787824E-2</v>
      </c>
      <c r="F18" s="207">
        <v>0.13794117647058823</v>
      </c>
      <c r="G18" s="207">
        <v>0.21728483238438864</v>
      </c>
    </row>
    <row r="19" spans="1:13">
      <c r="B19" s="195">
        <v>17</v>
      </c>
      <c r="C19" s="195">
        <v>25</v>
      </c>
      <c r="D19" s="207">
        <f t="shared" si="0"/>
        <v>0.14705882352941177</v>
      </c>
      <c r="E19" s="207">
        <v>5.8597520556787824E-2</v>
      </c>
      <c r="F19" s="207">
        <v>0.13794117647058823</v>
      </c>
      <c r="G19" s="207">
        <v>0.21728483238438864</v>
      </c>
    </row>
    <row r="20" spans="1:13">
      <c r="B20" s="195">
        <v>18</v>
      </c>
      <c r="C20" s="195">
        <v>45</v>
      </c>
      <c r="D20" s="207">
        <f t="shared" si="0"/>
        <v>0.26470588235294118</v>
      </c>
      <c r="E20" s="207">
        <v>5.8597520556787824E-2</v>
      </c>
      <c r="F20" s="207">
        <v>0.13794117647058823</v>
      </c>
      <c r="G20" s="207">
        <v>0.21728483238438864</v>
      </c>
    </row>
    <row r="21" spans="1:13" ht="14" thickBot="1">
      <c r="B21" s="195">
        <v>19</v>
      </c>
      <c r="C21" s="195">
        <v>27</v>
      </c>
      <c r="D21" s="207">
        <f t="shared" si="0"/>
        <v>0.1588235294117647</v>
      </c>
      <c r="E21" s="207">
        <v>5.8597520556787824E-2</v>
      </c>
      <c r="F21" s="207">
        <v>0.13794117647058823</v>
      </c>
      <c r="G21" s="207">
        <v>0.21728483238438864</v>
      </c>
    </row>
    <row r="22" spans="1:13">
      <c r="B22" s="195">
        <v>20</v>
      </c>
      <c r="C22" s="195">
        <v>23</v>
      </c>
      <c r="D22" s="207">
        <f t="shared" si="0"/>
        <v>0.13529411764705881</v>
      </c>
      <c r="E22" s="207">
        <v>5.8597520556787824E-2</v>
      </c>
      <c r="F22" s="207">
        <v>0.13794117647058823</v>
      </c>
      <c r="G22" s="207">
        <v>0.21728483238438864</v>
      </c>
      <c r="H22" s="208" t="s">
        <v>21</v>
      </c>
      <c r="I22" s="504" t="s">
        <v>407</v>
      </c>
      <c r="J22" s="505"/>
      <c r="K22" s="505"/>
      <c r="L22" s="505"/>
      <c r="M22" s="506"/>
    </row>
    <row r="23" spans="1:13">
      <c r="C23" s="195">
        <f>SUM(C3:C22)</f>
        <v>469</v>
      </c>
      <c r="I23" s="507"/>
      <c r="J23" s="508"/>
      <c r="K23" s="508"/>
      <c r="L23" s="508"/>
      <c r="M23" s="509"/>
    </row>
    <row r="24" spans="1:13" ht="14" thickBot="1">
      <c r="E24" s="205">
        <f>(J1*(1-J1))/C1</f>
        <v>5.8530378587421132E-4</v>
      </c>
      <c r="F24" s="205">
        <f>SQRT(E24)</f>
        <v>2.4193052429865299E-2</v>
      </c>
      <c r="I24" s="510"/>
      <c r="J24" s="511"/>
      <c r="K24" s="511"/>
      <c r="L24" s="511"/>
      <c r="M24" s="512"/>
    </row>
    <row r="25" spans="1:13">
      <c r="A25" s="195" t="s">
        <v>23</v>
      </c>
      <c r="B25" s="199" t="s">
        <v>403</v>
      </c>
      <c r="C25" s="199" t="s">
        <v>404</v>
      </c>
      <c r="D25" s="199" t="s">
        <v>346</v>
      </c>
      <c r="E25" s="199" t="s">
        <v>405</v>
      </c>
      <c r="F25" s="199" t="s">
        <v>402</v>
      </c>
      <c r="G25" s="199" t="s">
        <v>406</v>
      </c>
    </row>
    <row r="26" spans="1:13">
      <c r="B26" s="195">
        <v>1</v>
      </c>
      <c r="C26" s="195">
        <v>17</v>
      </c>
      <c r="D26" s="207">
        <f>C26/$C$1</f>
        <v>0.1</v>
      </c>
      <c r="E26" s="207">
        <v>3.9479666239815872E-2</v>
      </c>
      <c r="F26" s="207">
        <v>0.11205882352941177</v>
      </c>
      <c r="G26" s="207">
        <v>0.18463798081900767</v>
      </c>
    </row>
    <row r="27" spans="1:13">
      <c r="B27" s="195">
        <v>2</v>
      </c>
      <c r="C27" s="195">
        <v>27</v>
      </c>
      <c r="D27" s="207">
        <f t="shared" ref="D27:D53" si="1">C27/$C$1</f>
        <v>0.1588235294117647</v>
      </c>
      <c r="E27" s="207">
        <v>3.9479666239815872E-2</v>
      </c>
      <c r="F27" s="207">
        <v>0.11205882352941177</v>
      </c>
      <c r="G27" s="207">
        <v>0.18463798081900767</v>
      </c>
    </row>
    <row r="28" spans="1:13">
      <c r="B28" s="195">
        <v>3</v>
      </c>
      <c r="C28" s="195">
        <v>15</v>
      </c>
      <c r="D28" s="207">
        <f t="shared" si="1"/>
        <v>8.8235294117647065E-2</v>
      </c>
      <c r="E28" s="207">
        <v>3.9479666239815872E-2</v>
      </c>
      <c r="F28" s="207">
        <v>0.11205882352941177</v>
      </c>
      <c r="G28" s="207">
        <v>0.18463798081900767</v>
      </c>
    </row>
    <row r="29" spans="1:13">
      <c r="B29" s="195">
        <v>4</v>
      </c>
      <c r="C29" s="195">
        <v>30</v>
      </c>
      <c r="D29" s="207">
        <f t="shared" si="1"/>
        <v>0.17647058823529413</v>
      </c>
      <c r="E29" s="207">
        <v>3.9479666239815872E-2</v>
      </c>
      <c r="F29" s="207">
        <v>0.11205882352941177</v>
      </c>
      <c r="G29" s="207">
        <v>0.18463798081900767</v>
      </c>
    </row>
    <row r="30" spans="1:13">
      <c r="B30" s="195">
        <v>5</v>
      </c>
      <c r="C30" s="195">
        <v>28</v>
      </c>
      <c r="D30" s="207">
        <f t="shared" si="1"/>
        <v>0.16470588235294117</v>
      </c>
      <c r="E30" s="207">
        <v>3.9479666239815872E-2</v>
      </c>
      <c r="F30" s="207">
        <v>0.11205882352941177</v>
      </c>
      <c r="G30" s="207">
        <v>0.18463798081900767</v>
      </c>
    </row>
    <row r="31" spans="1:13">
      <c r="B31" s="195">
        <v>6</v>
      </c>
      <c r="C31" s="195">
        <v>15</v>
      </c>
      <c r="D31" s="207">
        <f t="shared" si="1"/>
        <v>8.8235294117647065E-2</v>
      </c>
      <c r="E31" s="207">
        <v>3.9479666239815872E-2</v>
      </c>
      <c r="F31" s="207">
        <v>0.11205882352941177</v>
      </c>
      <c r="G31" s="207">
        <v>0.18463798081900767</v>
      </c>
    </row>
    <row r="32" spans="1:13">
      <c r="B32" s="195">
        <v>7</v>
      </c>
      <c r="C32" s="195">
        <v>20</v>
      </c>
      <c r="D32" s="207">
        <f t="shared" si="1"/>
        <v>0.11764705882352941</v>
      </c>
      <c r="E32" s="207">
        <v>3.9479666239815872E-2</v>
      </c>
      <c r="F32" s="207">
        <v>0.11205882352941177</v>
      </c>
      <c r="G32" s="207">
        <v>0.18463798081900767</v>
      </c>
    </row>
    <row r="33" spans="2:13">
      <c r="B33" s="195">
        <v>8</v>
      </c>
      <c r="C33" s="195">
        <v>27</v>
      </c>
      <c r="D33" s="207">
        <f t="shared" si="1"/>
        <v>0.1588235294117647</v>
      </c>
      <c r="E33" s="207">
        <v>3.9479666239815872E-2</v>
      </c>
      <c r="F33" s="207">
        <v>0.11205882352941177</v>
      </c>
      <c r="G33" s="207">
        <v>0.18463798081900767</v>
      </c>
    </row>
    <row r="34" spans="2:13">
      <c r="B34" s="195">
        <v>9</v>
      </c>
      <c r="C34" s="195">
        <v>16</v>
      </c>
      <c r="D34" s="207">
        <f t="shared" si="1"/>
        <v>9.4117647058823528E-2</v>
      </c>
      <c r="E34" s="207">
        <v>3.9479666239815872E-2</v>
      </c>
      <c r="F34" s="207">
        <v>0.11205882352941177</v>
      </c>
      <c r="G34" s="207">
        <v>0.18463798081900767</v>
      </c>
    </row>
    <row r="35" spans="2:13">
      <c r="B35" s="195">
        <v>11</v>
      </c>
      <c r="C35" s="195">
        <v>13</v>
      </c>
      <c r="D35" s="207">
        <f t="shared" si="1"/>
        <v>7.6470588235294124E-2</v>
      </c>
      <c r="E35" s="207">
        <v>3.9479666239815872E-2</v>
      </c>
      <c r="F35" s="207">
        <v>0.11205882352941177</v>
      </c>
      <c r="G35" s="207">
        <v>0.18463798081900767</v>
      </c>
    </row>
    <row r="36" spans="2:13">
      <c r="B36" s="195">
        <v>12</v>
      </c>
      <c r="C36" s="195">
        <v>14</v>
      </c>
      <c r="D36" s="207">
        <f t="shared" si="1"/>
        <v>8.2352941176470587E-2</v>
      </c>
      <c r="E36" s="207">
        <v>3.9479666239815872E-2</v>
      </c>
      <c r="F36" s="207">
        <v>0.11205882352941177</v>
      </c>
      <c r="G36" s="207">
        <v>0.18463798081900767</v>
      </c>
    </row>
    <row r="37" spans="2:13">
      <c r="B37" s="195">
        <v>13</v>
      </c>
      <c r="C37" s="195">
        <v>22</v>
      </c>
      <c r="D37" s="207">
        <f t="shared" si="1"/>
        <v>0.12941176470588237</v>
      </c>
      <c r="E37" s="207">
        <v>3.9479666239815872E-2</v>
      </c>
      <c r="F37" s="207">
        <v>0.11205882352941177</v>
      </c>
      <c r="G37" s="207">
        <v>0.18463798081900767</v>
      </c>
    </row>
    <row r="38" spans="2:13">
      <c r="B38" s="195">
        <v>14</v>
      </c>
      <c r="C38" s="195">
        <v>17</v>
      </c>
      <c r="D38" s="207">
        <f t="shared" si="1"/>
        <v>0.1</v>
      </c>
      <c r="E38" s="207">
        <v>3.9479666239815872E-2</v>
      </c>
      <c r="F38" s="207">
        <v>0.11205882352941177</v>
      </c>
      <c r="G38" s="207">
        <v>0.18463798081900767</v>
      </c>
    </row>
    <row r="39" spans="2:13">
      <c r="B39" s="195">
        <v>15</v>
      </c>
      <c r="C39" s="195">
        <v>29</v>
      </c>
      <c r="D39" s="207">
        <f t="shared" si="1"/>
        <v>0.17058823529411765</v>
      </c>
      <c r="E39" s="207">
        <v>3.9479666239815872E-2</v>
      </c>
      <c r="F39" s="207">
        <v>0.11205882352941177</v>
      </c>
      <c r="G39" s="207">
        <v>0.18463798081900767</v>
      </c>
    </row>
    <row r="40" spans="2:13">
      <c r="B40" s="195">
        <v>16</v>
      </c>
      <c r="C40" s="195">
        <v>16</v>
      </c>
      <c r="D40" s="207">
        <f t="shared" si="1"/>
        <v>9.4117647058823528E-2</v>
      </c>
      <c r="E40" s="207">
        <v>3.9479666239815872E-2</v>
      </c>
      <c r="F40" s="207">
        <v>0.11205882352941177</v>
      </c>
      <c r="G40" s="207">
        <v>0.18463798081900767</v>
      </c>
    </row>
    <row r="41" spans="2:13">
      <c r="B41" s="195">
        <v>17</v>
      </c>
      <c r="C41" s="195">
        <v>25</v>
      </c>
      <c r="D41" s="207">
        <f t="shared" si="1"/>
        <v>0.14705882352941177</v>
      </c>
      <c r="E41" s="207">
        <v>3.9479666239815872E-2</v>
      </c>
      <c r="F41" s="207">
        <v>0.11205882352941177</v>
      </c>
      <c r="G41" s="207">
        <v>0.18463798081900767</v>
      </c>
    </row>
    <row r="42" spans="2:13">
      <c r="B42" s="195">
        <v>19</v>
      </c>
      <c r="C42" s="195">
        <v>27</v>
      </c>
      <c r="D42" s="207">
        <f t="shared" si="1"/>
        <v>0.1588235294117647</v>
      </c>
      <c r="E42" s="207">
        <v>3.9479666239815872E-2</v>
      </c>
      <c r="F42" s="207">
        <v>0.11205882352941177</v>
      </c>
      <c r="G42" s="207">
        <v>0.18463798081900767</v>
      </c>
    </row>
    <row r="43" spans="2:13">
      <c r="B43" s="195">
        <v>20</v>
      </c>
      <c r="C43" s="195">
        <v>23</v>
      </c>
      <c r="D43" s="207">
        <f t="shared" si="1"/>
        <v>0.13529411764705881</v>
      </c>
      <c r="E43" s="207">
        <v>3.9479666239815872E-2</v>
      </c>
      <c r="F43" s="207">
        <v>0.11205882352941177</v>
      </c>
      <c r="G43" s="207">
        <v>0.18463798081900767</v>
      </c>
    </row>
    <row r="44" spans="2:13">
      <c r="B44" s="195">
        <v>21</v>
      </c>
      <c r="C44" s="195">
        <v>9</v>
      </c>
      <c r="D44" s="207">
        <f t="shared" si="1"/>
        <v>5.2941176470588235E-2</v>
      </c>
      <c r="E44" s="207">
        <v>3.9479666239815872E-2</v>
      </c>
      <c r="F44" s="207">
        <v>0.11205882352941177</v>
      </c>
      <c r="G44" s="207">
        <v>0.18463798081900767</v>
      </c>
    </row>
    <row r="45" spans="2:13">
      <c r="B45" s="195">
        <v>22</v>
      </c>
      <c r="C45" s="195">
        <v>7</v>
      </c>
      <c r="D45" s="207">
        <f t="shared" si="1"/>
        <v>4.1176470588235294E-2</v>
      </c>
      <c r="E45" s="207">
        <v>3.9479666239815872E-2</v>
      </c>
      <c r="F45" s="207">
        <v>0.11205882352941177</v>
      </c>
      <c r="G45" s="207">
        <v>0.18463798081900767</v>
      </c>
    </row>
    <row r="46" spans="2:13">
      <c r="B46" s="195">
        <v>23</v>
      </c>
      <c r="C46" s="195">
        <v>10</v>
      </c>
      <c r="D46" s="207">
        <f t="shared" si="1"/>
        <v>5.8823529411764705E-2</v>
      </c>
      <c r="E46" s="207">
        <v>3.9479666239815872E-2</v>
      </c>
      <c r="F46" s="207">
        <v>0.11205882352941177</v>
      </c>
      <c r="G46" s="207">
        <v>0.18463798081900767</v>
      </c>
    </row>
    <row r="47" spans="2:13" ht="14" thickBot="1">
      <c r="B47" s="195">
        <v>24</v>
      </c>
      <c r="C47" s="195">
        <v>12</v>
      </c>
      <c r="D47" s="207">
        <f t="shared" si="1"/>
        <v>7.0588235294117646E-2</v>
      </c>
      <c r="E47" s="207">
        <v>3.9479666239815872E-2</v>
      </c>
      <c r="F47" s="207">
        <v>0.11205882352941177</v>
      </c>
      <c r="G47" s="207">
        <v>0.18463798081900767</v>
      </c>
    </row>
    <row r="48" spans="2:13">
      <c r="B48" s="195">
        <v>25</v>
      </c>
      <c r="C48" s="195">
        <v>8</v>
      </c>
      <c r="D48" s="207">
        <f t="shared" si="1"/>
        <v>4.7058823529411764E-2</v>
      </c>
      <c r="E48" s="207">
        <v>3.9479666239815872E-2</v>
      </c>
      <c r="F48" s="207">
        <v>0.11205882352941177</v>
      </c>
      <c r="G48" s="207">
        <v>0.18463798081900767</v>
      </c>
      <c r="H48" s="208" t="s">
        <v>23</v>
      </c>
      <c r="I48" s="513" t="s">
        <v>408</v>
      </c>
      <c r="J48" s="505"/>
      <c r="K48" s="505"/>
      <c r="L48" s="505"/>
      <c r="M48" s="506"/>
    </row>
    <row r="49" spans="2:13">
      <c r="B49" s="195">
        <v>26</v>
      </c>
      <c r="C49" s="195">
        <v>12</v>
      </c>
      <c r="D49" s="207">
        <f t="shared" si="1"/>
        <v>7.0588235294117646E-2</v>
      </c>
      <c r="E49" s="207">
        <v>3.9479666239815872E-2</v>
      </c>
      <c r="F49" s="207">
        <v>0.11205882352941177</v>
      </c>
      <c r="G49" s="207">
        <v>0.18463798081900767</v>
      </c>
      <c r="I49" s="507"/>
      <c r="J49" s="508"/>
      <c r="K49" s="508"/>
      <c r="L49" s="508"/>
      <c r="M49" s="509"/>
    </row>
    <row r="50" spans="2:13">
      <c r="B50" s="195">
        <v>27</v>
      </c>
      <c r="C50" s="195">
        <v>10</v>
      </c>
      <c r="D50" s="207">
        <f t="shared" si="1"/>
        <v>5.8823529411764705E-2</v>
      </c>
      <c r="E50" s="207">
        <v>3.9479666239815872E-2</v>
      </c>
      <c r="F50" s="207">
        <v>0.11205882352941177</v>
      </c>
      <c r="G50" s="207">
        <v>0.18463798081900767</v>
      </c>
      <c r="I50" s="507"/>
      <c r="J50" s="508"/>
      <c r="K50" s="508"/>
      <c r="L50" s="508"/>
      <c r="M50" s="509"/>
    </row>
    <row r="51" spans="2:13" ht="14" thickBot="1">
      <c r="B51" s="195">
        <v>28</v>
      </c>
      <c r="C51" s="195">
        <v>13</v>
      </c>
      <c r="D51" s="207">
        <f t="shared" si="1"/>
        <v>7.6470588235294124E-2</v>
      </c>
      <c r="E51" s="207">
        <v>3.9479666239815872E-2</v>
      </c>
      <c r="F51" s="207">
        <v>0.11205882352941177</v>
      </c>
      <c r="G51" s="207">
        <v>0.18463798081900767</v>
      </c>
      <c r="I51" s="510"/>
      <c r="J51" s="511"/>
      <c r="K51" s="511"/>
      <c r="L51" s="511"/>
      <c r="M51" s="512"/>
    </row>
    <row r="52" spans="2:13">
      <c r="B52" s="195">
        <v>29</v>
      </c>
      <c r="C52" s="195">
        <v>11</v>
      </c>
      <c r="D52" s="207">
        <f t="shared" si="1"/>
        <v>6.4705882352941183E-2</v>
      </c>
      <c r="E52" s="207">
        <v>3.9479666239815872E-2</v>
      </c>
      <c r="F52" s="207">
        <v>0.11205882352941177</v>
      </c>
      <c r="G52" s="207">
        <v>0.18463798081900767</v>
      </c>
    </row>
    <row r="53" spans="2:13">
      <c r="B53" s="195">
        <v>30</v>
      </c>
      <c r="C53" s="195">
        <v>9</v>
      </c>
      <c r="D53" s="207">
        <f t="shared" si="1"/>
        <v>5.2941176470588235E-2</v>
      </c>
      <c r="E53" s="207">
        <v>3.9479666239815872E-2</v>
      </c>
      <c r="F53" s="207">
        <v>0.11205882352941177</v>
      </c>
      <c r="G53" s="207">
        <v>0.18463798081900767</v>
      </c>
    </row>
    <row r="54" spans="2:13">
      <c r="C54" s="195">
        <f>SUM(C26:C43)</f>
        <v>381</v>
      </c>
    </row>
    <row r="55" spans="2:13">
      <c r="C55" s="195">
        <f>SUM(C44:C53)</f>
        <v>101</v>
      </c>
      <c r="E55" s="205">
        <f>(K1*(1-K1))/C1</f>
        <v>3.2871768776714837E-4</v>
      </c>
      <c r="F55" s="205">
        <f>SQRT(E55)</f>
        <v>1.8130573288430468E-2</v>
      </c>
    </row>
    <row r="56" spans="2:13">
      <c r="E56" s="205"/>
      <c r="F56" s="205"/>
    </row>
    <row r="57" spans="2:13">
      <c r="E57" s="205"/>
      <c r="F57" s="205"/>
    </row>
    <row r="58" spans="2:13">
      <c r="E58" s="205"/>
      <c r="F58" s="205"/>
    </row>
    <row r="59" spans="2:13">
      <c r="E59" s="205"/>
      <c r="F59" s="205"/>
    </row>
  </sheetData>
  <mergeCells count="2">
    <mergeCell ref="I22:M24"/>
    <mergeCell ref="I48:M51"/>
  </mergeCells>
  <pageMargins left="0.75" right="0.75" top="1" bottom="1" header="0.5" footer="0.5"/>
  <pageSetup paperSize="0" orientation="portrait" horizontalDpi="4294967292" verticalDpi="4294967292"/>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2101B-1962-A742-8809-258DFE2B28A2}">
  <dimension ref="B2:P36"/>
  <sheetViews>
    <sheetView workbookViewId="0">
      <selection activeCell="N33" sqref="N33"/>
    </sheetView>
  </sheetViews>
  <sheetFormatPr baseColWidth="10" defaultRowHeight="16"/>
  <sheetData>
    <row r="2" spans="2:9">
      <c r="H2" s="64" t="s">
        <v>409</v>
      </c>
      <c r="I2" s="169">
        <f>(B4*$C$35)+(3*SQRT(B4*$C$35*$C$36))</f>
        <v>15.591662375556707</v>
      </c>
    </row>
    <row r="3" spans="2:9">
      <c r="B3" s="68" t="s">
        <v>101</v>
      </c>
      <c r="C3" s="68" t="s">
        <v>410</v>
      </c>
      <c r="D3" s="68" t="s">
        <v>411</v>
      </c>
      <c r="E3" s="68" t="s">
        <v>412</v>
      </c>
      <c r="F3" s="68" t="s">
        <v>413</v>
      </c>
      <c r="H3" s="64" t="s">
        <v>414</v>
      </c>
      <c r="I3" s="169">
        <f>C35*B4</f>
        <v>7.5</v>
      </c>
    </row>
    <row r="4" spans="2:9">
      <c r="B4" s="68">
        <v>250</v>
      </c>
      <c r="C4" s="209">
        <v>4</v>
      </c>
      <c r="D4" s="68">
        <v>0</v>
      </c>
      <c r="E4" s="184">
        <f>$I$3</f>
        <v>7.5</v>
      </c>
      <c r="F4" s="184">
        <f>$I$2</f>
        <v>15.591662375556707</v>
      </c>
      <c r="H4" s="64" t="s">
        <v>415</v>
      </c>
      <c r="I4" s="64">
        <f>(B4*$C$35)-(3*SQRT(B4*$C$35*$C$36))</f>
        <v>-0.59166237555670698</v>
      </c>
    </row>
    <row r="5" spans="2:9">
      <c r="B5" s="68">
        <v>250</v>
      </c>
      <c r="C5" s="209">
        <v>9</v>
      </c>
      <c r="D5" s="68">
        <v>0</v>
      </c>
      <c r="E5" s="184">
        <f t="shared" ref="E5:E33" si="0">$I$3</f>
        <v>7.5</v>
      </c>
      <c r="F5" s="184">
        <f t="shared" ref="F5:F33" si="1">$I$2</f>
        <v>15.591662375556707</v>
      </c>
      <c r="H5" s="64"/>
      <c r="I5" s="64"/>
    </row>
    <row r="6" spans="2:9">
      <c r="B6" s="68">
        <v>250</v>
      </c>
      <c r="C6" s="209">
        <v>6</v>
      </c>
      <c r="D6" s="68">
        <v>0</v>
      </c>
      <c r="E6" s="184">
        <f t="shared" si="0"/>
        <v>7.5</v>
      </c>
      <c r="F6" s="184">
        <f t="shared" si="1"/>
        <v>15.591662375556707</v>
      </c>
    </row>
    <row r="7" spans="2:9">
      <c r="B7" s="68">
        <v>250</v>
      </c>
      <c r="C7" s="209">
        <v>12</v>
      </c>
      <c r="D7" s="68">
        <v>0</v>
      </c>
      <c r="E7" s="184">
        <f t="shared" si="0"/>
        <v>7.5</v>
      </c>
      <c r="F7" s="184">
        <f t="shared" si="1"/>
        <v>15.591662375556707</v>
      </c>
    </row>
    <row r="8" spans="2:9">
      <c r="B8" s="68">
        <v>250</v>
      </c>
      <c r="C8" s="209">
        <v>8</v>
      </c>
      <c r="D8" s="68">
        <v>0</v>
      </c>
      <c r="E8" s="184">
        <f t="shared" si="0"/>
        <v>7.5</v>
      </c>
      <c r="F8" s="184">
        <f t="shared" si="1"/>
        <v>15.591662375556707</v>
      </c>
    </row>
    <row r="9" spans="2:9">
      <c r="B9" s="68">
        <v>250</v>
      </c>
      <c r="C9" s="209">
        <v>2</v>
      </c>
      <c r="D9" s="68">
        <v>0</v>
      </c>
      <c r="E9" s="184">
        <f t="shared" si="0"/>
        <v>7.5</v>
      </c>
      <c r="F9" s="184">
        <f t="shared" si="1"/>
        <v>15.591662375556707</v>
      </c>
    </row>
    <row r="10" spans="2:9">
      <c r="B10" s="68">
        <v>250</v>
      </c>
      <c r="C10" s="209">
        <v>13</v>
      </c>
      <c r="D10" s="68">
        <v>0</v>
      </c>
      <c r="E10" s="184">
        <f t="shared" si="0"/>
        <v>7.5</v>
      </c>
      <c r="F10" s="184">
        <f t="shared" si="1"/>
        <v>15.591662375556707</v>
      </c>
    </row>
    <row r="11" spans="2:9">
      <c r="B11" s="68">
        <v>250</v>
      </c>
      <c r="C11" s="209">
        <v>10</v>
      </c>
      <c r="D11" s="68">
        <v>0</v>
      </c>
      <c r="E11" s="184">
        <f t="shared" si="0"/>
        <v>7.5</v>
      </c>
      <c r="F11" s="184">
        <f t="shared" si="1"/>
        <v>15.591662375556707</v>
      </c>
    </row>
    <row r="12" spans="2:9">
      <c r="B12" s="68">
        <v>250</v>
      </c>
      <c r="C12" s="209">
        <v>1</v>
      </c>
      <c r="D12" s="68">
        <v>0</v>
      </c>
      <c r="E12" s="184">
        <f t="shared" si="0"/>
        <v>7.5</v>
      </c>
      <c r="F12" s="184">
        <f t="shared" si="1"/>
        <v>15.591662375556707</v>
      </c>
    </row>
    <row r="13" spans="2:9">
      <c r="B13" s="68">
        <v>250</v>
      </c>
      <c r="C13" s="209">
        <v>9</v>
      </c>
      <c r="D13" s="68">
        <v>0</v>
      </c>
      <c r="E13" s="184">
        <f t="shared" si="0"/>
        <v>7.5</v>
      </c>
      <c r="F13" s="184">
        <f t="shared" si="1"/>
        <v>15.591662375556707</v>
      </c>
    </row>
    <row r="14" spans="2:9">
      <c r="B14" s="68">
        <v>250</v>
      </c>
      <c r="C14" s="209">
        <v>4</v>
      </c>
      <c r="D14" s="68">
        <v>0</v>
      </c>
      <c r="E14" s="184">
        <f t="shared" si="0"/>
        <v>7.5</v>
      </c>
      <c r="F14" s="184">
        <f t="shared" si="1"/>
        <v>15.591662375556707</v>
      </c>
    </row>
    <row r="15" spans="2:9">
      <c r="B15" s="68">
        <v>250</v>
      </c>
      <c r="C15" s="209">
        <v>6</v>
      </c>
      <c r="D15" s="68">
        <v>0</v>
      </c>
      <c r="E15" s="184">
        <f t="shared" si="0"/>
        <v>7.5</v>
      </c>
      <c r="F15" s="184">
        <f t="shared" si="1"/>
        <v>15.591662375556707</v>
      </c>
    </row>
    <row r="16" spans="2:9">
      <c r="B16" s="68">
        <v>250</v>
      </c>
      <c r="C16" s="209">
        <v>8</v>
      </c>
      <c r="D16" s="68">
        <v>0</v>
      </c>
      <c r="E16" s="184">
        <f t="shared" si="0"/>
        <v>7.5</v>
      </c>
      <c r="F16" s="184">
        <f t="shared" si="1"/>
        <v>15.591662375556707</v>
      </c>
    </row>
    <row r="17" spans="2:16">
      <c r="B17" s="68">
        <v>250</v>
      </c>
      <c r="C17" s="209">
        <v>10</v>
      </c>
      <c r="D17" s="68">
        <v>0</v>
      </c>
      <c r="E17" s="184">
        <f t="shared" si="0"/>
        <v>7.5</v>
      </c>
      <c r="F17" s="184">
        <f t="shared" si="1"/>
        <v>15.591662375556707</v>
      </c>
    </row>
    <row r="18" spans="2:16">
      <c r="B18" s="68">
        <v>250</v>
      </c>
      <c r="C18" s="209">
        <v>12</v>
      </c>
      <c r="D18" s="68">
        <v>0</v>
      </c>
      <c r="E18" s="184">
        <f t="shared" si="0"/>
        <v>7.5</v>
      </c>
      <c r="F18" s="184">
        <f t="shared" si="1"/>
        <v>15.591662375556707</v>
      </c>
    </row>
    <row r="19" spans="2:16">
      <c r="B19" s="68">
        <v>250</v>
      </c>
      <c r="C19" s="209">
        <v>4</v>
      </c>
      <c r="D19" s="68">
        <v>0</v>
      </c>
      <c r="E19" s="184">
        <f t="shared" si="0"/>
        <v>7.5</v>
      </c>
      <c r="F19" s="184">
        <f t="shared" si="1"/>
        <v>15.591662375556707</v>
      </c>
    </row>
    <row r="20" spans="2:16">
      <c r="B20" s="68">
        <v>250</v>
      </c>
      <c r="C20" s="209">
        <v>3</v>
      </c>
      <c r="D20" s="68">
        <v>0</v>
      </c>
      <c r="E20" s="184">
        <f t="shared" si="0"/>
        <v>7.5</v>
      </c>
      <c r="F20" s="184">
        <f t="shared" si="1"/>
        <v>15.591662375556707</v>
      </c>
    </row>
    <row r="21" spans="2:16">
      <c r="B21" s="68">
        <v>250</v>
      </c>
      <c r="C21" s="209">
        <v>10</v>
      </c>
      <c r="D21" s="68">
        <v>0</v>
      </c>
      <c r="E21" s="184">
        <f t="shared" si="0"/>
        <v>7.5</v>
      </c>
      <c r="F21" s="184">
        <f t="shared" si="1"/>
        <v>15.591662375556707</v>
      </c>
    </row>
    <row r="22" spans="2:16">
      <c r="B22" s="68">
        <v>250</v>
      </c>
      <c r="C22" s="209">
        <v>14</v>
      </c>
      <c r="D22" s="68">
        <v>0</v>
      </c>
      <c r="E22" s="184">
        <f t="shared" si="0"/>
        <v>7.5</v>
      </c>
      <c r="F22" s="184">
        <f t="shared" si="1"/>
        <v>15.591662375556707</v>
      </c>
    </row>
    <row r="23" spans="2:16">
      <c r="B23" s="68">
        <v>250</v>
      </c>
      <c r="C23" s="209">
        <v>5</v>
      </c>
      <c r="D23" s="68">
        <v>0</v>
      </c>
      <c r="E23" s="184">
        <f t="shared" si="0"/>
        <v>7.5</v>
      </c>
      <c r="F23" s="184">
        <f t="shared" si="1"/>
        <v>15.591662375556707</v>
      </c>
    </row>
    <row r="24" spans="2:16">
      <c r="B24" s="68">
        <v>250</v>
      </c>
      <c r="C24" s="209">
        <v>13</v>
      </c>
      <c r="D24" s="68">
        <v>0</v>
      </c>
      <c r="E24" s="184">
        <f t="shared" si="0"/>
        <v>7.5</v>
      </c>
      <c r="F24" s="184">
        <f t="shared" si="1"/>
        <v>15.591662375556707</v>
      </c>
    </row>
    <row r="25" spans="2:16">
      <c r="B25" s="68">
        <v>250</v>
      </c>
      <c r="C25" s="209">
        <v>11</v>
      </c>
      <c r="D25" s="68">
        <v>0</v>
      </c>
      <c r="E25" s="184">
        <f t="shared" si="0"/>
        <v>7.5</v>
      </c>
      <c r="F25" s="184">
        <f t="shared" si="1"/>
        <v>15.591662375556707</v>
      </c>
    </row>
    <row r="26" spans="2:16">
      <c r="B26" s="68">
        <v>250</v>
      </c>
      <c r="C26" s="209">
        <v>7</v>
      </c>
      <c r="D26" s="68">
        <v>0</v>
      </c>
      <c r="E26" s="184">
        <f t="shared" si="0"/>
        <v>7.5</v>
      </c>
      <c r="F26" s="184">
        <f t="shared" si="1"/>
        <v>15.591662375556707</v>
      </c>
    </row>
    <row r="27" spans="2:16">
      <c r="B27" s="68">
        <v>250</v>
      </c>
      <c r="C27" s="209">
        <v>3</v>
      </c>
      <c r="D27" s="68">
        <v>0</v>
      </c>
      <c r="E27" s="184">
        <f t="shared" si="0"/>
        <v>7.5</v>
      </c>
      <c r="F27" s="184">
        <f t="shared" si="1"/>
        <v>15.591662375556707</v>
      </c>
    </row>
    <row r="28" spans="2:16">
      <c r="B28" s="68">
        <v>250</v>
      </c>
      <c r="C28" s="209">
        <v>2</v>
      </c>
      <c r="D28" s="68">
        <v>0</v>
      </c>
      <c r="E28" s="184">
        <f t="shared" si="0"/>
        <v>7.5</v>
      </c>
      <c r="F28" s="184">
        <f t="shared" si="1"/>
        <v>15.591662375556707</v>
      </c>
      <c r="H28" s="514" t="s">
        <v>416</v>
      </c>
      <c r="I28" s="514"/>
      <c r="J28" s="514"/>
      <c r="K28" s="514"/>
      <c r="L28" s="514"/>
      <c r="M28" s="514"/>
      <c r="N28" s="514"/>
      <c r="O28" s="514"/>
      <c r="P28" s="514"/>
    </row>
    <row r="29" spans="2:16">
      <c r="B29" s="68">
        <v>250</v>
      </c>
      <c r="C29" s="209">
        <v>8</v>
      </c>
      <c r="D29" s="68">
        <v>0</v>
      </c>
      <c r="E29" s="184">
        <f t="shared" si="0"/>
        <v>7.5</v>
      </c>
      <c r="F29" s="184">
        <f t="shared" si="1"/>
        <v>15.591662375556707</v>
      </c>
      <c r="H29" s="514"/>
      <c r="I29" s="514"/>
      <c r="J29" s="514"/>
      <c r="K29" s="514"/>
      <c r="L29" s="514"/>
      <c r="M29" s="514"/>
      <c r="N29" s="514"/>
      <c r="O29" s="514"/>
      <c r="P29" s="514"/>
    </row>
    <row r="30" spans="2:16">
      <c r="B30" s="68">
        <v>250</v>
      </c>
      <c r="C30" s="209">
        <v>11</v>
      </c>
      <c r="D30" s="68">
        <v>0</v>
      </c>
      <c r="E30" s="184">
        <f t="shared" si="0"/>
        <v>7.5</v>
      </c>
      <c r="F30" s="184">
        <f t="shared" si="1"/>
        <v>15.591662375556707</v>
      </c>
      <c r="H30" s="107"/>
      <c r="I30" s="107"/>
      <c r="J30" s="107"/>
      <c r="K30" s="107"/>
      <c r="L30" s="107"/>
      <c r="M30" s="107"/>
      <c r="N30" s="107"/>
      <c r="O30" s="107"/>
      <c r="P30" s="107"/>
    </row>
    <row r="31" spans="2:16">
      <c r="B31" s="68">
        <v>250</v>
      </c>
      <c r="C31" s="209">
        <v>6</v>
      </c>
      <c r="D31" s="68">
        <v>0</v>
      </c>
      <c r="E31" s="184">
        <f t="shared" si="0"/>
        <v>7.5</v>
      </c>
      <c r="F31" s="184">
        <f t="shared" si="1"/>
        <v>15.591662375556707</v>
      </c>
      <c r="H31" s="107" t="s">
        <v>417</v>
      </c>
      <c r="I31" s="107"/>
      <c r="J31" s="107"/>
      <c r="K31" s="107"/>
      <c r="L31" s="107"/>
      <c r="M31" s="107"/>
      <c r="N31" s="107"/>
      <c r="O31" s="107"/>
      <c r="P31" s="107"/>
    </row>
    <row r="32" spans="2:16">
      <c r="B32" s="68">
        <v>250</v>
      </c>
      <c r="C32" s="209">
        <v>9</v>
      </c>
      <c r="D32" s="68">
        <v>0</v>
      </c>
      <c r="E32" s="184">
        <f t="shared" si="0"/>
        <v>7.5</v>
      </c>
      <c r="F32" s="184">
        <f t="shared" si="1"/>
        <v>15.591662375556707</v>
      </c>
    </row>
    <row r="33" spans="2:6">
      <c r="B33" s="68">
        <v>250</v>
      </c>
      <c r="C33" s="209">
        <v>5</v>
      </c>
      <c r="D33" s="68">
        <v>0</v>
      </c>
      <c r="E33" s="184">
        <f t="shared" si="0"/>
        <v>7.5</v>
      </c>
      <c r="F33" s="184">
        <f t="shared" si="1"/>
        <v>15.591662375556707</v>
      </c>
    </row>
    <row r="34" spans="2:6">
      <c r="B34" s="68">
        <f>SUM(B4:B33)</f>
        <v>7500</v>
      </c>
      <c r="C34" s="68">
        <f>SUM(C4:C33)</f>
        <v>225</v>
      </c>
    </row>
    <row r="35" spans="2:6">
      <c r="B35" s="64" t="s">
        <v>418</v>
      </c>
      <c r="C35" s="169">
        <f>C34/B34</f>
        <v>0.03</v>
      </c>
    </row>
    <row r="36" spans="2:6">
      <c r="B36" t="s">
        <v>419</v>
      </c>
      <c r="C36" s="169">
        <f>1-C35</f>
        <v>0.97</v>
      </c>
    </row>
  </sheetData>
  <mergeCells count="1">
    <mergeCell ref="H28:P29"/>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086DE-29FC-0847-BE91-6A4D6E9208F7}">
  <dimension ref="A1:Q216"/>
  <sheetViews>
    <sheetView workbookViewId="0">
      <selection activeCell="F37" sqref="F37"/>
    </sheetView>
  </sheetViews>
  <sheetFormatPr baseColWidth="10" defaultRowHeight="13"/>
  <cols>
    <col min="1" max="7" width="10.83203125" style="117"/>
    <col min="8" max="8" width="10.83203125" style="210"/>
    <col min="9" max="9" width="7.6640625" style="117" customWidth="1"/>
    <col min="10" max="10" width="10.83203125" style="211"/>
    <col min="11" max="12" width="10.83203125" style="210"/>
    <col min="13" max="13" width="3.5" style="117" customWidth="1"/>
    <col min="14" max="16384" width="10.83203125" style="117"/>
  </cols>
  <sheetData>
    <row r="1" spans="1:17" ht="16">
      <c r="J1" s="218"/>
    </row>
    <row r="2" spans="1:17" ht="16">
      <c r="J2" s="218"/>
    </row>
    <row r="3" spans="1:17" ht="16">
      <c r="J3" s="515" t="s">
        <v>428</v>
      </c>
      <c r="K3" s="515"/>
      <c r="L3" s="515"/>
      <c r="N3" s="515" t="s">
        <v>427</v>
      </c>
      <c r="O3" s="515"/>
      <c r="P3" s="515"/>
    </row>
    <row r="4" spans="1:17" ht="17">
      <c r="A4" s="220" t="s">
        <v>426</v>
      </c>
      <c r="B4" s="220">
        <v>1</v>
      </c>
      <c r="C4" s="220">
        <v>2</v>
      </c>
      <c r="D4" s="220">
        <v>3</v>
      </c>
      <c r="E4" s="220">
        <v>4</v>
      </c>
      <c r="F4" s="220">
        <v>5</v>
      </c>
      <c r="G4" s="220" t="s">
        <v>192</v>
      </c>
      <c r="H4" s="220" t="s">
        <v>285</v>
      </c>
      <c r="J4" s="218" t="s">
        <v>424</v>
      </c>
      <c r="K4" s="218" t="s">
        <v>412</v>
      </c>
      <c r="L4" s="218" t="s">
        <v>423</v>
      </c>
      <c r="M4" s="210"/>
      <c r="N4" s="218" t="s">
        <v>424</v>
      </c>
      <c r="O4" s="218" t="s">
        <v>412</v>
      </c>
      <c r="P4" s="218" t="s">
        <v>423</v>
      </c>
      <c r="Q4" s="210"/>
    </row>
    <row r="5" spans="1:17" ht="16">
      <c r="A5" s="218">
        <v>1</v>
      </c>
      <c r="B5" s="218">
        <v>51</v>
      </c>
      <c r="C5" s="218">
        <v>50</v>
      </c>
      <c r="D5" s="218">
        <v>49</v>
      </c>
      <c r="E5" s="218">
        <v>50</v>
      </c>
      <c r="F5" s="218">
        <v>50</v>
      </c>
      <c r="G5" s="219">
        <f t="shared" ref="G5:G34" si="0">AVERAGE(B5:F5)</f>
        <v>50</v>
      </c>
      <c r="H5" s="218">
        <f>B5-D5</f>
        <v>2</v>
      </c>
      <c r="J5" s="217">
        <f t="shared" ref="J5:J34" si="1">$G$35+($H$36*$H$35)</f>
        <v>61.429333333333332</v>
      </c>
      <c r="K5" s="217">
        <f t="shared" ref="K5:K34" si="2">$G$35</f>
        <v>49.906666666666666</v>
      </c>
      <c r="L5" s="217">
        <f t="shared" ref="L5:L34" si="3">$G$35-($H$36*$H$35)</f>
        <v>38.384</v>
      </c>
      <c r="M5" s="210"/>
      <c r="N5" s="217">
        <f t="shared" ref="N5:N34" si="4">$H$37*$H$35</f>
        <v>41.918666666666667</v>
      </c>
      <c r="O5" s="217">
        <f t="shared" ref="O5:O34" si="5">$H$35</f>
        <v>19.866666666666667</v>
      </c>
      <c r="P5" s="210">
        <f t="shared" ref="P5:P34" si="6">$H$38*$H$35</f>
        <v>0</v>
      </c>
      <c r="Q5" s="210"/>
    </row>
    <row r="6" spans="1:17" ht="16">
      <c r="A6" s="218">
        <v>2</v>
      </c>
      <c r="B6" s="218">
        <v>45</v>
      </c>
      <c r="C6" s="218">
        <v>47</v>
      </c>
      <c r="D6" s="218">
        <v>70</v>
      </c>
      <c r="E6" s="218">
        <v>46</v>
      </c>
      <c r="F6" s="218">
        <v>36</v>
      </c>
      <c r="G6" s="219">
        <f t="shared" si="0"/>
        <v>48.8</v>
      </c>
      <c r="H6" s="218">
        <f>D6-F6</f>
        <v>34</v>
      </c>
      <c r="J6" s="217">
        <f t="shared" si="1"/>
        <v>61.429333333333332</v>
      </c>
      <c r="K6" s="217">
        <f t="shared" si="2"/>
        <v>49.906666666666666</v>
      </c>
      <c r="L6" s="217">
        <f t="shared" si="3"/>
        <v>38.384</v>
      </c>
      <c r="M6" s="210"/>
      <c r="N6" s="217">
        <f t="shared" si="4"/>
        <v>41.918666666666667</v>
      </c>
      <c r="O6" s="217">
        <f t="shared" si="5"/>
        <v>19.866666666666667</v>
      </c>
      <c r="P6" s="210">
        <f t="shared" si="6"/>
        <v>0</v>
      </c>
      <c r="Q6" s="210"/>
    </row>
    <row r="7" spans="1:17" ht="16">
      <c r="A7" s="218">
        <v>3</v>
      </c>
      <c r="B7" s="218">
        <v>50</v>
      </c>
      <c r="C7" s="218">
        <v>35</v>
      </c>
      <c r="D7" s="218">
        <v>48</v>
      </c>
      <c r="E7" s="218">
        <v>39</v>
      </c>
      <c r="F7" s="218">
        <v>47</v>
      </c>
      <c r="G7" s="219">
        <f t="shared" si="0"/>
        <v>43.8</v>
      </c>
      <c r="H7" s="218">
        <f>B7-C7</f>
        <v>15</v>
      </c>
      <c r="J7" s="217">
        <f t="shared" si="1"/>
        <v>61.429333333333332</v>
      </c>
      <c r="K7" s="217">
        <f t="shared" si="2"/>
        <v>49.906666666666666</v>
      </c>
      <c r="L7" s="217">
        <f t="shared" si="3"/>
        <v>38.384</v>
      </c>
      <c r="M7" s="210"/>
      <c r="N7" s="217">
        <f t="shared" si="4"/>
        <v>41.918666666666667</v>
      </c>
      <c r="O7" s="217">
        <f t="shared" si="5"/>
        <v>19.866666666666667</v>
      </c>
      <c r="P7" s="210">
        <f t="shared" si="6"/>
        <v>0</v>
      </c>
      <c r="Q7" s="210"/>
    </row>
    <row r="8" spans="1:17" ht="16">
      <c r="A8" s="218">
        <v>4</v>
      </c>
      <c r="B8" s="218">
        <v>55</v>
      </c>
      <c r="C8" s="218">
        <v>70</v>
      </c>
      <c r="D8" s="218">
        <v>50</v>
      </c>
      <c r="E8" s="218">
        <v>30</v>
      </c>
      <c r="F8" s="218">
        <v>51</v>
      </c>
      <c r="G8" s="219">
        <f t="shared" si="0"/>
        <v>51.2</v>
      </c>
      <c r="H8" s="218">
        <f>C8-E8</f>
        <v>40</v>
      </c>
      <c r="J8" s="217">
        <f t="shared" si="1"/>
        <v>61.429333333333332</v>
      </c>
      <c r="K8" s="217">
        <f t="shared" si="2"/>
        <v>49.906666666666666</v>
      </c>
      <c r="L8" s="217">
        <f t="shared" si="3"/>
        <v>38.384</v>
      </c>
      <c r="M8" s="210"/>
      <c r="N8" s="217">
        <f t="shared" si="4"/>
        <v>41.918666666666667</v>
      </c>
      <c r="O8" s="217">
        <f t="shared" si="5"/>
        <v>19.866666666666667</v>
      </c>
      <c r="P8" s="210">
        <f t="shared" si="6"/>
        <v>0</v>
      </c>
      <c r="Q8" s="210"/>
    </row>
    <row r="9" spans="1:17" ht="16">
      <c r="A9" s="218">
        <v>5</v>
      </c>
      <c r="B9" s="218">
        <v>49</v>
      </c>
      <c r="C9" s="218">
        <v>38</v>
      </c>
      <c r="D9" s="218">
        <v>64</v>
      </c>
      <c r="E9" s="218">
        <v>36</v>
      </c>
      <c r="F9" s="218">
        <v>47</v>
      </c>
      <c r="G9" s="219">
        <f t="shared" si="0"/>
        <v>46.8</v>
      </c>
      <c r="H9" s="218">
        <f>D9-E9</f>
        <v>28</v>
      </c>
      <c r="J9" s="217">
        <f t="shared" si="1"/>
        <v>61.429333333333332</v>
      </c>
      <c r="K9" s="217">
        <f t="shared" si="2"/>
        <v>49.906666666666666</v>
      </c>
      <c r="L9" s="217">
        <f t="shared" si="3"/>
        <v>38.384</v>
      </c>
      <c r="M9" s="210"/>
      <c r="N9" s="217">
        <f t="shared" si="4"/>
        <v>41.918666666666667</v>
      </c>
      <c r="O9" s="217">
        <f t="shared" si="5"/>
        <v>19.866666666666667</v>
      </c>
      <c r="P9" s="210">
        <f t="shared" si="6"/>
        <v>0</v>
      </c>
      <c r="Q9" s="210"/>
    </row>
    <row r="10" spans="1:17" ht="16">
      <c r="A10" s="218">
        <v>6</v>
      </c>
      <c r="B10" s="218">
        <v>59</v>
      </c>
      <c r="C10" s="218">
        <v>62</v>
      </c>
      <c r="D10" s="218">
        <v>40</v>
      </c>
      <c r="E10" s="218">
        <v>54</v>
      </c>
      <c r="F10" s="218">
        <v>64</v>
      </c>
      <c r="G10" s="219">
        <f t="shared" si="0"/>
        <v>55.8</v>
      </c>
      <c r="H10" s="218">
        <f>C10-D10</f>
        <v>22</v>
      </c>
      <c r="J10" s="217">
        <f t="shared" si="1"/>
        <v>61.429333333333332</v>
      </c>
      <c r="K10" s="217">
        <f t="shared" si="2"/>
        <v>49.906666666666666</v>
      </c>
      <c r="L10" s="217">
        <f t="shared" si="3"/>
        <v>38.384</v>
      </c>
      <c r="M10" s="210"/>
      <c r="N10" s="217">
        <f t="shared" si="4"/>
        <v>41.918666666666667</v>
      </c>
      <c r="O10" s="217">
        <f t="shared" si="5"/>
        <v>19.866666666666667</v>
      </c>
      <c r="P10" s="210">
        <f t="shared" si="6"/>
        <v>0</v>
      </c>
      <c r="Q10" s="210"/>
    </row>
    <row r="11" spans="1:17" ht="16">
      <c r="A11" s="218">
        <v>7</v>
      </c>
      <c r="B11" s="218">
        <v>36</v>
      </c>
      <c r="C11" s="218">
        <v>33</v>
      </c>
      <c r="D11" s="218">
        <v>49</v>
      </c>
      <c r="E11" s="218">
        <v>48</v>
      </c>
      <c r="F11" s="218">
        <v>56</v>
      </c>
      <c r="G11" s="219">
        <f t="shared" si="0"/>
        <v>44.4</v>
      </c>
      <c r="H11" s="218">
        <f>F11-C11</f>
        <v>23</v>
      </c>
      <c r="J11" s="217">
        <f t="shared" si="1"/>
        <v>61.429333333333332</v>
      </c>
      <c r="K11" s="217">
        <f t="shared" si="2"/>
        <v>49.906666666666666</v>
      </c>
      <c r="L11" s="217">
        <f t="shared" si="3"/>
        <v>38.384</v>
      </c>
      <c r="M11" s="210"/>
      <c r="N11" s="217">
        <f t="shared" si="4"/>
        <v>41.918666666666667</v>
      </c>
      <c r="O11" s="217">
        <f t="shared" si="5"/>
        <v>19.866666666666667</v>
      </c>
      <c r="P11" s="210">
        <f t="shared" si="6"/>
        <v>0</v>
      </c>
      <c r="Q11" s="210"/>
    </row>
    <row r="12" spans="1:17" ht="16">
      <c r="A12" s="218">
        <v>8</v>
      </c>
      <c r="B12" s="218">
        <v>50</v>
      </c>
      <c r="C12" s="218">
        <v>67</v>
      </c>
      <c r="D12" s="218">
        <v>53</v>
      </c>
      <c r="E12" s="218">
        <v>43</v>
      </c>
      <c r="F12" s="218">
        <v>40</v>
      </c>
      <c r="G12" s="219">
        <f t="shared" si="0"/>
        <v>50.6</v>
      </c>
      <c r="H12" s="218">
        <f>C12-F12</f>
        <v>27</v>
      </c>
      <c r="J12" s="217">
        <f t="shared" si="1"/>
        <v>61.429333333333332</v>
      </c>
      <c r="K12" s="217">
        <f t="shared" si="2"/>
        <v>49.906666666666666</v>
      </c>
      <c r="L12" s="217">
        <f t="shared" si="3"/>
        <v>38.384</v>
      </c>
      <c r="M12" s="210"/>
      <c r="N12" s="217">
        <f t="shared" si="4"/>
        <v>41.918666666666667</v>
      </c>
      <c r="O12" s="217">
        <f t="shared" si="5"/>
        <v>19.866666666666667</v>
      </c>
      <c r="P12" s="210">
        <f t="shared" si="6"/>
        <v>0</v>
      </c>
      <c r="Q12" s="210"/>
    </row>
    <row r="13" spans="1:17" ht="16">
      <c r="A13" s="218">
        <v>9</v>
      </c>
      <c r="B13" s="218">
        <v>44</v>
      </c>
      <c r="C13" s="218">
        <v>52</v>
      </c>
      <c r="D13" s="218">
        <v>46</v>
      </c>
      <c r="E13" s="218">
        <v>47</v>
      </c>
      <c r="F13" s="218">
        <v>44</v>
      </c>
      <c r="G13" s="219">
        <f t="shared" si="0"/>
        <v>46.6</v>
      </c>
      <c r="H13" s="218">
        <f>C13-F13</f>
        <v>8</v>
      </c>
      <c r="J13" s="217">
        <f t="shared" si="1"/>
        <v>61.429333333333332</v>
      </c>
      <c r="K13" s="217">
        <f t="shared" si="2"/>
        <v>49.906666666666666</v>
      </c>
      <c r="L13" s="217">
        <f t="shared" si="3"/>
        <v>38.384</v>
      </c>
      <c r="M13" s="210"/>
      <c r="N13" s="217">
        <f t="shared" si="4"/>
        <v>41.918666666666667</v>
      </c>
      <c r="O13" s="217">
        <f t="shared" si="5"/>
        <v>19.866666666666667</v>
      </c>
      <c r="P13" s="210">
        <f t="shared" si="6"/>
        <v>0</v>
      </c>
      <c r="Q13" s="210"/>
    </row>
    <row r="14" spans="1:17" ht="16">
      <c r="A14" s="218">
        <v>10</v>
      </c>
      <c r="B14" s="218">
        <v>70</v>
      </c>
      <c r="C14" s="218">
        <v>45</v>
      </c>
      <c r="D14" s="218">
        <v>50</v>
      </c>
      <c r="E14" s="218">
        <v>47</v>
      </c>
      <c r="F14" s="218">
        <v>65</v>
      </c>
      <c r="G14" s="219">
        <f t="shared" si="0"/>
        <v>55.4</v>
      </c>
      <c r="H14" s="218">
        <f>B14-C14</f>
        <v>25</v>
      </c>
      <c r="J14" s="217">
        <f t="shared" si="1"/>
        <v>61.429333333333332</v>
      </c>
      <c r="K14" s="217">
        <f t="shared" si="2"/>
        <v>49.906666666666666</v>
      </c>
      <c r="L14" s="217">
        <f t="shared" si="3"/>
        <v>38.384</v>
      </c>
      <c r="M14" s="210"/>
      <c r="N14" s="217">
        <f t="shared" si="4"/>
        <v>41.918666666666667</v>
      </c>
      <c r="O14" s="217">
        <f t="shared" si="5"/>
        <v>19.866666666666667</v>
      </c>
      <c r="P14" s="210">
        <f t="shared" si="6"/>
        <v>0</v>
      </c>
      <c r="Q14" s="210"/>
    </row>
    <row r="15" spans="1:17" ht="16">
      <c r="A15" s="218">
        <v>11</v>
      </c>
      <c r="B15" s="218">
        <v>57</v>
      </c>
      <c r="C15" s="218">
        <v>54</v>
      </c>
      <c r="D15" s="218">
        <v>62</v>
      </c>
      <c r="E15" s="218">
        <v>45</v>
      </c>
      <c r="F15" s="218">
        <v>36</v>
      </c>
      <c r="G15" s="219">
        <f t="shared" si="0"/>
        <v>50.8</v>
      </c>
      <c r="H15" s="218">
        <f>D15-F15</f>
        <v>26</v>
      </c>
      <c r="J15" s="217">
        <f t="shared" si="1"/>
        <v>61.429333333333332</v>
      </c>
      <c r="K15" s="217">
        <f t="shared" si="2"/>
        <v>49.906666666666666</v>
      </c>
      <c r="L15" s="217">
        <f t="shared" si="3"/>
        <v>38.384</v>
      </c>
      <c r="M15" s="210"/>
      <c r="N15" s="217">
        <f t="shared" si="4"/>
        <v>41.918666666666667</v>
      </c>
      <c r="O15" s="217">
        <f t="shared" si="5"/>
        <v>19.866666666666667</v>
      </c>
      <c r="P15" s="210">
        <f t="shared" si="6"/>
        <v>0</v>
      </c>
      <c r="Q15" s="210"/>
    </row>
    <row r="16" spans="1:17" ht="16">
      <c r="A16" s="218">
        <v>12</v>
      </c>
      <c r="B16" s="218">
        <v>45</v>
      </c>
      <c r="C16" s="218">
        <v>54</v>
      </c>
      <c r="D16" s="218">
        <v>39</v>
      </c>
      <c r="E16" s="218">
        <v>38</v>
      </c>
      <c r="F16" s="218">
        <v>52</v>
      </c>
      <c r="G16" s="219">
        <f t="shared" si="0"/>
        <v>45.6</v>
      </c>
      <c r="H16" s="218">
        <f>B16-E16</f>
        <v>7</v>
      </c>
      <c r="J16" s="217">
        <f t="shared" si="1"/>
        <v>61.429333333333332</v>
      </c>
      <c r="K16" s="217">
        <f t="shared" si="2"/>
        <v>49.906666666666666</v>
      </c>
      <c r="L16" s="217">
        <f t="shared" si="3"/>
        <v>38.384</v>
      </c>
      <c r="M16" s="210"/>
      <c r="N16" s="217">
        <f t="shared" si="4"/>
        <v>41.918666666666667</v>
      </c>
      <c r="O16" s="217">
        <f t="shared" si="5"/>
        <v>19.866666666666667</v>
      </c>
      <c r="P16" s="210">
        <f t="shared" si="6"/>
        <v>0</v>
      </c>
      <c r="Q16" s="210"/>
    </row>
    <row r="17" spans="1:17" ht="16">
      <c r="A17" s="218">
        <v>13</v>
      </c>
      <c r="B17" s="218">
        <v>40</v>
      </c>
      <c r="C17" s="218">
        <v>70</v>
      </c>
      <c r="D17" s="218">
        <v>58</v>
      </c>
      <c r="E17" s="218">
        <v>45</v>
      </c>
      <c r="F17" s="218">
        <v>44</v>
      </c>
      <c r="G17" s="219">
        <f t="shared" si="0"/>
        <v>51.4</v>
      </c>
      <c r="H17" s="218">
        <f>C17-B17</f>
        <v>30</v>
      </c>
      <c r="J17" s="217">
        <f t="shared" si="1"/>
        <v>61.429333333333332</v>
      </c>
      <c r="K17" s="217">
        <f t="shared" si="2"/>
        <v>49.906666666666666</v>
      </c>
      <c r="L17" s="217">
        <f t="shared" si="3"/>
        <v>38.384</v>
      </c>
      <c r="M17" s="210"/>
      <c r="N17" s="217">
        <f t="shared" si="4"/>
        <v>41.918666666666667</v>
      </c>
      <c r="O17" s="217">
        <f t="shared" si="5"/>
        <v>19.866666666666667</v>
      </c>
      <c r="P17" s="210">
        <f t="shared" si="6"/>
        <v>0</v>
      </c>
      <c r="Q17" s="210"/>
    </row>
    <row r="18" spans="1:17" ht="16">
      <c r="A18" s="218">
        <v>14</v>
      </c>
      <c r="B18" s="218">
        <v>52</v>
      </c>
      <c r="C18" s="218">
        <v>58</v>
      </c>
      <c r="D18" s="218">
        <v>40</v>
      </c>
      <c r="E18" s="218">
        <v>52</v>
      </c>
      <c r="F18" s="218">
        <v>46</v>
      </c>
      <c r="G18" s="219">
        <f t="shared" si="0"/>
        <v>49.6</v>
      </c>
      <c r="H18" s="218">
        <f>C18-D18</f>
        <v>18</v>
      </c>
      <c r="J18" s="217">
        <f t="shared" si="1"/>
        <v>61.429333333333332</v>
      </c>
      <c r="K18" s="217">
        <f t="shared" si="2"/>
        <v>49.906666666666666</v>
      </c>
      <c r="L18" s="217">
        <f t="shared" si="3"/>
        <v>38.384</v>
      </c>
      <c r="M18" s="210"/>
      <c r="N18" s="217">
        <f t="shared" si="4"/>
        <v>41.918666666666667</v>
      </c>
      <c r="O18" s="217">
        <f t="shared" si="5"/>
        <v>19.866666666666667</v>
      </c>
      <c r="P18" s="210">
        <f t="shared" si="6"/>
        <v>0</v>
      </c>
      <c r="Q18" s="210"/>
    </row>
    <row r="19" spans="1:17" ht="16">
      <c r="A19" s="218">
        <v>15</v>
      </c>
      <c r="B19" s="218">
        <v>57</v>
      </c>
      <c r="C19" s="218">
        <v>42</v>
      </c>
      <c r="D19" s="218">
        <v>52</v>
      </c>
      <c r="E19" s="218">
        <v>58</v>
      </c>
      <c r="F19" s="218">
        <v>70</v>
      </c>
      <c r="G19" s="219">
        <f t="shared" si="0"/>
        <v>55.8</v>
      </c>
      <c r="H19" s="218">
        <f>F19-C19</f>
        <v>28</v>
      </c>
      <c r="J19" s="217">
        <f t="shared" si="1"/>
        <v>61.429333333333332</v>
      </c>
      <c r="K19" s="217">
        <f t="shared" si="2"/>
        <v>49.906666666666666</v>
      </c>
      <c r="L19" s="217">
        <f t="shared" si="3"/>
        <v>38.384</v>
      </c>
      <c r="N19" s="217">
        <f t="shared" si="4"/>
        <v>41.918666666666667</v>
      </c>
      <c r="O19" s="217">
        <f t="shared" si="5"/>
        <v>19.866666666666667</v>
      </c>
      <c r="P19" s="210">
        <f t="shared" si="6"/>
        <v>0</v>
      </c>
    </row>
    <row r="20" spans="1:17" ht="16">
      <c r="A20" s="218">
        <v>16</v>
      </c>
      <c r="B20" s="218">
        <v>62</v>
      </c>
      <c r="C20" s="218">
        <v>49</v>
      </c>
      <c r="D20" s="218">
        <v>42</v>
      </c>
      <c r="E20" s="218">
        <v>33</v>
      </c>
      <c r="F20" s="218">
        <v>55</v>
      </c>
      <c r="G20" s="219">
        <f t="shared" si="0"/>
        <v>48.2</v>
      </c>
      <c r="H20" s="218">
        <f>B20-E20</f>
        <v>29</v>
      </c>
      <c r="J20" s="217">
        <f t="shared" si="1"/>
        <v>61.429333333333332</v>
      </c>
      <c r="K20" s="217">
        <f t="shared" si="2"/>
        <v>49.906666666666666</v>
      </c>
      <c r="L20" s="217">
        <f t="shared" si="3"/>
        <v>38.384</v>
      </c>
      <c r="N20" s="217">
        <f t="shared" si="4"/>
        <v>41.918666666666667</v>
      </c>
      <c r="O20" s="217">
        <f t="shared" si="5"/>
        <v>19.866666666666667</v>
      </c>
      <c r="P20" s="210">
        <f t="shared" si="6"/>
        <v>0</v>
      </c>
    </row>
    <row r="21" spans="1:17" ht="16">
      <c r="A21" s="218">
        <v>17</v>
      </c>
      <c r="B21" s="218">
        <v>40</v>
      </c>
      <c r="C21" s="218">
        <v>39</v>
      </c>
      <c r="D21" s="218">
        <v>49</v>
      </c>
      <c r="E21" s="218">
        <v>59</v>
      </c>
      <c r="F21" s="218">
        <v>48</v>
      </c>
      <c r="G21" s="219">
        <f t="shared" si="0"/>
        <v>47</v>
      </c>
      <c r="H21" s="218">
        <f>E21-C21</f>
        <v>20</v>
      </c>
      <c r="J21" s="217">
        <f t="shared" si="1"/>
        <v>61.429333333333332</v>
      </c>
      <c r="K21" s="217">
        <f t="shared" si="2"/>
        <v>49.906666666666666</v>
      </c>
      <c r="L21" s="217">
        <f t="shared" si="3"/>
        <v>38.384</v>
      </c>
      <c r="N21" s="217">
        <f t="shared" si="4"/>
        <v>41.918666666666667</v>
      </c>
      <c r="O21" s="217">
        <f t="shared" si="5"/>
        <v>19.866666666666667</v>
      </c>
      <c r="P21" s="210">
        <f t="shared" si="6"/>
        <v>0</v>
      </c>
    </row>
    <row r="22" spans="1:17" ht="16">
      <c r="A22" s="218">
        <v>18</v>
      </c>
      <c r="B22" s="218">
        <v>64</v>
      </c>
      <c r="C22" s="218">
        <v>50</v>
      </c>
      <c r="D22" s="218">
        <v>42</v>
      </c>
      <c r="E22" s="218">
        <v>57</v>
      </c>
      <c r="F22" s="218">
        <v>50</v>
      </c>
      <c r="G22" s="219">
        <f t="shared" si="0"/>
        <v>52.6</v>
      </c>
      <c r="H22" s="218">
        <f>B22-D22</f>
        <v>22</v>
      </c>
      <c r="J22" s="217">
        <f t="shared" si="1"/>
        <v>61.429333333333332</v>
      </c>
      <c r="K22" s="217">
        <f t="shared" si="2"/>
        <v>49.906666666666666</v>
      </c>
      <c r="L22" s="217">
        <f t="shared" si="3"/>
        <v>38.384</v>
      </c>
      <c r="N22" s="217">
        <f t="shared" si="4"/>
        <v>41.918666666666667</v>
      </c>
      <c r="O22" s="217">
        <f t="shared" si="5"/>
        <v>19.866666666666667</v>
      </c>
      <c r="P22" s="210">
        <f t="shared" si="6"/>
        <v>0</v>
      </c>
    </row>
    <row r="23" spans="1:17" ht="16">
      <c r="A23" s="218">
        <v>19</v>
      </c>
      <c r="B23" s="218">
        <v>53</v>
      </c>
      <c r="C23" s="218">
        <v>45</v>
      </c>
      <c r="D23" s="218">
        <v>44</v>
      </c>
      <c r="E23" s="218">
        <v>42</v>
      </c>
      <c r="F23" s="218">
        <v>45</v>
      </c>
      <c r="G23" s="219">
        <f t="shared" si="0"/>
        <v>45.8</v>
      </c>
      <c r="H23" s="218">
        <f>B23-E23</f>
        <v>11</v>
      </c>
      <c r="J23" s="217">
        <f t="shared" si="1"/>
        <v>61.429333333333332</v>
      </c>
      <c r="K23" s="217">
        <f t="shared" si="2"/>
        <v>49.906666666666666</v>
      </c>
      <c r="L23" s="217">
        <f t="shared" si="3"/>
        <v>38.384</v>
      </c>
      <c r="N23" s="217">
        <f t="shared" si="4"/>
        <v>41.918666666666667</v>
      </c>
      <c r="O23" s="217">
        <f t="shared" si="5"/>
        <v>19.866666666666667</v>
      </c>
      <c r="P23" s="210">
        <f t="shared" si="6"/>
        <v>0</v>
      </c>
    </row>
    <row r="24" spans="1:17" ht="16">
      <c r="A24" s="218">
        <v>20</v>
      </c>
      <c r="B24" s="218">
        <v>60</v>
      </c>
      <c r="C24" s="218">
        <v>50</v>
      </c>
      <c r="D24" s="218">
        <v>41</v>
      </c>
      <c r="E24" s="218">
        <v>41</v>
      </c>
      <c r="F24" s="218">
        <v>50</v>
      </c>
      <c r="G24" s="219">
        <f t="shared" si="0"/>
        <v>48.4</v>
      </c>
      <c r="H24" s="218">
        <f>B24-D24</f>
        <v>19</v>
      </c>
      <c r="J24" s="217">
        <f t="shared" si="1"/>
        <v>61.429333333333332</v>
      </c>
      <c r="K24" s="217">
        <f t="shared" si="2"/>
        <v>49.906666666666666</v>
      </c>
      <c r="L24" s="217">
        <f t="shared" si="3"/>
        <v>38.384</v>
      </c>
      <c r="N24" s="217">
        <f t="shared" si="4"/>
        <v>41.918666666666667</v>
      </c>
      <c r="O24" s="217">
        <f t="shared" si="5"/>
        <v>19.866666666666667</v>
      </c>
      <c r="P24" s="210">
        <f t="shared" si="6"/>
        <v>0</v>
      </c>
    </row>
    <row r="25" spans="1:17" ht="16">
      <c r="A25" s="218">
        <v>21</v>
      </c>
      <c r="B25" s="218">
        <v>48</v>
      </c>
      <c r="C25" s="218">
        <v>37</v>
      </c>
      <c r="D25" s="218">
        <v>48</v>
      </c>
      <c r="E25" s="218">
        <v>38</v>
      </c>
      <c r="F25" s="218">
        <v>36</v>
      </c>
      <c r="G25" s="219">
        <f t="shared" si="0"/>
        <v>41.4</v>
      </c>
      <c r="H25" s="218">
        <f>B25-F25</f>
        <v>12</v>
      </c>
      <c r="J25" s="217">
        <f t="shared" si="1"/>
        <v>61.429333333333332</v>
      </c>
      <c r="K25" s="217">
        <f t="shared" si="2"/>
        <v>49.906666666666666</v>
      </c>
      <c r="L25" s="217">
        <f t="shared" si="3"/>
        <v>38.384</v>
      </c>
      <c r="N25" s="217">
        <f t="shared" si="4"/>
        <v>41.918666666666667</v>
      </c>
      <c r="O25" s="217">
        <f t="shared" si="5"/>
        <v>19.866666666666667</v>
      </c>
      <c r="P25" s="210">
        <f t="shared" si="6"/>
        <v>0</v>
      </c>
    </row>
    <row r="26" spans="1:17" ht="16">
      <c r="A26" s="218">
        <v>22</v>
      </c>
      <c r="B26" s="218">
        <v>55</v>
      </c>
      <c r="C26" s="218">
        <v>40</v>
      </c>
      <c r="D26" s="218">
        <v>56</v>
      </c>
      <c r="E26" s="218">
        <v>49</v>
      </c>
      <c r="F26" s="218">
        <v>45</v>
      </c>
      <c r="G26" s="219">
        <f t="shared" si="0"/>
        <v>49</v>
      </c>
      <c r="H26" s="218">
        <f>D26-C26</f>
        <v>16</v>
      </c>
      <c r="J26" s="217">
        <f t="shared" si="1"/>
        <v>61.429333333333332</v>
      </c>
      <c r="K26" s="217">
        <f t="shared" si="2"/>
        <v>49.906666666666666</v>
      </c>
      <c r="L26" s="217">
        <f t="shared" si="3"/>
        <v>38.384</v>
      </c>
      <c r="N26" s="217">
        <f t="shared" si="4"/>
        <v>41.918666666666667</v>
      </c>
      <c r="O26" s="217">
        <f t="shared" si="5"/>
        <v>19.866666666666667</v>
      </c>
      <c r="P26" s="210">
        <f t="shared" si="6"/>
        <v>0</v>
      </c>
    </row>
    <row r="27" spans="1:17" ht="16">
      <c r="A27" s="218">
        <v>23</v>
      </c>
      <c r="B27" s="218">
        <v>47</v>
      </c>
      <c r="C27" s="218">
        <v>58</v>
      </c>
      <c r="D27" s="218">
        <v>70</v>
      </c>
      <c r="E27" s="218">
        <v>73</v>
      </c>
      <c r="F27" s="218">
        <v>48</v>
      </c>
      <c r="G27" s="219">
        <f t="shared" si="0"/>
        <v>59.2</v>
      </c>
      <c r="H27" s="218">
        <f>E27-B27</f>
        <v>26</v>
      </c>
      <c r="J27" s="217">
        <f t="shared" si="1"/>
        <v>61.429333333333332</v>
      </c>
      <c r="K27" s="217">
        <f t="shared" si="2"/>
        <v>49.906666666666666</v>
      </c>
      <c r="L27" s="217">
        <f t="shared" si="3"/>
        <v>38.384</v>
      </c>
      <c r="N27" s="217">
        <f t="shared" si="4"/>
        <v>41.918666666666667</v>
      </c>
      <c r="O27" s="217">
        <f t="shared" si="5"/>
        <v>19.866666666666667</v>
      </c>
      <c r="P27" s="210">
        <f t="shared" si="6"/>
        <v>0</v>
      </c>
    </row>
    <row r="28" spans="1:17" ht="16">
      <c r="A28" s="218">
        <v>24</v>
      </c>
      <c r="B28" s="218">
        <v>50</v>
      </c>
      <c r="C28" s="218">
        <v>50</v>
      </c>
      <c r="D28" s="218">
        <v>49</v>
      </c>
      <c r="E28" s="218">
        <v>51</v>
      </c>
      <c r="F28" s="218">
        <v>61</v>
      </c>
      <c r="G28" s="219">
        <f t="shared" si="0"/>
        <v>52.2</v>
      </c>
      <c r="H28" s="218">
        <f>F28-D28</f>
        <v>12</v>
      </c>
      <c r="J28" s="217">
        <f t="shared" si="1"/>
        <v>61.429333333333332</v>
      </c>
      <c r="K28" s="217">
        <f t="shared" si="2"/>
        <v>49.906666666666666</v>
      </c>
      <c r="L28" s="217">
        <f t="shared" si="3"/>
        <v>38.384</v>
      </c>
      <c r="N28" s="217">
        <f t="shared" si="4"/>
        <v>41.918666666666667</v>
      </c>
      <c r="O28" s="217">
        <f t="shared" si="5"/>
        <v>19.866666666666667</v>
      </c>
      <c r="P28" s="210">
        <f t="shared" si="6"/>
        <v>0</v>
      </c>
    </row>
    <row r="29" spans="1:17" ht="16">
      <c r="A29" s="218">
        <v>25</v>
      </c>
      <c r="B29" s="218">
        <v>51</v>
      </c>
      <c r="C29" s="218">
        <v>50</v>
      </c>
      <c r="D29" s="218">
        <v>51</v>
      </c>
      <c r="E29" s="218">
        <v>51</v>
      </c>
      <c r="F29" s="218">
        <v>62</v>
      </c>
      <c r="G29" s="219">
        <f t="shared" si="0"/>
        <v>53</v>
      </c>
      <c r="H29" s="218">
        <f>F29-C29</f>
        <v>12</v>
      </c>
      <c r="J29" s="217">
        <f t="shared" si="1"/>
        <v>61.429333333333332</v>
      </c>
      <c r="K29" s="217">
        <f t="shared" si="2"/>
        <v>49.906666666666666</v>
      </c>
      <c r="L29" s="217">
        <f t="shared" si="3"/>
        <v>38.384</v>
      </c>
      <c r="N29" s="217">
        <f t="shared" si="4"/>
        <v>41.918666666666667</v>
      </c>
      <c r="O29" s="217">
        <f t="shared" si="5"/>
        <v>19.866666666666667</v>
      </c>
      <c r="P29" s="210">
        <f t="shared" si="6"/>
        <v>0</v>
      </c>
    </row>
    <row r="30" spans="1:17" ht="16">
      <c r="A30" s="218">
        <v>26</v>
      </c>
      <c r="B30" s="218">
        <v>48</v>
      </c>
      <c r="C30" s="218">
        <v>52</v>
      </c>
      <c r="D30" s="218">
        <v>39</v>
      </c>
      <c r="E30" s="218">
        <v>57</v>
      </c>
      <c r="F30" s="218">
        <v>61</v>
      </c>
      <c r="G30" s="219">
        <f t="shared" si="0"/>
        <v>51.4</v>
      </c>
      <c r="H30" s="218">
        <f>F30-D30</f>
        <v>22</v>
      </c>
      <c r="J30" s="217">
        <f t="shared" si="1"/>
        <v>61.429333333333332</v>
      </c>
      <c r="K30" s="217">
        <f t="shared" si="2"/>
        <v>49.906666666666666</v>
      </c>
      <c r="L30" s="217">
        <f t="shared" si="3"/>
        <v>38.384</v>
      </c>
      <c r="N30" s="217">
        <f t="shared" si="4"/>
        <v>41.918666666666667</v>
      </c>
      <c r="O30" s="217">
        <f t="shared" si="5"/>
        <v>19.866666666666667</v>
      </c>
      <c r="P30" s="210">
        <f t="shared" si="6"/>
        <v>0</v>
      </c>
    </row>
    <row r="31" spans="1:17" ht="16">
      <c r="A31" s="218">
        <v>27</v>
      </c>
      <c r="B31" s="218">
        <v>35</v>
      </c>
      <c r="C31" s="218">
        <v>53</v>
      </c>
      <c r="D31" s="218">
        <v>48</v>
      </c>
      <c r="E31" s="218">
        <v>46</v>
      </c>
      <c r="F31" s="218">
        <v>56</v>
      </c>
      <c r="G31" s="219">
        <f t="shared" si="0"/>
        <v>47.6</v>
      </c>
      <c r="H31" s="218">
        <f>F31-B31</f>
        <v>21</v>
      </c>
      <c r="J31" s="217">
        <f t="shared" si="1"/>
        <v>61.429333333333332</v>
      </c>
      <c r="K31" s="217">
        <f t="shared" si="2"/>
        <v>49.906666666666666</v>
      </c>
      <c r="L31" s="217">
        <f t="shared" si="3"/>
        <v>38.384</v>
      </c>
      <c r="N31" s="217">
        <f t="shared" si="4"/>
        <v>41.918666666666667</v>
      </c>
      <c r="O31" s="217">
        <f t="shared" si="5"/>
        <v>19.866666666666667</v>
      </c>
      <c r="P31" s="210">
        <f t="shared" si="6"/>
        <v>0</v>
      </c>
    </row>
    <row r="32" spans="1:17" ht="16">
      <c r="A32" s="218">
        <v>28</v>
      </c>
      <c r="B32" s="218">
        <v>63</v>
      </c>
      <c r="C32" s="218">
        <v>49</v>
      </c>
      <c r="D32" s="218">
        <v>50</v>
      </c>
      <c r="E32" s="218">
        <v>45</v>
      </c>
      <c r="F32" s="218">
        <v>53</v>
      </c>
      <c r="G32" s="219">
        <f t="shared" si="0"/>
        <v>52</v>
      </c>
      <c r="H32" s="218">
        <f>B32-E32</f>
        <v>18</v>
      </c>
      <c r="J32" s="217">
        <f t="shared" si="1"/>
        <v>61.429333333333332</v>
      </c>
      <c r="K32" s="217">
        <f t="shared" si="2"/>
        <v>49.906666666666666</v>
      </c>
      <c r="L32" s="217">
        <f t="shared" si="3"/>
        <v>38.384</v>
      </c>
      <c r="N32" s="217">
        <f t="shared" si="4"/>
        <v>41.918666666666667</v>
      </c>
      <c r="O32" s="217">
        <f t="shared" si="5"/>
        <v>19.866666666666667</v>
      </c>
      <c r="P32" s="210">
        <f t="shared" si="6"/>
        <v>0</v>
      </c>
    </row>
    <row r="33" spans="1:16" ht="16">
      <c r="A33" s="218">
        <v>29</v>
      </c>
      <c r="B33" s="218">
        <v>57</v>
      </c>
      <c r="C33" s="218">
        <v>58</v>
      </c>
      <c r="D33" s="218">
        <v>51</v>
      </c>
      <c r="E33" s="218">
        <v>52</v>
      </c>
      <c r="F33" s="218">
        <v>61</v>
      </c>
      <c r="G33" s="219">
        <f t="shared" si="0"/>
        <v>55.8</v>
      </c>
      <c r="H33" s="218">
        <f>C33-D33</f>
        <v>7</v>
      </c>
      <c r="J33" s="217">
        <f t="shared" si="1"/>
        <v>61.429333333333332</v>
      </c>
      <c r="K33" s="217">
        <f t="shared" si="2"/>
        <v>49.906666666666666</v>
      </c>
      <c r="L33" s="217">
        <f t="shared" si="3"/>
        <v>38.384</v>
      </c>
      <c r="N33" s="217">
        <f t="shared" si="4"/>
        <v>41.918666666666667</v>
      </c>
      <c r="O33" s="217">
        <f t="shared" si="5"/>
        <v>19.866666666666667</v>
      </c>
      <c r="P33" s="210">
        <f t="shared" si="6"/>
        <v>0</v>
      </c>
    </row>
    <row r="34" spans="1:16" ht="16">
      <c r="A34" s="218">
        <v>30</v>
      </c>
      <c r="B34" s="218">
        <v>45</v>
      </c>
      <c r="C34" s="218">
        <v>38</v>
      </c>
      <c r="D34" s="218">
        <v>46</v>
      </c>
      <c r="E34" s="218">
        <v>54</v>
      </c>
      <c r="F34" s="218">
        <v>52</v>
      </c>
      <c r="G34" s="219">
        <f t="shared" si="0"/>
        <v>47</v>
      </c>
      <c r="H34" s="218">
        <f>E34-C34</f>
        <v>16</v>
      </c>
      <c r="J34" s="217">
        <f t="shared" si="1"/>
        <v>61.429333333333332</v>
      </c>
      <c r="K34" s="217">
        <f t="shared" si="2"/>
        <v>49.906666666666666</v>
      </c>
      <c r="L34" s="217">
        <f t="shared" si="3"/>
        <v>38.384</v>
      </c>
      <c r="N34" s="217">
        <f t="shared" si="4"/>
        <v>41.918666666666667</v>
      </c>
      <c r="O34" s="217">
        <f t="shared" si="5"/>
        <v>19.866666666666667</v>
      </c>
      <c r="P34" s="210">
        <f t="shared" si="6"/>
        <v>0</v>
      </c>
    </row>
    <row r="35" spans="1:16">
      <c r="F35" s="214" t="s">
        <v>425</v>
      </c>
      <c r="G35" s="215">
        <f>AVERAGE(G5:G34)</f>
        <v>49.906666666666666</v>
      </c>
      <c r="H35" s="215">
        <f>AVERAGE(H5:H34)</f>
        <v>19.866666666666667</v>
      </c>
      <c r="J35" s="210"/>
    </row>
    <row r="36" spans="1:16">
      <c r="G36" s="210" t="s">
        <v>361</v>
      </c>
      <c r="H36" s="210">
        <v>0.57999999999999996</v>
      </c>
      <c r="J36" s="516" t="s">
        <v>159</v>
      </c>
      <c r="K36" s="516"/>
      <c r="L36" s="516"/>
    </row>
    <row r="37" spans="1:16" ht="17">
      <c r="G37" s="210" t="s">
        <v>364</v>
      </c>
      <c r="H37" s="210">
        <v>2.11</v>
      </c>
      <c r="J37" s="218" t="s">
        <v>424</v>
      </c>
      <c r="K37" s="218" t="s">
        <v>412</v>
      </c>
      <c r="L37" s="218" t="s">
        <v>423</v>
      </c>
    </row>
    <row r="38" spans="1:16">
      <c r="G38" s="210" t="s">
        <v>367</v>
      </c>
      <c r="H38" s="210">
        <v>0</v>
      </c>
      <c r="J38" s="210">
        <f>K38-3</f>
        <v>47</v>
      </c>
      <c r="K38" s="210">
        <v>50</v>
      </c>
      <c r="L38" s="210">
        <f>K38+3</f>
        <v>53</v>
      </c>
    </row>
    <row r="39" spans="1:16">
      <c r="G39" s="210" t="s">
        <v>333</v>
      </c>
      <c r="H39" s="210">
        <v>2.33</v>
      </c>
      <c r="J39" s="210"/>
    </row>
    <row r="40" spans="1:16">
      <c r="G40" s="210" t="s">
        <v>422</v>
      </c>
      <c r="H40" s="217">
        <f>H35/H39</f>
        <v>8.5264663805436332</v>
      </c>
      <c r="J40" s="210"/>
    </row>
    <row r="41" spans="1:16">
      <c r="J41" s="210"/>
    </row>
    <row r="42" spans="1:16">
      <c r="G42" s="214" t="s">
        <v>331</v>
      </c>
      <c r="H42" s="213">
        <f>(L38-J38)/(6*H40)</f>
        <v>0.11728187919463087</v>
      </c>
      <c r="J42" s="210"/>
    </row>
    <row r="43" spans="1:16">
      <c r="G43" s="214" t="s">
        <v>330</v>
      </c>
      <c r="H43" s="216">
        <f>(L38-G35)/(3*H40)</f>
        <v>0.12093064876957496</v>
      </c>
      <c r="I43" s="213">
        <f>(G35-J38)/(3*H40)</f>
        <v>0.11363310961968678</v>
      </c>
      <c r="J43" s="210"/>
    </row>
    <row r="44" spans="1:16">
      <c r="G44" s="214" t="s">
        <v>328</v>
      </c>
      <c r="H44" s="217">
        <f>POWER(H40,2)</f>
        <v>72.700628938540845</v>
      </c>
      <c r="I44" s="216">
        <f>POWER(K38-G35,2)</f>
        <v>8.7111111111111816E-3</v>
      </c>
      <c r="J44" s="215">
        <f>SQRT(H44+I44)</f>
        <v>8.526977192982983</v>
      </c>
    </row>
    <row r="45" spans="1:16">
      <c r="G45" s="214" t="s">
        <v>329</v>
      </c>
      <c r="H45" s="213">
        <f>(L38-J38)/(6*J44)</f>
        <v>0.11727485337042061</v>
      </c>
      <c r="J45" s="210"/>
    </row>
    <row r="46" spans="1:16">
      <c r="G46" s="212" t="s">
        <v>421</v>
      </c>
      <c r="J46" s="210"/>
    </row>
    <row r="47" spans="1:16">
      <c r="G47" s="517" t="s">
        <v>420</v>
      </c>
      <c r="H47" s="517"/>
      <c r="I47" s="517"/>
      <c r="J47" s="517"/>
      <c r="K47" s="517"/>
      <c r="L47" s="517"/>
    </row>
    <row r="48" spans="1:16">
      <c r="G48" s="517"/>
      <c r="H48" s="517"/>
      <c r="I48" s="517"/>
      <c r="J48" s="517"/>
      <c r="K48" s="517"/>
      <c r="L48" s="517"/>
    </row>
    <row r="49" spans="7:12">
      <c r="G49" s="517"/>
      <c r="H49" s="517"/>
      <c r="I49" s="517"/>
      <c r="J49" s="517"/>
      <c r="K49" s="517"/>
      <c r="L49" s="517"/>
    </row>
    <row r="50" spans="7:12">
      <c r="J50" s="210"/>
    </row>
    <row r="51" spans="7:12">
      <c r="J51" s="210"/>
    </row>
    <row r="52" spans="7:12">
      <c r="J52" s="210"/>
    </row>
    <row r="53" spans="7:12">
      <c r="J53" s="210"/>
    </row>
    <row r="54" spans="7:12">
      <c r="J54" s="210"/>
    </row>
    <row r="55" spans="7:12">
      <c r="J55" s="210"/>
    </row>
    <row r="56" spans="7:12">
      <c r="J56" s="210"/>
    </row>
    <row r="57" spans="7:12">
      <c r="J57" s="210"/>
    </row>
    <row r="58" spans="7:12">
      <c r="J58" s="210"/>
    </row>
    <row r="59" spans="7:12">
      <c r="J59" s="210"/>
    </row>
    <row r="60" spans="7:12">
      <c r="J60" s="210"/>
    </row>
    <row r="61" spans="7:12">
      <c r="J61" s="210"/>
    </row>
    <row r="62" spans="7:12">
      <c r="J62" s="210"/>
    </row>
    <row r="63" spans="7:12">
      <c r="J63" s="210"/>
    </row>
    <row r="64" spans="7:12">
      <c r="J64" s="210"/>
    </row>
    <row r="65" spans="10:10">
      <c r="J65" s="210"/>
    </row>
    <row r="66" spans="10:10">
      <c r="J66" s="210"/>
    </row>
    <row r="67" spans="10:10">
      <c r="J67" s="210"/>
    </row>
    <row r="68" spans="10:10">
      <c r="J68" s="210"/>
    </row>
    <row r="69" spans="10:10">
      <c r="J69" s="210"/>
    </row>
    <row r="70" spans="10:10">
      <c r="J70" s="210"/>
    </row>
    <row r="71" spans="10:10">
      <c r="J71" s="210"/>
    </row>
    <row r="72" spans="10:10">
      <c r="J72" s="210"/>
    </row>
    <row r="73" spans="10:10">
      <c r="J73" s="210"/>
    </row>
    <row r="74" spans="10:10">
      <c r="J74" s="210"/>
    </row>
    <row r="75" spans="10:10">
      <c r="J75" s="210"/>
    </row>
    <row r="76" spans="10:10">
      <c r="J76" s="210"/>
    </row>
    <row r="77" spans="10:10">
      <c r="J77" s="210"/>
    </row>
    <row r="78" spans="10:10">
      <c r="J78" s="210"/>
    </row>
    <row r="79" spans="10:10">
      <c r="J79" s="210"/>
    </row>
    <row r="80" spans="10:10">
      <c r="J80" s="210"/>
    </row>
    <row r="81" spans="10:10">
      <c r="J81" s="210"/>
    </row>
    <row r="82" spans="10:10">
      <c r="J82" s="210"/>
    </row>
    <row r="83" spans="10:10">
      <c r="J83" s="210"/>
    </row>
    <row r="84" spans="10:10">
      <c r="J84" s="210"/>
    </row>
    <row r="85" spans="10:10">
      <c r="J85" s="210"/>
    </row>
    <row r="86" spans="10:10">
      <c r="J86" s="210"/>
    </row>
    <row r="87" spans="10:10">
      <c r="J87" s="210"/>
    </row>
    <row r="88" spans="10:10">
      <c r="J88" s="210"/>
    </row>
    <row r="89" spans="10:10">
      <c r="J89" s="210"/>
    </row>
    <row r="90" spans="10:10">
      <c r="J90" s="210"/>
    </row>
    <row r="91" spans="10:10">
      <c r="J91" s="210"/>
    </row>
    <row r="92" spans="10:10">
      <c r="J92" s="210"/>
    </row>
    <row r="93" spans="10:10">
      <c r="J93" s="210"/>
    </row>
    <row r="94" spans="10:10">
      <c r="J94" s="210"/>
    </row>
    <row r="95" spans="10:10">
      <c r="J95" s="210"/>
    </row>
    <row r="96" spans="10:10">
      <c r="J96" s="210"/>
    </row>
    <row r="97" spans="10:10">
      <c r="J97" s="210"/>
    </row>
    <row r="98" spans="10:10">
      <c r="J98" s="210"/>
    </row>
    <row r="99" spans="10:10">
      <c r="J99" s="210"/>
    </row>
    <row r="100" spans="10:10">
      <c r="J100" s="210"/>
    </row>
    <row r="101" spans="10:10">
      <c r="J101" s="210"/>
    </row>
    <row r="102" spans="10:10">
      <c r="J102" s="210"/>
    </row>
    <row r="103" spans="10:10">
      <c r="J103" s="210"/>
    </row>
    <row r="104" spans="10:10">
      <c r="J104" s="210"/>
    </row>
    <row r="105" spans="10:10">
      <c r="J105" s="210"/>
    </row>
    <row r="106" spans="10:10">
      <c r="J106" s="210"/>
    </row>
    <row r="107" spans="10:10">
      <c r="J107" s="210"/>
    </row>
    <row r="108" spans="10:10">
      <c r="J108" s="210"/>
    </row>
    <row r="109" spans="10:10">
      <c r="J109" s="210"/>
    </row>
    <row r="110" spans="10:10">
      <c r="J110" s="210"/>
    </row>
    <row r="111" spans="10:10">
      <c r="J111" s="210"/>
    </row>
    <row r="112" spans="10:10">
      <c r="J112" s="210"/>
    </row>
    <row r="113" spans="10:10">
      <c r="J113" s="210"/>
    </row>
    <row r="114" spans="10:10">
      <c r="J114" s="210"/>
    </row>
    <row r="115" spans="10:10">
      <c r="J115" s="210"/>
    </row>
    <row r="116" spans="10:10">
      <c r="J116" s="210"/>
    </row>
    <row r="117" spans="10:10">
      <c r="J117" s="210"/>
    </row>
    <row r="118" spans="10:10">
      <c r="J118" s="210"/>
    </row>
    <row r="119" spans="10:10">
      <c r="J119" s="210"/>
    </row>
    <row r="120" spans="10:10">
      <c r="J120" s="210"/>
    </row>
    <row r="121" spans="10:10">
      <c r="J121" s="210"/>
    </row>
    <row r="122" spans="10:10">
      <c r="J122" s="210"/>
    </row>
    <row r="123" spans="10:10">
      <c r="J123" s="210"/>
    </row>
    <row r="124" spans="10:10">
      <c r="J124" s="210"/>
    </row>
    <row r="125" spans="10:10">
      <c r="J125" s="210"/>
    </row>
    <row r="126" spans="10:10">
      <c r="J126" s="210"/>
    </row>
    <row r="127" spans="10:10">
      <c r="J127" s="210"/>
    </row>
    <row r="128" spans="10:10">
      <c r="J128" s="210"/>
    </row>
    <row r="129" spans="10:10">
      <c r="J129" s="210"/>
    </row>
    <row r="130" spans="10:10">
      <c r="J130" s="210"/>
    </row>
    <row r="131" spans="10:10">
      <c r="J131" s="210"/>
    </row>
    <row r="132" spans="10:10">
      <c r="J132" s="210"/>
    </row>
    <row r="133" spans="10:10">
      <c r="J133" s="210"/>
    </row>
    <row r="134" spans="10:10">
      <c r="J134" s="210"/>
    </row>
    <row r="135" spans="10:10">
      <c r="J135" s="210"/>
    </row>
    <row r="136" spans="10:10">
      <c r="J136" s="210"/>
    </row>
    <row r="137" spans="10:10">
      <c r="J137" s="210"/>
    </row>
    <row r="138" spans="10:10">
      <c r="J138" s="210"/>
    </row>
    <row r="139" spans="10:10">
      <c r="J139" s="210"/>
    </row>
    <row r="140" spans="10:10">
      <c r="J140" s="210"/>
    </row>
    <row r="141" spans="10:10">
      <c r="J141" s="210"/>
    </row>
    <row r="142" spans="10:10">
      <c r="J142" s="210"/>
    </row>
    <row r="143" spans="10:10">
      <c r="J143" s="210"/>
    </row>
    <row r="144" spans="10:10">
      <c r="J144" s="210"/>
    </row>
    <row r="145" spans="10:10">
      <c r="J145" s="210"/>
    </row>
    <row r="146" spans="10:10">
      <c r="J146" s="210"/>
    </row>
    <row r="147" spans="10:10">
      <c r="J147" s="210"/>
    </row>
    <row r="148" spans="10:10">
      <c r="J148" s="210"/>
    </row>
    <row r="149" spans="10:10">
      <c r="J149" s="210"/>
    </row>
    <row r="150" spans="10:10">
      <c r="J150" s="210"/>
    </row>
    <row r="151" spans="10:10">
      <c r="J151" s="210"/>
    </row>
    <row r="152" spans="10:10">
      <c r="J152" s="210"/>
    </row>
    <row r="153" spans="10:10">
      <c r="J153" s="210"/>
    </row>
    <row r="154" spans="10:10">
      <c r="J154" s="210"/>
    </row>
    <row r="155" spans="10:10">
      <c r="J155" s="210"/>
    </row>
    <row r="156" spans="10:10">
      <c r="J156" s="210"/>
    </row>
    <row r="157" spans="10:10">
      <c r="J157" s="210"/>
    </row>
    <row r="158" spans="10:10">
      <c r="J158" s="210"/>
    </row>
    <row r="159" spans="10:10">
      <c r="J159" s="210"/>
    </row>
    <row r="160" spans="10:10">
      <c r="J160" s="210"/>
    </row>
    <row r="161" spans="10:10">
      <c r="J161" s="210"/>
    </row>
    <row r="162" spans="10:10">
      <c r="J162" s="210"/>
    </row>
    <row r="163" spans="10:10">
      <c r="J163" s="210"/>
    </row>
    <row r="164" spans="10:10">
      <c r="J164" s="210"/>
    </row>
    <row r="165" spans="10:10">
      <c r="J165" s="210"/>
    </row>
    <row r="166" spans="10:10">
      <c r="J166" s="210"/>
    </row>
    <row r="167" spans="10:10">
      <c r="J167" s="210"/>
    </row>
    <row r="168" spans="10:10">
      <c r="J168" s="210"/>
    </row>
    <row r="169" spans="10:10">
      <c r="J169" s="210"/>
    </row>
    <row r="170" spans="10:10">
      <c r="J170" s="210"/>
    </row>
    <row r="171" spans="10:10">
      <c r="J171" s="210"/>
    </row>
    <row r="172" spans="10:10">
      <c r="J172" s="210"/>
    </row>
    <row r="173" spans="10:10">
      <c r="J173" s="210"/>
    </row>
    <row r="174" spans="10:10">
      <c r="J174" s="210"/>
    </row>
    <row r="175" spans="10:10">
      <c r="J175" s="210"/>
    </row>
    <row r="176" spans="10:10">
      <c r="J176" s="210"/>
    </row>
    <row r="177" spans="10:10">
      <c r="J177" s="210"/>
    </row>
    <row r="178" spans="10:10">
      <c r="J178" s="210"/>
    </row>
    <row r="179" spans="10:10">
      <c r="J179" s="210"/>
    </row>
    <row r="180" spans="10:10">
      <c r="J180" s="210"/>
    </row>
    <row r="181" spans="10:10">
      <c r="J181" s="210"/>
    </row>
    <row r="182" spans="10:10">
      <c r="J182" s="210"/>
    </row>
    <row r="183" spans="10:10">
      <c r="J183" s="210"/>
    </row>
    <row r="184" spans="10:10">
      <c r="J184" s="210"/>
    </row>
    <row r="185" spans="10:10">
      <c r="J185" s="210"/>
    </row>
    <row r="186" spans="10:10">
      <c r="J186" s="210"/>
    </row>
    <row r="187" spans="10:10">
      <c r="J187" s="210"/>
    </row>
    <row r="188" spans="10:10">
      <c r="J188" s="210"/>
    </row>
    <row r="189" spans="10:10">
      <c r="J189" s="210"/>
    </row>
    <row r="190" spans="10:10">
      <c r="J190" s="210"/>
    </row>
    <row r="191" spans="10:10">
      <c r="J191" s="210"/>
    </row>
    <row r="192" spans="10:10">
      <c r="J192" s="210"/>
    </row>
    <row r="193" spans="10:10">
      <c r="J193" s="210"/>
    </row>
    <row r="194" spans="10:10">
      <c r="J194" s="210"/>
    </row>
    <row r="195" spans="10:10">
      <c r="J195" s="210"/>
    </row>
    <row r="196" spans="10:10">
      <c r="J196" s="210"/>
    </row>
    <row r="197" spans="10:10">
      <c r="J197" s="210"/>
    </row>
    <row r="198" spans="10:10">
      <c r="J198" s="210"/>
    </row>
    <row r="199" spans="10:10">
      <c r="J199" s="210"/>
    </row>
    <row r="200" spans="10:10">
      <c r="J200" s="210"/>
    </row>
    <row r="201" spans="10:10">
      <c r="J201" s="210"/>
    </row>
    <row r="202" spans="10:10">
      <c r="J202" s="210"/>
    </row>
    <row r="203" spans="10:10">
      <c r="J203" s="210"/>
    </row>
    <row r="204" spans="10:10">
      <c r="J204" s="210"/>
    </row>
    <row r="205" spans="10:10">
      <c r="J205" s="210"/>
    </row>
    <row r="206" spans="10:10">
      <c r="J206" s="210"/>
    </row>
    <row r="207" spans="10:10">
      <c r="J207" s="210"/>
    </row>
    <row r="208" spans="10:10">
      <c r="J208" s="210"/>
    </row>
    <row r="209" spans="10:10">
      <c r="J209" s="210"/>
    </row>
    <row r="210" spans="10:10">
      <c r="J210" s="210"/>
    </row>
    <row r="211" spans="10:10">
      <c r="J211" s="210"/>
    </row>
    <row r="212" spans="10:10">
      <c r="J212" s="210"/>
    </row>
    <row r="213" spans="10:10">
      <c r="J213" s="210"/>
    </row>
    <row r="214" spans="10:10">
      <c r="J214" s="210"/>
    </row>
    <row r="215" spans="10:10">
      <c r="J215" s="210"/>
    </row>
    <row r="216" spans="10:10">
      <c r="J216" s="210"/>
    </row>
  </sheetData>
  <mergeCells count="4">
    <mergeCell ref="J3:L3"/>
    <mergeCell ref="N3:P3"/>
    <mergeCell ref="J36:L36"/>
    <mergeCell ref="G47:L49"/>
  </mergeCells>
  <pageMargins left="0.75" right="0.75" top="1" bottom="1" header="0.5" footer="0.5"/>
  <pageSetup paperSize="9"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65239-D031-484B-9A1F-BC26CCEBF1E8}">
  <dimension ref="A1:N48"/>
  <sheetViews>
    <sheetView zoomScaleNormal="100" workbookViewId="0">
      <selection activeCell="N32" sqref="N32"/>
    </sheetView>
  </sheetViews>
  <sheetFormatPr baseColWidth="10" defaultRowHeight="13"/>
  <cols>
    <col min="1" max="1" width="15.1640625" style="1" customWidth="1"/>
    <col min="2" max="2" width="17.1640625" style="1" bestFit="1" customWidth="1"/>
    <col min="3" max="3" width="18.33203125" style="1" bestFit="1" customWidth="1"/>
    <col min="4" max="4" width="10" style="1" bestFit="1" customWidth="1"/>
    <col min="5" max="256" width="10.83203125" style="1"/>
    <col min="257" max="257" width="15.1640625" style="1" customWidth="1"/>
    <col min="258" max="258" width="17.1640625" style="1" bestFit="1" customWidth="1"/>
    <col min="259" max="259" width="18.33203125" style="1" bestFit="1" customWidth="1"/>
    <col min="260" max="260" width="10" style="1" bestFit="1" customWidth="1"/>
    <col min="261" max="512" width="10.83203125" style="1"/>
    <col min="513" max="513" width="15.1640625" style="1" customWidth="1"/>
    <col min="514" max="514" width="17.1640625" style="1" bestFit="1" customWidth="1"/>
    <col min="515" max="515" width="18.33203125" style="1" bestFit="1" customWidth="1"/>
    <col min="516" max="516" width="10" style="1" bestFit="1" customWidth="1"/>
    <col min="517" max="768" width="10.83203125" style="1"/>
    <col min="769" max="769" width="15.1640625" style="1" customWidth="1"/>
    <col min="770" max="770" width="17.1640625" style="1" bestFit="1" customWidth="1"/>
    <col min="771" max="771" width="18.33203125" style="1" bestFit="1" customWidth="1"/>
    <col min="772" max="772" width="10" style="1" bestFit="1" customWidth="1"/>
    <col min="773" max="1024" width="10.83203125" style="1"/>
    <col min="1025" max="1025" width="15.1640625" style="1" customWidth="1"/>
    <col min="1026" max="1026" width="17.1640625" style="1" bestFit="1" customWidth="1"/>
    <col min="1027" max="1027" width="18.33203125" style="1" bestFit="1" customWidth="1"/>
    <col min="1028" max="1028" width="10" style="1" bestFit="1" customWidth="1"/>
    <col min="1029" max="1280" width="10.83203125" style="1"/>
    <col min="1281" max="1281" width="15.1640625" style="1" customWidth="1"/>
    <col min="1282" max="1282" width="17.1640625" style="1" bestFit="1" customWidth="1"/>
    <col min="1283" max="1283" width="18.33203125" style="1" bestFit="1" customWidth="1"/>
    <col min="1284" max="1284" width="10" style="1" bestFit="1" customWidth="1"/>
    <col min="1285" max="1536" width="10.83203125" style="1"/>
    <col min="1537" max="1537" width="15.1640625" style="1" customWidth="1"/>
    <col min="1538" max="1538" width="17.1640625" style="1" bestFit="1" customWidth="1"/>
    <col min="1539" max="1539" width="18.33203125" style="1" bestFit="1" customWidth="1"/>
    <col min="1540" max="1540" width="10" style="1" bestFit="1" customWidth="1"/>
    <col min="1541" max="1792" width="10.83203125" style="1"/>
    <col min="1793" max="1793" width="15.1640625" style="1" customWidth="1"/>
    <col min="1794" max="1794" width="17.1640625" style="1" bestFit="1" customWidth="1"/>
    <col min="1795" max="1795" width="18.33203125" style="1" bestFit="1" customWidth="1"/>
    <col min="1796" max="1796" width="10" style="1" bestFit="1" customWidth="1"/>
    <col min="1797" max="2048" width="10.83203125" style="1"/>
    <col min="2049" max="2049" width="15.1640625" style="1" customWidth="1"/>
    <col min="2050" max="2050" width="17.1640625" style="1" bestFit="1" customWidth="1"/>
    <col min="2051" max="2051" width="18.33203125" style="1" bestFit="1" customWidth="1"/>
    <col min="2052" max="2052" width="10" style="1" bestFit="1" customWidth="1"/>
    <col min="2053" max="2304" width="10.83203125" style="1"/>
    <col min="2305" max="2305" width="15.1640625" style="1" customWidth="1"/>
    <col min="2306" max="2306" width="17.1640625" style="1" bestFit="1" customWidth="1"/>
    <col min="2307" max="2307" width="18.33203125" style="1" bestFit="1" customWidth="1"/>
    <col min="2308" max="2308" width="10" style="1" bestFit="1" customWidth="1"/>
    <col min="2309" max="2560" width="10.83203125" style="1"/>
    <col min="2561" max="2561" width="15.1640625" style="1" customWidth="1"/>
    <col min="2562" max="2562" width="17.1640625" style="1" bestFit="1" customWidth="1"/>
    <col min="2563" max="2563" width="18.33203125" style="1" bestFit="1" customWidth="1"/>
    <col min="2564" max="2564" width="10" style="1" bestFit="1" customWidth="1"/>
    <col min="2565" max="2816" width="10.83203125" style="1"/>
    <col min="2817" max="2817" width="15.1640625" style="1" customWidth="1"/>
    <col min="2818" max="2818" width="17.1640625" style="1" bestFit="1" customWidth="1"/>
    <col min="2819" max="2819" width="18.33203125" style="1" bestFit="1" customWidth="1"/>
    <col min="2820" max="2820" width="10" style="1" bestFit="1" customWidth="1"/>
    <col min="2821" max="3072" width="10.83203125" style="1"/>
    <col min="3073" max="3073" width="15.1640625" style="1" customWidth="1"/>
    <col min="3074" max="3074" width="17.1640625" style="1" bestFit="1" customWidth="1"/>
    <col min="3075" max="3075" width="18.33203125" style="1" bestFit="1" customWidth="1"/>
    <col min="3076" max="3076" width="10" style="1" bestFit="1" customWidth="1"/>
    <col min="3077" max="3328" width="10.83203125" style="1"/>
    <col min="3329" max="3329" width="15.1640625" style="1" customWidth="1"/>
    <col min="3330" max="3330" width="17.1640625" style="1" bestFit="1" customWidth="1"/>
    <col min="3331" max="3331" width="18.33203125" style="1" bestFit="1" customWidth="1"/>
    <col min="3332" max="3332" width="10" style="1" bestFit="1" customWidth="1"/>
    <col min="3333" max="3584" width="10.83203125" style="1"/>
    <col min="3585" max="3585" width="15.1640625" style="1" customWidth="1"/>
    <col min="3586" max="3586" width="17.1640625" style="1" bestFit="1" customWidth="1"/>
    <col min="3587" max="3587" width="18.33203125" style="1" bestFit="1" customWidth="1"/>
    <col min="3588" max="3588" width="10" style="1" bestFit="1" customWidth="1"/>
    <col min="3589" max="3840" width="10.83203125" style="1"/>
    <col min="3841" max="3841" width="15.1640625" style="1" customWidth="1"/>
    <col min="3842" max="3842" width="17.1640625" style="1" bestFit="1" customWidth="1"/>
    <col min="3843" max="3843" width="18.33203125" style="1" bestFit="1" customWidth="1"/>
    <col min="3844" max="3844" width="10" style="1" bestFit="1" customWidth="1"/>
    <col min="3845" max="4096" width="10.83203125" style="1"/>
    <col min="4097" max="4097" width="15.1640625" style="1" customWidth="1"/>
    <col min="4098" max="4098" width="17.1640625" style="1" bestFit="1" customWidth="1"/>
    <col min="4099" max="4099" width="18.33203125" style="1" bestFit="1" customWidth="1"/>
    <col min="4100" max="4100" width="10" style="1" bestFit="1" customWidth="1"/>
    <col min="4101" max="4352" width="10.83203125" style="1"/>
    <col min="4353" max="4353" width="15.1640625" style="1" customWidth="1"/>
    <col min="4354" max="4354" width="17.1640625" style="1" bestFit="1" customWidth="1"/>
    <col min="4355" max="4355" width="18.33203125" style="1" bestFit="1" customWidth="1"/>
    <col min="4356" max="4356" width="10" style="1" bestFit="1" customWidth="1"/>
    <col min="4357" max="4608" width="10.83203125" style="1"/>
    <col min="4609" max="4609" width="15.1640625" style="1" customWidth="1"/>
    <col min="4610" max="4610" width="17.1640625" style="1" bestFit="1" customWidth="1"/>
    <col min="4611" max="4611" width="18.33203125" style="1" bestFit="1" customWidth="1"/>
    <col min="4612" max="4612" width="10" style="1" bestFit="1" customWidth="1"/>
    <col min="4613" max="4864" width="10.83203125" style="1"/>
    <col min="4865" max="4865" width="15.1640625" style="1" customWidth="1"/>
    <col min="4866" max="4866" width="17.1640625" style="1" bestFit="1" customWidth="1"/>
    <col min="4867" max="4867" width="18.33203125" style="1" bestFit="1" customWidth="1"/>
    <col min="4868" max="4868" width="10" style="1" bestFit="1" customWidth="1"/>
    <col min="4869" max="5120" width="10.83203125" style="1"/>
    <col min="5121" max="5121" width="15.1640625" style="1" customWidth="1"/>
    <col min="5122" max="5122" width="17.1640625" style="1" bestFit="1" customWidth="1"/>
    <col min="5123" max="5123" width="18.33203125" style="1" bestFit="1" customWidth="1"/>
    <col min="5124" max="5124" width="10" style="1" bestFit="1" customWidth="1"/>
    <col min="5125" max="5376" width="10.83203125" style="1"/>
    <col min="5377" max="5377" width="15.1640625" style="1" customWidth="1"/>
    <col min="5378" max="5378" width="17.1640625" style="1" bestFit="1" customWidth="1"/>
    <col min="5379" max="5379" width="18.33203125" style="1" bestFit="1" customWidth="1"/>
    <col min="5380" max="5380" width="10" style="1" bestFit="1" customWidth="1"/>
    <col min="5381" max="5632" width="10.83203125" style="1"/>
    <col min="5633" max="5633" width="15.1640625" style="1" customWidth="1"/>
    <col min="5634" max="5634" width="17.1640625" style="1" bestFit="1" customWidth="1"/>
    <col min="5635" max="5635" width="18.33203125" style="1" bestFit="1" customWidth="1"/>
    <col min="5636" max="5636" width="10" style="1" bestFit="1" customWidth="1"/>
    <col min="5637" max="5888" width="10.83203125" style="1"/>
    <col min="5889" max="5889" width="15.1640625" style="1" customWidth="1"/>
    <col min="5890" max="5890" width="17.1640625" style="1" bestFit="1" customWidth="1"/>
    <col min="5891" max="5891" width="18.33203125" style="1" bestFit="1" customWidth="1"/>
    <col min="5892" max="5892" width="10" style="1" bestFit="1" customWidth="1"/>
    <col min="5893" max="6144" width="10.83203125" style="1"/>
    <col min="6145" max="6145" width="15.1640625" style="1" customWidth="1"/>
    <col min="6146" max="6146" width="17.1640625" style="1" bestFit="1" customWidth="1"/>
    <col min="6147" max="6147" width="18.33203125" style="1" bestFit="1" customWidth="1"/>
    <col min="6148" max="6148" width="10" style="1" bestFit="1" customWidth="1"/>
    <col min="6149" max="6400" width="10.83203125" style="1"/>
    <col min="6401" max="6401" width="15.1640625" style="1" customWidth="1"/>
    <col min="6402" max="6402" width="17.1640625" style="1" bestFit="1" customWidth="1"/>
    <col min="6403" max="6403" width="18.33203125" style="1" bestFit="1" customWidth="1"/>
    <col min="6404" max="6404" width="10" style="1" bestFit="1" customWidth="1"/>
    <col min="6405" max="6656" width="10.83203125" style="1"/>
    <col min="6657" max="6657" width="15.1640625" style="1" customWidth="1"/>
    <col min="6658" max="6658" width="17.1640625" style="1" bestFit="1" customWidth="1"/>
    <col min="6659" max="6659" width="18.33203125" style="1" bestFit="1" customWidth="1"/>
    <col min="6660" max="6660" width="10" style="1" bestFit="1" customWidth="1"/>
    <col min="6661" max="6912" width="10.83203125" style="1"/>
    <col min="6913" max="6913" width="15.1640625" style="1" customWidth="1"/>
    <col min="6914" max="6914" width="17.1640625" style="1" bestFit="1" customWidth="1"/>
    <col min="6915" max="6915" width="18.33203125" style="1" bestFit="1" customWidth="1"/>
    <col min="6916" max="6916" width="10" style="1" bestFit="1" customWidth="1"/>
    <col min="6917" max="7168" width="10.83203125" style="1"/>
    <col min="7169" max="7169" width="15.1640625" style="1" customWidth="1"/>
    <col min="7170" max="7170" width="17.1640625" style="1" bestFit="1" customWidth="1"/>
    <col min="7171" max="7171" width="18.33203125" style="1" bestFit="1" customWidth="1"/>
    <col min="7172" max="7172" width="10" style="1" bestFit="1" customWidth="1"/>
    <col min="7173" max="7424" width="10.83203125" style="1"/>
    <col min="7425" max="7425" width="15.1640625" style="1" customWidth="1"/>
    <col min="7426" max="7426" width="17.1640625" style="1" bestFit="1" customWidth="1"/>
    <col min="7427" max="7427" width="18.33203125" style="1" bestFit="1" customWidth="1"/>
    <col min="7428" max="7428" width="10" style="1" bestFit="1" customWidth="1"/>
    <col min="7429" max="7680" width="10.83203125" style="1"/>
    <col min="7681" max="7681" width="15.1640625" style="1" customWidth="1"/>
    <col min="7682" max="7682" width="17.1640625" style="1" bestFit="1" customWidth="1"/>
    <col min="7683" max="7683" width="18.33203125" style="1" bestFit="1" customWidth="1"/>
    <col min="7684" max="7684" width="10" style="1" bestFit="1" customWidth="1"/>
    <col min="7685" max="7936" width="10.83203125" style="1"/>
    <col min="7937" max="7937" width="15.1640625" style="1" customWidth="1"/>
    <col min="7938" max="7938" width="17.1640625" style="1" bestFit="1" customWidth="1"/>
    <col min="7939" max="7939" width="18.33203125" style="1" bestFit="1" customWidth="1"/>
    <col min="7940" max="7940" width="10" style="1" bestFit="1" customWidth="1"/>
    <col min="7941" max="8192" width="10.83203125" style="1"/>
    <col min="8193" max="8193" width="15.1640625" style="1" customWidth="1"/>
    <col min="8194" max="8194" width="17.1640625" style="1" bestFit="1" customWidth="1"/>
    <col min="8195" max="8195" width="18.33203125" style="1" bestFit="1" customWidth="1"/>
    <col min="8196" max="8196" width="10" style="1" bestFit="1" customWidth="1"/>
    <col min="8197" max="8448" width="10.83203125" style="1"/>
    <col min="8449" max="8449" width="15.1640625" style="1" customWidth="1"/>
    <col min="8450" max="8450" width="17.1640625" style="1" bestFit="1" customWidth="1"/>
    <col min="8451" max="8451" width="18.33203125" style="1" bestFit="1" customWidth="1"/>
    <col min="8452" max="8452" width="10" style="1" bestFit="1" customWidth="1"/>
    <col min="8453" max="8704" width="10.83203125" style="1"/>
    <col min="8705" max="8705" width="15.1640625" style="1" customWidth="1"/>
    <col min="8706" max="8706" width="17.1640625" style="1" bestFit="1" customWidth="1"/>
    <col min="8707" max="8707" width="18.33203125" style="1" bestFit="1" customWidth="1"/>
    <col min="8708" max="8708" width="10" style="1" bestFit="1" customWidth="1"/>
    <col min="8709" max="8960" width="10.83203125" style="1"/>
    <col min="8961" max="8961" width="15.1640625" style="1" customWidth="1"/>
    <col min="8962" max="8962" width="17.1640625" style="1" bestFit="1" customWidth="1"/>
    <col min="8963" max="8963" width="18.33203125" style="1" bestFit="1" customWidth="1"/>
    <col min="8964" max="8964" width="10" style="1" bestFit="1" customWidth="1"/>
    <col min="8965" max="9216" width="10.83203125" style="1"/>
    <col min="9217" max="9217" width="15.1640625" style="1" customWidth="1"/>
    <col min="9218" max="9218" width="17.1640625" style="1" bestFit="1" customWidth="1"/>
    <col min="9219" max="9219" width="18.33203125" style="1" bestFit="1" customWidth="1"/>
    <col min="9220" max="9220" width="10" style="1" bestFit="1" customWidth="1"/>
    <col min="9221" max="9472" width="10.83203125" style="1"/>
    <col min="9473" max="9473" width="15.1640625" style="1" customWidth="1"/>
    <col min="9474" max="9474" width="17.1640625" style="1" bestFit="1" customWidth="1"/>
    <col min="9475" max="9475" width="18.33203125" style="1" bestFit="1" customWidth="1"/>
    <col min="9476" max="9476" width="10" style="1" bestFit="1" customWidth="1"/>
    <col min="9477" max="9728" width="10.83203125" style="1"/>
    <col min="9729" max="9729" width="15.1640625" style="1" customWidth="1"/>
    <col min="9730" max="9730" width="17.1640625" style="1" bestFit="1" customWidth="1"/>
    <col min="9731" max="9731" width="18.33203125" style="1" bestFit="1" customWidth="1"/>
    <col min="9732" max="9732" width="10" style="1" bestFit="1" customWidth="1"/>
    <col min="9733" max="9984" width="10.83203125" style="1"/>
    <col min="9985" max="9985" width="15.1640625" style="1" customWidth="1"/>
    <col min="9986" max="9986" width="17.1640625" style="1" bestFit="1" customWidth="1"/>
    <col min="9987" max="9987" width="18.33203125" style="1" bestFit="1" customWidth="1"/>
    <col min="9988" max="9988" width="10" style="1" bestFit="1" customWidth="1"/>
    <col min="9989" max="10240" width="10.83203125" style="1"/>
    <col min="10241" max="10241" width="15.1640625" style="1" customWidth="1"/>
    <col min="10242" max="10242" width="17.1640625" style="1" bestFit="1" customWidth="1"/>
    <col min="10243" max="10243" width="18.33203125" style="1" bestFit="1" customWidth="1"/>
    <col min="10244" max="10244" width="10" style="1" bestFit="1" customWidth="1"/>
    <col min="10245" max="10496" width="10.83203125" style="1"/>
    <col min="10497" max="10497" width="15.1640625" style="1" customWidth="1"/>
    <col min="10498" max="10498" width="17.1640625" style="1" bestFit="1" customWidth="1"/>
    <col min="10499" max="10499" width="18.33203125" style="1" bestFit="1" customWidth="1"/>
    <col min="10500" max="10500" width="10" style="1" bestFit="1" customWidth="1"/>
    <col min="10501" max="10752" width="10.83203125" style="1"/>
    <col min="10753" max="10753" width="15.1640625" style="1" customWidth="1"/>
    <col min="10754" max="10754" width="17.1640625" style="1" bestFit="1" customWidth="1"/>
    <col min="10755" max="10755" width="18.33203125" style="1" bestFit="1" customWidth="1"/>
    <col min="10756" max="10756" width="10" style="1" bestFit="1" customWidth="1"/>
    <col min="10757" max="11008" width="10.83203125" style="1"/>
    <col min="11009" max="11009" width="15.1640625" style="1" customWidth="1"/>
    <col min="11010" max="11010" width="17.1640625" style="1" bestFit="1" customWidth="1"/>
    <col min="11011" max="11011" width="18.33203125" style="1" bestFit="1" customWidth="1"/>
    <col min="11012" max="11012" width="10" style="1" bestFit="1" customWidth="1"/>
    <col min="11013" max="11264" width="10.83203125" style="1"/>
    <col min="11265" max="11265" width="15.1640625" style="1" customWidth="1"/>
    <col min="11266" max="11266" width="17.1640625" style="1" bestFit="1" customWidth="1"/>
    <col min="11267" max="11267" width="18.33203125" style="1" bestFit="1" customWidth="1"/>
    <col min="11268" max="11268" width="10" style="1" bestFit="1" customWidth="1"/>
    <col min="11269" max="11520" width="10.83203125" style="1"/>
    <col min="11521" max="11521" width="15.1640625" style="1" customWidth="1"/>
    <col min="11522" max="11522" width="17.1640625" style="1" bestFit="1" customWidth="1"/>
    <col min="11523" max="11523" width="18.33203125" style="1" bestFit="1" customWidth="1"/>
    <col min="11524" max="11524" width="10" style="1" bestFit="1" customWidth="1"/>
    <col min="11525" max="11776" width="10.83203125" style="1"/>
    <col min="11777" max="11777" width="15.1640625" style="1" customWidth="1"/>
    <col min="11778" max="11778" width="17.1640625" style="1" bestFit="1" customWidth="1"/>
    <col min="11779" max="11779" width="18.33203125" style="1" bestFit="1" customWidth="1"/>
    <col min="11780" max="11780" width="10" style="1" bestFit="1" customWidth="1"/>
    <col min="11781" max="12032" width="10.83203125" style="1"/>
    <col min="12033" max="12033" width="15.1640625" style="1" customWidth="1"/>
    <col min="12034" max="12034" width="17.1640625" style="1" bestFit="1" customWidth="1"/>
    <col min="12035" max="12035" width="18.33203125" style="1" bestFit="1" customWidth="1"/>
    <col min="12036" max="12036" width="10" style="1" bestFit="1" customWidth="1"/>
    <col min="12037" max="12288" width="10.83203125" style="1"/>
    <col min="12289" max="12289" width="15.1640625" style="1" customWidth="1"/>
    <col min="12290" max="12290" width="17.1640625" style="1" bestFit="1" customWidth="1"/>
    <col min="12291" max="12291" width="18.33203125" style="1" bestFit="1" customWidth="1"/>
    <col min="12292" max="12292" width="10" style="1" bestFit="1" customWidth="1"/>
    <col min="12293" max="12544" width="10.83203125" style="1"/>
    <col min="12545" max="12545" width="15.1640625" style="1" customWidth="1"/>
    <col min="12546" max="12546" width="17.1640625" style="1" bestFit="1" customWidth="1"/>
    <col min="12547" max="12547" width="18.33203125" style="1" bestFit="1" customWidth="1"/>
    <col min="12548" max="12548" width="10" style="1" bestFit="1" customWidth="1"/>
    <col min="12549" max="12800" width="10.83203125" style="1"/>
    <col min="12801" max="12801" width="15.1640625" style="1" customWidth="1"/>
    <col min="12802" max="12802" width="17.1640625" style="1" bestFit="1" customWidth="1"/>
    <col min="12803" max="12803" width="18.33203125" style="1" bestFit="1" customWidth="1"/>
    <col min="12804" max="12804" width="10" style="1" bestFit="1" customWidth="1"/>
    <col min="12805" max="13056" width="10.83203125" style="1"/>
    <col min="13057" max="13057" width="15.1640625" style="1" customWidth="1"/>
    <col min="13058" max="13058" width="17.1640625" style="1" bestFit="1" customWidth="1"/>
    <col min="13059" max="13059" width="18.33203125" style="1" bestFit="1" customWidth="1"/>
    <col min="13060" max="13060" width="10" style="1" bestFit="1" customWidth="1"/>
    <col min="13061" max="13312" width="10.83203125" style="1"/>
    <col min="13313" max="13313" width="15.1640625" style="1" customWidth="1"/>
    <col min="13314" max="13314" width="17.1640625" style="1" bestFit="1" customWidth="1"/>
    <col min="13315" max="13315" width="18.33203125" style="1" bestFit="1" customWidth="1"/>
    <col min="13316" max="13316" width="10" style="1" bestFit="1" customWidth="1"/>
    <col min="13317" max="13568" width="10.83203125" style="1"/>
    <col min="13569" max="13569" width="15.1640625" style="1" customWidth="1"/>
    <col min="13570" max="13570" width="17.1640625" style="1" bestFit="1" customWidth="1"/>
    <col min="13571" max="13571" width="18.33203125" style="1" bestFit="1" customWidth="1"/>
    <col min="13572" max="13572" width="10" style="1" bestFit="1" customWidth="1"/>
    <col min="13573" max="13824" width="10.83203125" style="1"/>
    <col min="13825" max="13825" width="15.1640625" style="1" customWidth="1"/>
    <col min="13826" max="13826" width="17.1640625" style="1" bestFit="1" customWidth="1"/>
    <col min="13827" max="13827" width="18.33203125" style="1" bestFit="1" customWidth="1"/>
    <col min="13828" max="13828" width="10" style="1" bestFit="1" customWidth="1"/>
    <col min="13829" max="14080" width="10.83203125" style="1"/>
    <col min="14081" max="14081" width="15.1640625" style="1" customWidth="1"/>
    <col min="14082" max="14082" width="17.1640625" style="1" bestFit="1" customWidth="1"/>
    <col min="14083" max="14083" width="18.33203125" style="1" bestFit="1" customWidth="1"/>
    <col min="14084" max="14084" width="10" style="1" bestFit="1" customWidth="1"/>
    <col min="14085" max="14336" width="10.83203125" style="1"/>
    <col min="14337" max="14337" width="15.1640625" style="1" customWidth="1"/>
    <col min="14338" max="14338" width="17.1640625" style="1" bestFit="1" customWidth="1"/>
    <col min="14339" max="14339" width="18.33203125" style="1" bestFit="1" customWidth="1"/>
    <col min="14340" max="14340" width="10" style="1" bestFit="1" customWidth="1"/>
    <col min="14341" max="14592" width="10.83203125" style="1"/>
    <col min="14593" max="14593" width="15.1640625" style="1" customWidth="1"/>
    <col min="14594" max="14594" width="17.1640625" style="1" bestFit="1" customWidth="1"/>
    <col min="14595" max="14595" width="18.33203125" style="1" bestFit="1" customWidth="1"/>
    <col min="14596" max="14596" width="10" style="1" bestFit="1" customWidth="1"/>
    <col min="14597" max="14848" width="10.83203125" style="1"/>
    <col min="14849" max="14849" width="15.1640625" style="1" customWidth="1"/>
    <col min="14850" max="14850" width="17.1640625" style="1" bestFit="1" customWidth="1"/>
    <col min="14851" max="14851" width="18.33203125" style="1" bestFit="1" customWidth="1"/>
    <col min="14852" max="14852" width="10" style="1" bestFit="1" customWidth="1"/>
    <col min="14853" max="15104" width="10.83203125" style="1"/>
    <col min="15105" max="15105" width="15.1640625" style="1" customWidth="1"/>
    <col min="15106" max="15106" width="17.1640625" style="1" bestFit="1" customWidth="1"/>
    <col min="15107" max="15107" width="18.33203125" style="1" bestFit="1" customWidth="1"/>
    <col min="15108" max="15108" width="10" style="1" bestFit="1" customWidth="1"/>
    <col min="15109" max="15360" width="10.83203125" style="1"/>
    <col min="15361" max="15361" width="15.1640625" style="1" customWidth="1"/>
    <col min="15362" max="15362" width="17.1640625" style="1" bestFit="1" customWidth="1"/>
    <col min="15363" max="15363" width="18.33203125" style="1" bestFit="1" customWidth="1"/>
    <col min="15364" max="15364" width="10" style="1" bestFit="1" customWidth="1"/>
    <col min="15365" max="15616" width="10.83203125" style="1"/>
    <col min="15617" max="15617" width="15.1640625" style="1" customWidth="1"/>
    <col min="15618" max="15618" width="17.1640625" style="1" bestFit="1" customWidth="1"/>
    <col min="15619" max="15619" width="18.33203125" style="1" bestFit="1" customWidth="1"/>
    <col min="15620" max="15620" width="10" style="1" bestFit="1" customWidth="1"/>
    <col min="15621" max="15872" width="10.83203125" style="1"/>
    <col min="15873" max="15873" width="15.1640625" style="1" customWidth="1"/>
    <col min="15874" max="15874" width="17.1640625" style="1" bestFit="1" customWidth="1"/>
    <col min="15875" max="15875" width="18.33203125" style="1" bestFit="1" customWidth="1"/>
    <col min="15876" max="15876" width="10" style="1" bestFit="1" customWidth="1"/>
    <col min="15877" max="16128" width="10.83203125" style="1"/>
    <col min="16129" max="16129" width="15.1640625" style="1" customWidth="1"/>
    <col min="16130" max="16130" width="17.1640625" style="1" bestFit="1" customWidth="1"/>
    <col min="16131" max="16131" width="18.33203125" style="1" bestFit="1" customWidth="1"/>
    <col min="16132" max="16132" width="10" style="1" bestFit="1" customWidth="1"/>
    <col min="16133" max="16384" width="10.83203125" style="1"/>
  </cols>
  <sheetData>
    <row r="1" spans="1:14" ht="16">
      <c r="A1" s="14" t="s">
        <v>46</v>
      </c>
      <c r="B1" s="1">
        <v>0.01</v>
      </c>
      <c r="C1" s="1" t="s">
        <v>47</v>
      </c>
      <c r="D1" s="1">
        <v>7000</v>
      </c>
      <c r="F1" s="1" t="s">
        <v>48</v>
      </c>
      <c r="G1" s="1" t="s">
        <v>49</v>
      </c>
    </row>
    <row r="2" spans="1:14" ht="16">
      <c r="A2" s="14" t="s">
        <v>50</v>
      </c>
      <c r="B2" s="1">
        <v>0.05</v>
      </c>
      <c r="C2" s="1" t="s">
        <v>51</v>
      </c>
      <c r="D2" s="15">
        <v>0.7</v>
      </c>
      <c r="F2" s="1" t="s">
        <v>52</v>
      </c>
      <c r="G2" s="1" t="s">
        <v>53</v>
      </c>
    </row>
    <row r="3" spans="1:14" ht="16">
      <c r="A3" s="14" t="s">
        <v>0</v>
      </c>
      <c r="B3" s="16">
        <v>6.4999999999999997E-3</v>
      </c>
      <c r="C3" s="1" t="s">
        <v>54</v>
      </c>
      <c r="D3" s="15">
        <v>15</v>
      </c>
      <c r="F3" s="1" t="s">
        <v>48</v>
      </c>
      <c r="G3" s="17">
        <f>0.2/B3</f>
        <v>30.769230769230774</v>
      </c>
    </row>
    <row r="4" spans="1:14" ht="16">
      <c r="A4" s="14" t="s">
        <v>55</v>
      </c>
      <c r="B4" s="16">
        <v>0.03</v>
      </c>
      <c r="F4" s="1" t="s">
        <v>52</v>
      </c>
      <c r="G4" s="17">
        <f>10/B4</f>
        <v>333.33333333333337</v>
      </c>
    </row>
    <row r="5" spans="1:14" ht="15">
      <c r="F5" s="1" t="s">
        <v>56</v>
      </c>
      <c r="G5" s="17">
        <f>ABS(G3-G4)</f>
        <v>302.5641025641026</v>
      </c>
    </row>
    <row r="7" spans="1:14" ht="16">
      <c r="A7" s="14" t="s">
        <v>794</v>
      </c>
      <c r="B7" s="4" t="s">
        <v>14</v>
      </c>
      <c r="C7" s="17">
        <f>G5</f>
        <v>302.5641025641026</v>
      </c>
      <c r="D7" s="4" t="s">
        <v>15</v>
      </c>
      <c r="E7" s="4">
        <v>3</v>
      </c>
    </row>
    <row r="8" spans="1:14">
      <c r="B8" s="4" t="s">
        <v>16</v>
      </c>
      <c r="C8" s="4" t="s">
        <v>17</v>
      </c>
      <c r="D8" s="4" t="s">
        <v>18</v>
      </c>
      <c r="E8" s="4" t="s">
        <v>45</v>
      </c>
    </row>
    <row r="9" spans="1:14">
      <c r="B9" s="4">
        <v>1E-3</v>
      </c>
      <c r="C9" s="5">
        <f t="shared" ref="C9:C15" si="0">$C$7*B9</f>
        <v>0.3025641025641026</v>
      </c>
      <c r="D9" s="4">
        <v>0.999</v>
      </c>
      <c r="E9" s="18">
        <f t="shared" ref="E9:E15" si="1">B9*D9</f>
        <v>9.990000000000001E-4</v>
      </c>
    </row>
    <row r="10" spans="1:14">
      <c r="B10" s="4">
        <v>5.0000000000000001E-3</v>
      </c>
      <c r="C10" s="5">
        <f t="shared" si="0"/>
        <v>1.512820512820513</v>
      </c>
      <c r="D10" s="4">
        <v>0.97799999999999998</v>
      </c>
      <c r="E10" s="18">
        <f t="shared" si="1"/>
        <v>4.8900000000000002E-3</v>
      </c>
    </row>
    <row r="11" spans="1:14">
      <c r="B11" s="4">
        <v>0.01</v>
      </c>
      <c r="C11" s="5">
        <f t="shared" si="0"/>
        <v>3.025641025641026</v>
      </c>
      <c r="D11" s="4">
        <v>0.83899999999999997</v>
      </c>
      <c r="E11" s="18">
        <f t="shared" si="1"/>
        <v>8.3899999999999999E-3</v>
      </c>
      <c r="N11" s="298" t="s">
        <v>741</v>
      </c>
    </row>
    <row r="12" spans="1:14">
      <c r="B12" s="4">
        <v>0.02</v>
      </c>
      <c r="C12" s="5">
        <f t="shared" si="0"/>
        <v>6.051282051282052</v>
      </c>
      <c r="D12" s="4">
        <v>0.39500000000000002</v>
      </c>
      <c r="E12" s="18">
        <f t="shared" si="1"/>
        <v>7.9000000000000008E-3</v>
      </c>
    </row>
    <row r="13" spans="1:14">
      <c r="B13" s="4">
        <v>0.03</v>
      </c>
      <c r="C13" s="5">
        <f t="shared" si="0"/>
        <v>9.0769230769230784</v>
      </c>
      <c r="D13" s="4">
        <v>0.126</v>
      </c>
      <c r="E13" s="18">
        <f t="shared" si="1"/>
        <v>3.7799999999999999E-3</v>
      </c>
    </row>
    <row r="14" spans="1:14">
      <c r="B14" s="4">
        <v>0.04</v>
      </c>
      <c r="C14" s="5">
        <f t="shared" si="0"/>
        <v>12.102564102564104</v>
      </c>
      <c r="D14" s="4">
        <v>3.2000000000000001E-2</v>
      </c>
      <c r="E14" s="18">
        <f t="shared" si="1"/>
        <v>1.2800000000000001E-3</v>
      </c>
    </row>
    <row r="15" spans="1:14">
      <c r="B15" s="4">
        <v>0.05</v>
      </c>
      <c r="C15" s="5">
        <f t="shared" si="0"/>
        <v>15.128205128205131</v>
      </c>
      <c r="D15" s="11">
        <v>7.0000000000000001E-3</v>
      </c>
      <c r="E15" s="18">
        <f t="shared" si="1"/>
        <v>3.5000000000000005E-4</v>
      </c>
    </row>
    <row r="16" spans="1:14" ht="16">
      <c r="A16" s="14" t="s">
        <v>795</v>
      </c>
      <c r="B16" s="4"/>
      <c r="C16" s="4"/>
      <c r="D16" s="4"/>
      <c r="E16" s="4"/>
    </row>
    <row r="17" spans="1:14" ht="16">
      <c r="A17" s="14" t="s">
        <v>57</v>
      </c>
      <c r="B17" s="4" t="s">
        <v>58</v>
      </c>
      <c r="C17" s="5">
        <f>B4/B3</f>
        <v>4.6153846153846159</v>
      </c>
    </row>
    <row r="18" spans="1:14">
      <c r="B18" s="4" t="s">
        <v>14</v>
      </c>
      <c r="C18" s="17">
        <f>2.9/B3</f>
        <v>446.15384615384619</v>
      </c>
      <c r="D18" s="4" t="s">
        <v>15</v>
      </c>
      <c r="E18" s="4">
        <v>7</v>
      </c>
    </row>
    <row r="19" spans="1:14">
      <c r="B19" s="4" t="s">
        <v>18</v>
      </c>
      <c r="C19" s="4" t="s">
        <v>59</v>
      </c>
      <c r="D19" s="4" t="s">
        <v>16</v>
      </c>
      <c r="E19" s="4" t="s">
        <v>45</v>
      </c>
    </row>
    <row r="20" spans="1:14">
      <c r="B20" s="11">
        <v>0.995</v>
      </c>
      <c r="C20" s="4">
        <v>2.57</v>
      </c>
      <c r="D20" s="5">
        <f>C20/$C$18</f>
        <v>5.7603448275862059E-3</v>
      </c>
      <c r="E20" s="18">
        <f>B20*D20</f>
        <v>5.7315431034482747E-3</v>
      </c>
    </row>
    <row r="21" spans="1:14">
      <c r="B21" s="11">
        <v>0.97499999999999998</v>
      </c>
      <c r="C21" s="4">
        <v>3.45</v>
      </c>
      <c r="D21" s="5">
        <f t="shared" ref="D21:D31" si="2">C21/$C$18</f>
        <v>7.7327586206896552E-3</v>
      </c>
      <c r="E21" s="18">
        <f t="shared" ref="E21:E31" si="3">B21*D21</f>
        <v>7.5394396551724139E-3</v>
      </c>
    </row>
    <row r="22" spans="1:14">
      <c r="B22" s="11">
        <v>0.95</v>
      </c>
      <c r="C22" s="4">
        <v>3.98</v>
      </c>
      <c r="D22" s="5">
        <f t="shared" si="2"/>
        <v>8.9206896551724136E-3</v>
      </c>
      <c r="E22" s="18">
        <f t="shared" si="3"/>
        <v>8.4746551724137927E-3</v>
      </c>
    </row>
    <row r="23" spans="1:14">
      <c r="B23" s="11">
        <v>0.9</v>
      </c>
      <c r="C23" s="4">
        <v>4.6500000000000004</v>
      </c>
      <c r="D23" s="5">
        <f t="shared" si="2"/>
        <v>1.0422413793103448E-2</v>
      </c>
      <c r="E23" s="18">
        <f t="shared" si="3"/>
        <v>9.3801724137931031E-3</v>
      </c>
    </row>
    <row r="24" spans="1:14">
      <c r="B24" s="11">
        <v>0.75</v>
      </c>
      <c r="C24" s="4">
        <v>5.95</v>
      </c>
      <c r="D24" s="5">
        <f t="shared" si="2"/>
        <v>1.3336206896551723E-2</v>
      </c>
      <c r="E24" s="18">
        <f t="shared" si="3"/>
        <v>1.0002155172413792E-2</v>
      </c>
    </row>
    <row r="25" spans="1:14">
      <c r="B25" s="11">
        <v>0.5</v>
      </c>
      <c r="C25" s="4">
        <v>7.66</v>
      </c>
      <c r="D25" s="5">
        <f t="shared" si="2"/>
        <v>1.716896551724138E-2</v>
      </c>
      <c r="E25" s="18">
        <f t="shared" si="3"/>
        <v>8.5844827586206898E-3</v>
      </c>
    </row>
    <row r="26" spans="1:14">
      <c r="B26" s="11">
        <v>0.25</v>
      </c>
      <c r="C26" s="4">
        <v>9.68</v>
      </c>
      <c r="D26" s="5">
        <f t="shared" si="2"/>
        <v>2.1696551724137928E-2</v>
      </c>
      <c r="E26" s="18">
        <f t="shared" si="3"/>
        <v>5.424137931034482E-3</v>
      </c>
    </row>
    <row r="27" spans="1:14">
      <c r="B27" s="11">
        <v>0.1</v>
      </c>
      <c r="C27" s="4">
        <v>11.7</v>
      </c>
      <c r="D27" s="5">
        <f t="shared" si="2"/>
        <v>2.622413793103448E-2</v>
      </c>
      <c r="E27" s="18">
        <f t="shared" si="3"/>
        <v>2.622413793103448E-3</v>
      </c>
    </row>
    <row r="28" spans="1:14">
      <c r="B28" s="11">
        <v>0.05</v>
      </c>
      <c r="C28" s="4">
        <v>13.1</v>
      </c>
      <c r="D28" s="5">
        <f t="shared" si="2"/>
        <v>2.9362068965517237E-2</v>
      </c>
      <c r="E28" s="18">
        <f t="shared" si="3"/>
        <v>1.4681034482758619E-3</v>
      </c>
    </row>
    <row r="29" spans="1:14">
      <c r="B29" s="11">
        <v>2.5000000000000001E-2</v>
      </c>
      <c r="C29" s="4">
        <v>14.4</v>
      </c>
      <c r="D29" s="5">
        <f t="shared" si="2"/>
        <v>3.2275862068965516E-2</v>
      </c>
      <c r="E29" s="18">
        <f t="shared" si="3"/>
        <v>8.0689655172413793E-4</v>
      </c>
    </row>
    <row r="30" spans="1:14">
      <c r="B30" s="11">
        <v>0.01</v>
      </c>
      <c r="C30" s="4">
        <v>16</v>
      </c>
      <c r="D30" s="5">
        <f t="shared" si="2"/>
        <v>3.5862068965517239E-2</v>
      </c>
      <c r="E30" s="18">
        <f t="shared" si="3"/>
        <v>3.5862068965517241E-4</v>
      </c>
    </row>
    <row r="31" spans="1:14">
      <c r="B31" s="11">
        <v>5.0000000000000001E-3</v>
      </c>
      <c r="C31" s="4">
        <v>17.100000000000001</v>
      </c>
      <c r="D31" s="5">
        <f t="shared" si="2"/>
        <v>3.8327586206896552E-2</v>
      </c>
      <c r="E31" s="18">
        <f t="shared" si="3"/>
        <v>1.9163793103448275E-4</v>
      </c>
    </row>
    <row r="32" spans="1:14" ht="16">
      <c r="A32" s="14" t="s">
        <v>796</v>
      </c>
      <c r="N32" s="298" t="s">
        <v>741</v>
      </c>
    </row>
    <row r="33" spans="1:7" ht="16">
      <c r="A33" s="14" t="s">
        <v>20</v>
      </c>
      <c r="B33" s="4" t="s">
        <v>14</v>
      </c>
      <c r="C33" s="4">
        <v>200</v>
      </c>
      <c r="D33" s="4" t="s">
        <v>61</v>
      </c>
      <c r="E33" s="4">
        <v>3</v>
      </c>
      <c r="F33" s="4" t="s">
        <v>62</v>
      </c>
      <c r="G33" s="4">
        <v>4</v>
      </c>
    </row>
    <row r="34" spans="1:7">
      <c r="B34" s="4" t="s">
        <v>16</v>
      </c>
      <c r="C34" s="4" t="s">
        <v>17</v>
      </c>
      <c r="D34" s="4" t="s">
        <v>18</v>
      </c>
      <c r="E34" s="4" t="s">
        <v>45</v>
      </c>
    </row>
    <row r="35" spans="1:7">
      <c r="B35" s="4">
        <v>1E-3</v>
      </c>
      <c r="C35" s="4">
        <f>C33*B35</f>
        <v>0.2</v>
      </c>
      <c r="D35" s="4">
        <v>1</v>
      </c>
      <c r="E35" s="18">
        <f t="shared" ref="E35:E41" si="4">B35*D35</f>
        <v>1E-3</v>
      </c>
    </row>
    <row r="36" spans="1:7">
      <c r="B36" s="4">
        <v>5.0000000000000001E-3</v>
      </c>
      <c r="C36" s="4">
        <f>C33*B36</f>
        <v>1</v>
      </c>
      <c r="D36" s="4">
        <v>0.98099999999999998</v>
      </c>
      <c r="E36" s="18">
        <f t="shared" si="4"/>
        <v>4.9049999999999996E-3</v>
      </c>
    </row>
    <row r="37" spans="1:7">
      <c r="B37" s="4">
        <v>0.01</v>
      </c>
      <c r="C37" s="4">
        <f>B37*$C$33</f>
        <v>2</v>
      </c>
      <c r="D37" s="4">
        <v>0.85699999999999998</v>
      </c>
      <c r="E37" s="18">
        <f t="shared" si="4"/>
        <v>8.5699999999999995E-3</v>
      </c>
    </row>
    <row r="38" spans="1:7">
      <c r="B38" s="4">
        <v>0.02</v>
      </c>
      <c r="C38" s="4">
        <f>B38*$C$33</f>
        <v>4</v>
      </c>
      <c r="D38" s="4">
        <v>0.433</v>
      </c>
      <c r="E38" s="18">
        <f t="shared" si="4"/>
        <v>8.6599999999999993E-3</v>
      </c>
    </row>
    <row r="39" spans="1:7">
      <c r="B39" s="4">
        <v>0.03</v>
      </c>
      <c r="C39" s="4">
        <f>B39*$C$33</f>
        <v>6</v>
      </c>
      <c r="D39" s="4">
        <v>0.151</v>
      </c>
      <c r="E39" s="18">
        <f t="shared" si="4"/>
        <v>4.5299999999999993E-3</v>
      </c>
    </row>
    <row r="40" spans="1:7">
      <c r="B40" s="4">
        <v>0.04</v>
      </c>
      <c r="C40" s="4">
        <f>B40*$C$33</f>
        <v>8</v>
      </c>
      <c r="D40" s="4">
        <v>4.2000000000000003E-2</v>
      </c>
      <c r="E40" s="18">
        <f t="shared" si="4"/>
        <v>1.6800000000000001E-3</v>
      </c>
    </row>
    <row r="41" spans="1:7">
      <c r="B41" s="4">
        <v>0.05</v>
      </c>
      <c r="C41" s="4">
        <f>B41*$C$33</f>
        <v>10</v>
      </c>
      <c r="D41" s="11">
        <v>0.01</v>
      </c>
      <c r="E41" s="18">
        <f t="shared" si="4"/>
        <v>5.0000000000000001E-4</v>
      </c>
    </row>
    <row r="42" spans="1:7">
      <c r="B42" s="4"/>
      <c r="C42" s="4"/>
    </row>
    <row r="44" spans="1:7" ht="16">
      <c r="A44" s="14" t="s">
        <v>797</v>
      </c>
      <c r="B44" s="1" t="s">
        <v>63</v>
      </c>
      <c r="C44" s="1" t="s">
        <v>64</v>
      </c>
      <c r="D44" s="1" t="s">
        <v>65</v>
      </c>
    </row>
    <row r="45" spans="1:7">
      <c r="A45" s="1" t="s">
        <v>66</v>
      </c>
      <c r="B45" s="15">
        <f>D2*C7</f>
        <v>211.7948717948718</v>
      </c>
      <c r="C45" s="15">
        <f>D3*(D1*E11)</f>
        <v>880.94999999999993</v>
      </c>
      <c r="D45" s="15">
        <f>B45+C45</f>
        <v>1092.7448717948716</v>
      </c>
    </row>
    <row r="46" spans="1:7">
      <c r="A46" s="1" t="s">
        <v>57</v>
      </c>
      <c r="B46" s="15">
        <f>D2*C18</f>
        <v>312.30769230769232</v>
      </c>
      <c r="C46" s="15">
        <f>D3*(D1*E24)</f>
        <v>1050.2262931034481</v>
      </c>
      <c r="D46" s="15">
        <f>B46+C46</f>
        <v>1362.5339854111405</v>
      </c>
    </row>
    <row r="47" spans="1:7">
      <c r="A47" s="19" t="s">
        <v>20</v>
      </c>
      <c r="B47" s="20">
        <f>D2*C33</f>
        <v>140</v>
      </c>
      <c r="C47" s="20">
        <f>D3*(D1*E38)</f>
        <v>909.3</v>
      </c>
      <c r="D47" s="20">
        <f>B47+C47</f>
        <v>1049.3</v>
      </c>
      <c r="E47" s="21" t="s">
        <v>67</v>
      </c>
    </row>
    <row r="48" spans="1:7">
      <c r="A48" s="1" t="s">
        <v>68</v>
      </c>
      <c r="B48" s="15">
        <v>0</v>
      </c>
      <c r="C48" s="15">
        <f>D3*(D1*0.04)</f>
        <v>4200</v>
      </c>
      <c r="D48" s="15">
        <f>B48+C48</f>
        <v>4200</v>
      </c>
    </row>
  </sheetData>
  <pageMargins left="0.75" right="0.75" top="1" bottom="1" header="0.5" footer="0.5"/>
  <pageSetup paperSize="9" orientation="portrait" horizontalDpi="4294967292" verticalDpi="4294967292"/>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7EA2-3574-6546-AA4B-D7E15FCA31F1}">
  <dimension ref="B1:AI80"/>
  <sheetViews>
    <sheetView zoomScale="90" zoomScaleNormal="90" workbookViewId="0">
      <selection activeCell="AF13" sqref="AF13"/>
    </sheetView>
  </sheetViews>
  <sheetFormatPr baseColWidth="10" defaultRowHeight="13"/>
  <cols>
    <col min="1" max="1" width="4.33203125" style="222" customWidth="1"/>
    <col min="2" max="2" width="12.5" style="222" customWidth="1"/>
    <col min="3" max="3" width="10.6640625" style="222" customWidth="1"/>
    <col min="4" max="4" width="8.83203125" style="222" customWidth="1"/>
    <col min="5" max="5" width="9.1640625" style="222" customWidth="1"/>
    <col min="6" max="6" width="9.6640625" style="222" customWidth="1"/>
    <col min="7" max="7" width="9.1640625" style="222" customWidth="1"/>
    <col min="8" max="8" width="8.1640625" style="222" customWidth="1"/>
    <col min="9" max="9" width="9.33203125" style="222" customWidth="1"/>
    <col min="10" max="10" width="7.5" style="222" customWidth="1"/>
    <col min="11" max="11" width="10.5" style="222" customWidth="1"/>
    <col min="12" max="17" width="10.83203125" style="222"/>
    <col min="18" max="18" width="10.6640625" style="222" customWidth="1"/>
    <col min="19" max="20" width="9.5" style="222" customWidth="1"/>
    <col min="21" max="21" width="9.1640625" style="222" customWidth="1"/>
    <col min="22" max="22" width="7.1640625" style="222" bestFit="1" customWidth="1"/>
    <col min="23" max="23" width="8" style="222" customWidth="1"/>
    <col min="24" max="24" width="7.5" style="222" customWidth="1"/>
    <col min="25" max="25" width="6.83203125" style="222" customWidth="1"/>
    <col min="26" max="26" width="10.6640625" style="222" customWidth="1"/>
    <col min="27" max="27" width="10.5" style="222" customWidth="1"/>
    <col min="28" max="28" width="9.1640625" style="222" customWidth="1"/>
    <col min="29" max="29" width="8.5" style="222" customWidth="1"/>
    <col min="30" max="30" width="7.6640625" style="222" customWidth="1"/>
    <col min="31" max="31" width="4.83203125" style="222" customWidth="1"/>
    <col min="32" max="16384" width="10.83203125" style="222"/>
  </cols>
  <sheetData>
    <row r="1" spans="2:35" ht="15">
      <c r="B1" s="221" t="s">
        <v>393</v>
      </c>
      <c r="C1" s="221" t="s">
        <v>391</v>
      </c>
      <c r="D1" s="221" t="s">
        <v>355</v>
      </c>
      <c r="E1" s="221" t="s">
        <v>356</v>
      </c>
      <c r="F1" s="221" t="s">
        <v>392</v>
      </c>
      <c r="G1" s="221" t="s">
        <v>393</v>
      </c>
      <c r="H1" s="221" t="s">
        <v>355</v>
      </c>
      <c r="I1" s="221" t="s">
        <v>356</v>
      </c>
      <c r="J1" s="221" t="s">
        <v>392</v>
      </c>
      <c r="K1" s="221" t="s">
        <v>394</v>
      </c>
      <c r="R1" s="223"/>
      <c r="S1" s="221" t="s">
        <v>355</v>
      </c>
      <c r="T1" s="221" t="s">
        <v>356</v>
      </c>
      <c r="U1" s="221" t="s">
        <v>392</v>
      </c>
      <c r="V1" s="221" t="s">
        <v>394</v>
      </c>
      <c r="W1" s="223"/>
      <c r="Z1" s="223"/>
      <c r="AA1" s="223"/>
      <c r="AB1" s="223"/>
      <c r="AC1" s="223"/>
      <c r="AD1" s="223"/>
      <c r="AE1" s="223"/>
      <c r="AF1" s="223"/>
      <c r="AG1" s="223"/>
      <c r="AH1" s="223"/>
      <c r="AI1" s="223"/>
    </row>
    <row r="2" spans="2:35" ht="15">
      <c r="B2" s="224">
        <v>1</v>
      </c>
      <c r="C2" s="225">
        <v>20.350000000000001</v>
      </c>
      <c r="D2" s="226">
        <f t="shared" ref="D2:D26" si="0">$C$27+($D$34*$K$27)</f>
        <v>20.571087999999996</v>
      </c>
      <c r="E2" s="226">
        <f t="shared" ref="E2:E26" si="1">$C$27</f>
        <v>20.400399999999998</v>
      </c>
      <c r="F2" s="226">
        <f t="shared" ref="F2:F26" si="2">$C$27-($D$34*$K$27)</f>
        <v>20.229711999999999</v>
      </c>
      <c r="G2" s="224">
        <v>1</v>
      </c>
      <c r="H2" s="226">
        <f t="shared" ref="H2:H26" si="3">$D$35*$K$27</f>
        <v>0.71120000000000005</v>
      </c>
      <c r="I2" s="226">
        <f t="shared" ref="I2:I26" si="4">$K$27</f>
        <v>0.35560000000000003</v>
      </c>
      <c r="J2" s="224">
        <f t="shared" ref="J2:J26" si="5">$D$36*$K$27</f>
        <v>0</v>
      </c>
      <c r="K2" s="225">
        <v>0.34</v>
      </c>
      <c r="R2" s="223"/>
      <c r="S2" s="226">
        <f>$D$35*$V$26</f>
        <v>0.68</v>
      </c>
      <c r="T2" s="226">
        <f>$V$26</f>
        <v>0.34</v>
      </c>
      <c r="U2" s="224">
        <f>$D$36*$V$26</f>
        <v>0</v>
      </c>
      <c r="V2" s="225">
        <v>0.34</v>
      </c>
      <c r="W2" s="223"/>
      <c r="Z2" s="223"/>
      <c r="AA2" s="223"/>
      <c r="AB2" s="223"/>
      <c r="AC2" s="223"/>
      <c r="AD2" s="223"/>
      <c r="AE2" s="223"/>
      <c r="AF2" s="223"/>
      <c r="AG2" s="223"/>
      <c r="AH2" s="223"/>
      <c r="AI2" s="223"/>
    </row>
    <row r="3" spans="2:35" ht="15">
      <c r="B3" s="224">
        <f>B2+1</f>
        <v>2</v>
      </c>
      <c r="C3" s="225">
        <v>20.399999999999999</v>
      </c>
      <c r="D3" s="226">
        <f t="shared" si="0"/>
        <v>20.571087999999996</v>
      </c>
      <c r="E3" s="226">
        <f t="shared" si="1"/>
        <v>20.400399999999998</v>
      </c>
      <c r="F3" s="226">
        <f t="shared" si="2"/>
        <v>20.229711999999999</v>
      </c>
      <c r="G3" s="224">
        <f>G2+1</f>
        <v>2</v>
      </c>
      <c r="H3" s="226">
        <f t="shared" si="3"/>
        <v>0.71120000000000005</v>
      </c>
      <c r="I3" s="226">
        <f t="shared" si="4"/>
        <v>0.35560000000000003</v>
      </c>
      <c r="J3" s="224">
        <f t="shared" si="5"/>
        <v>0</v>
      </c>
      <c r="K3" s="225">
        <v>0.36</v>
      </c>
      <c r="R3" s="223"/>
      <c r="S3" s="226">
        <f t="shared" ref="S3:S25" si="6">$D$35*$V$26</f>
        <v>0.68</v>
      </c>
      <c r="T3" s="226">
        <f t="shared" ref="T3:T25" si="7">$V$26</f>
        <v>0.34</v>
      </c>
      <c r="U3" s="224">
        <f t="shared" ref="U3:U25" si="8">$D$36*$V$26</f>
        <v>0</v>
      </c>
      <c r="V3" s="225">
        <v>0.36</v>
      </c>
      <c r="W3" s="223"/>
      <c r="Z3" s="223"/>
      <c r="AA3" s="223"/>
      <c r="AB3" s="223"/>
      <c r="AC3" s="223"/>
      <c r="AD3" s="223"/>
      <c r="AE3" s="223"/>
      <c r="AF3" s="223"/>
      <c r="AG3" s="223"/>
      <c r="AH3" s="223"/>
      <c r="AI3" s="223"/>
    </row>
    <row r="4" spans="2:35" ht="15">
      <c r="B4" s="224">
        <f t="shared" ref="B4:B26" si="9">B3+1</f>
        <v>3</v>
      </c>
      <c r="C4" s="225">
        <v>20.36</v>
      </c>
      <c r="D4" s="226">
        <f t="shared" si="0"/>
        <v>20.571087999999996</v>
      </c>
      <c r="E4" s="226">
        <f t="shared" si="1"/>
        <v>20.400399999999998</v>
      </c>
      <c r="F4" s="226">
        <f t="shared" si="2"/>
        <v>20.229711999999999</v>
      </c>
      <c r="G4" s="224">
        <f t="shared" ref="G4:G26" si="10">G3+1</f>
        <v>3</v>
      </c>
      <c r="H4" s="226">
        <f t="shared" si="3"/>
        <v>0.71120000000000005</v>
      </c>
      <c r="I4" s="226">
        <f t="shared" si="4"/>
        <v>0.35560000000000003</v>
      </c>
      <c r="J4" s="224">
        <f t="shared" si="5"/>
        <v>0</v>
      </c>
      <c r="K4" s="225">
        <v>0.32</v>
      </c>
      <c r="R4" s="223"/>
      <c r="S4" s="226">
        <f t="shared" si="6"/>
        <v>0.68</v>
      </c>
      <c r="T4" s="226">
        <f t="shared" si="7"/>
        <v>0.34</v>
      </c>
      <c r="U4" s="224">
        <f t="shared" si="8"/>
        <v>0</v>
      </c>
      <c r="V4" s="225">
        <v>0.32</v>
      </c>
      <c r="W4" s="223"/>
      <c r="Z4" s="223"/>
      <c r="AA4" s="223"/>
      <c r="AB4" s="223"/>
      <c r="AC4" s="223"/>
      <c r="AD4" s="223"/>
      <c r="AE4" s="223"/>
      <c r="AF4" s="223"/>
      <c r="AG4" s="223"/>
      <c r="AH4" s="223"/>
      <c r="AI4" s="223"/>
    </row>
    <row r="5" spans="2:35" ht="15">
      <c r="B5" s="224">
        <f t="shared" si="9"/>
        <v>4</v>
      </c>
      <c r="C5" s="225">
        <v>20.65</v>
      </c>
      <c r="D5" s="226">
        <f t="shared" si="0"/>
        <v>20.571087999999996</v>
      </c>
      <c r="E5" s="226">
        <f t="shared" si="1"/>
        <v>20.400399999999998</v>
      </c>
      <c r="F5" s="226">
        <f t="shared" si="2"/>
        <v>20.229711999999999</v>
      </c>
      <c r="G5" s="224">
        <f t="shared" si="10"/>
        <v>4</v>
      </c>
      <c r="H5" s="226">
        <f t="shared" si="3"/>
        <v>0.71120000000000005</v>
      </c>
      <c r="I5" s="226">
        <f t="shared" si="4"/>
        <v>0.35560000000000003</v>
      </c>
      <c r="J5" s="224">
        <f t="shared" si="5"/>
        <v>0</v>
      </c>
      <c r="K5" s="225">
        <v>0.36</v>
      </c>
      <c r="R5" s="223"/>
      <c r="S5" s="226">
        <f t="shared" si="6"/>
        <v>0.68</v>
      </c>
      <c r="T5" s="226">
        <f t="shared" si="7"/>
        <v>0.34</v>
      </c>
      <c r="U5" s="224">
        <f t="shared" si="8"/>
        <v>0</v>
      </c>
      <c r="V5" s="225">
        <v>0.36</v>
      </c>
      <c r="W5" s="223"/>
      <c r="Z5" s="223"/>
      <c r="AA5" s="223"/>
      <c r="AB5" s="223"/>
      <c r="AC5" s="223"/>
      <c r="AD5" s="223"/>
      <c r="AE5" s="223"/>
      <c r="AF5" s="223"/>
      <c r="AG5" s="223"/>
      <c r="AH5" s="223"/>
      <c r="AI5" s="223"/>
    </row>
    <row r="6" spans="2:35" ht="15">
      <c r="B6" s="224">
        <f t="shared" si="9"/>
        <v>5</v>
      </c>
      <c r="C6" s="225">
        <v>20.2</v>
      </c>
      <c r="D6" s="226">
        <f t="shared" si="0"/>
        <v>20.571087999999996</v>
      </c>
      <c r="E6" s="226">
        <f t="shared" si="1"/>
        <v>20.400399999999998</v>
      </c>
      <c r="F6" s="226">
        <f t="shared" si="2"/>
        <v>20.229711999999999</v>
      </c>
      <c r="G6" s="224">
        <f t="shared" si="10"/>
        <v>5</v>
      </c>
      <c r="H6" s="226">
        <f t="shared" si="3"/>
        <v>0.71120000000000005</v>
      </c>
      <c r="I6" s="226">
        <f t="shared" si="4"/>
        <v>0.35560000000000003</v>
      </c>
      <c r="J6" s="224">
        <f t="shared" si="5"/>
        <v>0</v>
      </c>
      <c r="K6" s="225">
        <v>0.36</v>
      </c>
      <c r="R6" s="223"/>
      <c r="S6" s="226">
        <f t="shared" si="6"/>
        <v>0.68</v>
      </c>
      <c r="T6" s="226">
        <f t="shared" si="7"/>
        <v>0.34</v>
      </c>
      <c r="U6" s="224">
        <f t="shared" si="8"/>
        <v>0</v>
      </c>
      <c r="V6" s="225">
        <v>0.36</v>
      </c>
      <c r="W6" s="223"/>
      <c r="Z6" s="223"/>
      <c r="AA6" s="223"/>
      <c r="AB6" s="223"/>
      <c r="AC6" s="223"/>
      <c r="AD6" s="223"/>
      <c r="AE6" s="223"/>
      <c r="AF6" s="223"/>
      <c r="AG6" s="223"/>
      <c r="AH6" s="223"/>
      <c r="AI6" s="223"/>
    </row>
    <row r="7" spans="2:35" ht="15">
      <c r="B7" s="224">
        <f t="shared" si="9"/>
        <v>6</v>
      </c>
      <c r="C7" s="225">
        <v>20.399999999999999</v>
      </c>
      <c r="D7" s="226">
        <f t="shared" si="0"/>
        <v>20.571087999999996</v>
      </c>
      <c r="E7" s="226">
        <f t="shared" si="1"/>
        <v>20.400399999999998</v>
      </c>
      <c r="F7" s="226">
        <f t="shared" si="2"/>
        <v>20.229711999999999</v>
      </c>
      <c r="G7" s="224">
        <f t="shared" si="10"/>
        <v>6</v>
      </c>
      <c r="H7" s="226">
        <f t="shared" si="3"/>
        <v>0.71120000000000005</v>
      </c>
      <c r="I7" s="226">
        <f t="shared" si="4"/>
        <v>0.35560000000000003</v>
      </c>
      <c r="J7" s="224">
        <f t="shared" si="5"/>
        <v>0</v>
      </c>
      <c r="K7" s="225">
        <v>0.35</v>
      </c>
      <c r="R7" s="223"/>
      <c r="S7" s="226">
        <f t="shared" si="6"/>
        <v>0.68</v>
      </c>
      <c r="T7" s="226">
        <f t="shared" si="7"/>
        <v>0.34</v>
      </c>
      <c r="U7" s="224">
        <f t="shared" si="8"/>
        <v>0</v>
      </c>
      <c r="V7" s="225">
        <v>0.35</v>
      </c>
      <c r="W7" s="223"/>
      <c r="Z7" s="223"/>
      <c r="AA7" s="223"/>
      <c r="AB7" s="223"/>
      <c r="AC7" s="223"/>
      <c r="AD7" s="223"/>
      <c r="AE7" s="223"/>
      <c r="AF7" s="223"/>
      <c r="AG7" s="223"/>
      <c r="AH7" s="223"/>
      <c r="AI7" s="223"/>
    </row>
    <row r="8" spans="2:35" ht="15">
      <c r="B8" s="224">
        <f t="shared" si="9"/>
        <v>7</v>
      </c>
      <c r="C8" s="225">
        <v>20.43</v>
      </c>
      <c r="D8" s="226">
        <f t="shared" si="0"/>
        <v>20.571087999999996</v>
      </c>
      <c r="E8" s="226">
        <f t="shared" si="1"/>
        <v>20.400399999999998</v>
      </c>
      <c r="F8" s="226">
        <f t="shared" si="2"/>
        <v>20.229711999999999</v>
      </c>
      <c r="G8" s="224">
        <f t="shared" si="10"/>
        <v>7</v>
      </c>
      <c r="H8" s="226">
        <f t="shared" si="3"/>
        <v>0.71120000000000005</v>
      </c>
      <c r="I8" s="226">
        <f t="shared" si="4"/>
        <v>0.35560000000000003</v>
      </c>
      <c r="J8" s="224">
        <f t="shared" si="5"/>
        <v>0</v>
      </c>
      <c r="K8" s="225">
        <v>0.31</v>
      </c>
      <c r="R8" s="223"/>
      <c r="S8" s="226">
        <f t="shared" si="6"/>
        <v>0.68</v>
      </c>
      <c r="T8" s="226">
        <f t="shared" si="7"/>
        <v>0.34</v>
      </c>
      <c r="U8" s="224">
        <f t="shared" si="8"/>
        <v>0</v>
      </c>
      <c r="V8" s="225">
        <v>0.31</v>
      </c>
      <c r="W8" s="223"/>
      <c r="Z8" s="223"/>
      <c r="AA8" s="223"/>
      <c r="AB8" s="223"/>
      <c r="AC8" s="223"/>
      <c r="AD8" s="223"/>
      <c r="AE8" s="223"/>
      <c r="AF8" s="223"/>
      <c r="AG8" s="223"/>
      <c r="AH8" s="223"/>
      <c r="AI8" s="223"/>
    </row>
    <row r="9" spans="2:35" ht="15">
      <c r="B9" s="224">
        <f t="shared" si="9"/>
        <v>8</v>
      </c>
      <c r="C9" s="225">
        <v>20.37</v>
      </c>
      <c r="D9" s="226">
        <f t="shared" si="0"/>
        <v>20.571087999999996</v>
      </c>
      <c r="E9" s="226">
        <f t="shared" si="1"/>
        <v>20.400399999999998</v>
      </c>
      <c r="F9" s="226">
        <f t="shared" si="2"/>
        <v>20.229711999999999</v>
      </c>
      <c r="G9" s="224">
        <f t="shared" si="10"/>
        <v>8</v>
      </c>
      <c r="H9" s="226">
        <f t="shared" si="3"/>
        <v>0.71120000000000005</v>
      </c>
      <c r="I9" s="226">
        <f t="shared" si="4"/>
        <v>0.35560000000000003</v>
      </c>
      <c r="J9" s="224">
        <f t="shared" si="5"/>
        <v>0</v>
      </c>
      <c r="K9" s="225">
        <v>0.34</v>
      </c>
      <c r="R9" s="223"/>
      <c r="S9" s="226">
        <f t="shared" si="6"/>
        <v>0.68</v>
      </c>
      <c r="T9" s="226">
        <f t="shared" si="7"/>
        <v>0.34</v>
      </c>
      <c r="U9" s="224">
        <f t="shared" si="8"/>
        <v>0</v>
      </c>
      <c r="V9" s="225">
        <v>0.34</v>
      </c>
      <c r="W9" s="223"/>
      <c r="Z9" s="223"/>
      <c r="AA9" s="223"/>
      <c r="AB9" s="223"/>
      <c r="AC9" s="223"/>
      <c r="AD9" s="223"/>
      <c r="AE9" s="223"/>
      <c r="AF9" s="223"/>
      <c r="AG9" s="223"/>
      <c r="AH9" s="223"/>
      <c r="AI9" s="223"/>
    </row>
    <row r="10" spans="2:35" ht="15">
      <c r="B10" s="224">
        <f t="shared" si="9"/>
        <v>9</v>
      </c>
      <c r="C10" s="225">
        <v>20.48</v>
      </c>
      <c r="D10" s="226">
        <f t="shared" si="0"/>
        <v>20.571087999999996</v>
      </c>
      <c r="E10" s="226">
        <f t="shared" si="1"/>
        <v>20.400399999999998</v>
      </c>
      <c r="F10" s="226">
        <f t="shared" si="2"/>
        <v>20.229711999999999</v>
      </c>
      <c r="G10" s="224">
        <f t="shared" si="10"/>
        <v>9</v>
      </c>
      <c r="H10" s="226">
        <f t="shared" si="3"/>
        <v>0.71120000000000005</v>
      </c>
      <c r="I10" s="226">
        <f t="shared" si="4"/>
        <v>0.35560000000000003</v>
      </c>
      <c r="J10" s="224">
        <f t="shared" si="5"/>
        <v>0</v>
      </c>
      <c r="K10" s="225">
        <v>0.3</v>
      </c>
      <c r="R10" s="223"/>
      <c r="S10" s="226">
        <f t="shared" si="6"/>
        <v>0.68</v>
      </c>
      <c r="T10" s="226">
        <f t="shared" si="7"/>
        <v>0.34</v>
      </c>
      <c r="U10" s="224">
        <f t="shared" si="8"/>
        <v>0</v>
      </c>
      <c r="V10" s="225">
        <v>0.3</v>
      </c>
      <c r="W10" s="223"/>
      <c r="Z10" s="223"/>
      <c r="AA10" s="223"/>
      <c r="AB10" s="223"/>
      <c r="AC10" s="223"/>
      <c r="AD10" s="223"/>
      <c r="AE10" s="223"/>
      <c r="AF10" s="223"/>
      <c r="AG10" s="223"/>
      <c r="AH10" s="223"/>
      <c r="AI10" s="223"/>
    </row>
    <row r="11" spans="2:35" ht="15">
      <c r="B11" s="224">
        <f t="shared" si="9"/>
        <v>10</v>
      </c>
      <c r="C11" s="225">
        <v>20.420000000000002</v>
      </c>
      <c r="D11" s="226">
        <f t="shared" si="0"/>
        <v>20.571087999999996</v>
      </c>
      <c r="E11" s="226">
        <f t="shared" si="1"/>
        <v>20.400399999999998</v>
      </c>
      <c r="F11" s="226">
        <f t="shared" si="2"/>
        <v>20.229711999999999</v>
      </c>
      <c r="G11" s="224">
        <f t="shared" si="10"/>
        <v>10</v>
      </c>
      <c r="H11" s="226">
        <f t="shared" si="3"/>
        <v>0.71120000000000005</v>
      </c>
      <c r="I11" s="226">
        <f t="shared" si="4"/>
        <v>0.35560000000000003</v>
      </c>
      <c r="J11" s="224">
        <f t="shared" si="5"/>
        <v>0</v>
      </c>
      <c r="K11" s="225">
        <v>0.37</v>
      </c>
      <c r="R11" s="223"/>
      <c r="S11" s="226">
        <f t="shared" si="6"/>
        <v>0.68</v>
      </c>
      <c r="T11" s="226">
        <f t="shared" si="7"/>
        <v>0.34</v>
      </c>
      <c r="U11" s="224">
        <f t="shared" si="8"/>
        <v>0</v>
      </c>
      <c r="V11" s="225">
        <v>0.37</v>
      </c>
      <c r="W11" s="223"/>
      <c r="Z11" s="223"/>
      <c r="AA11" s="223"/>
      <c r="AB11" s="223"/>
      <c r="AC11" s="223"/>
      <c r="AD11" s="223"/>
      <c r="AE11" s="223"/>
      <c r="AF11" s="223"/>
      <c r="AG11" s="223"/>
      <c r="AH11" s="223"/>
      <c r="AI11" s="223"/>
    </row>
    <row r="12" spans="2:35" ht="15">
      <c r="B12" s="224">
        <f t="shared" si="9"/>
        <v>11</v>
      </c>
      <c r="C12" s="225">
        <v>20.39</v>
      </c>
      <c r="D12" s="226">
        <f t="shared" si="0"/>
        <v>20.571087999999996</v>
      </c>
      <c r="E12" s="226">
        <f t="shared" si="1"/>
        <v>20.400399999999998</v>
      </c>
      <c r="F12" s="226">
        <f t="shared" si="2"/>
        <v>20.229711999999999</v>
      </c>
      <c r="G12" s="224">
        <f t="shared" si="10"/>
        <v>11</v>
      </c>
      <c r="H12" s="226">
        <f t="shared" si="3"/>
        <v>0.71120000000000005</v>
      </c>
      <c r="I12" s="226">
        <f t="shared" si="4"/>
        <v>0.35560000000000003</v>
      </c>
      <c r="J12" s="224">
        <f t="shared" si="5"/>
        <v>0</v>
      </c>
      <c r="K12" s="225">
        <v>0.28999999999999998</v>
      </c>
      <c r="R12" s="223"/>
      <c r="S12" s="226">
        <f t="shared" si="6"/>
        <v>0.68</v>
      </c>
      <c r="T12" s="226">
        <f t="shared" si="7"/>
        <v>0.34</v>
      </c>
      <c r="U12" s="224">
        <f t="shared" si="8"/>
        <v>0</v>
      </c>
      <c r="V12" s="225">
        <v>0.28999999999999998</v>
      </c>
      <c r="W12" s="223"/>
      <c r="Z12" s="223"/>
      <c r="AA12" s="223"/>
      <c r="AB12" s="223"/>
      <c r="AC12" s="223"/>
      <c r="AD12" s="223"/>
      <c r="AE12" s="223"/>
      <c r="AF12" s="223"/>
      <c r="AG12" s="223"/>
      <c r="AH12" s="223"/>
      <c r="AI12" s="223"/>
    </row>
    <row r="13" spans="2:35" ht="15">
      <c r="B13" s="224">
        <f t="shared" si="9"/>
        <v>12</v>
      </c>
      <c r="C13" s="225">
        <v>20.38</v>
      </c>
      <c r="D13" s="226">
        <f t="shared" si="0"/>
        <v>20.571087999999996</v>
      </c>
      <c r="E13" s="226">
        <f t="shared" si="1"/>
        <v>20.400399999999998</v>
      </c>
      <c r="F13" s="226">
        <f t="shared" si="2"/>
        <v>20.229711999999999</v>
      </c>
      <c r="G13" s="224">
        <f t="shared" si="10"/>
        <v>12</v>
      </c>
      <c r="H13" s="226">
        <f t="shared" si="3"/>
        <v>0.71120000000000005</v>
      </c>
      <c r="I13" s="226">
        <f t="shared" si="4"/>
        <v>0.35560000000000003</v>
      </c>
      <c r="J13" s="224">
        <f t="shared" si="5"/>
        <v>0</v>
      </c>
      <c r="K13" s="225">
        <v>0.3</v>
      </c>
      <c r="R13" s="223"/>
      <c r="S13" s="226">
        <f t="shared" si="6"/>
        <v>0.68</v>
      </c>
      <c r="T13" s="226">
        <f t="shared" si="7"/>
        <v>0.34</v>
      </c>
      <c r="U13" s="224">
        <f t="shared" si="8"/>
        <v>0</v>
      </c>
      <c r="V13" s="225">
        <v>0.3</v>
      </c>
      <c r="W13" s="223"/>
      <c r="Z13" s="223"/>
      <c r="AA13" s="223"/>
      <c r="AB13" s="223"/>
      <c r="AC13" s="223"/>
      <c r="AD13" s="223"/>
      <c r="AE13" s="223"/>
      <c r="AF13" s="223"/>
      <c r="AG13" s="223"/>
      <c r="AH13" s="223"/>
      <c r="AI13" s="223"/>
    </row>
    <row r="14" spans="2:35" ht="15">
      <c r="B14" s="224">
        <f t="shared" si="9"/>
        <v>13</v>
      </c>
      <c r="C14" s="225">
        <v>20.399999999999999</v>
      </c>
      <c r="D14" s="226">
        <f t="shared" si="0"/>
        <v>20.571087999999996</v>
      </c>
      <c r="E14" s="226">
        <f t="shared" si="1"/>
        <v>20.400399999999998</v>
      </c>
      <c r="F14" s="226">
        <f t="shared" si="2"/>
        <v>20.229711999999999</v>
      </c>
      <c r="G14" s="224">
        <f t="shared" si="10"/>
        <v>13</v>
      </c>
      <c r="H14" s="226">
        <f t="shared" si="3"/>
        <v>0.71120000000000005</v>
      </c>
      <c r="I14" s="226">
        <f t="shared" si="4"/>
        <v>0.35560000000000003</v>
      </c>
      <c r="J14" s="224">
        <f t="shared" si="5"/>
        <v>0</v>
      </c>
      <c r="K14" s="225">
        <v>0.33</v>
      </c>
      <c r="R14" s="223"/>
      <c r="S14" s="226">
        <f t="shared" si="6"/>
        <v>0.68</v>
      </c>
      <c r="T14" s="226">
        <f t="shared" si="7"/>
        <v>0.34</v>
      </c>
      <c r="U14" s="224">
        <f t="shared" si="8"/>
        <v>0</v>
      </c>
      <c r="V14" s="225">
        <v>0.33</v>
      </c>
      <c r="W14" s="223"/>
      <c r="Z14" s="223"/>
      <c r="AA14" s="223"/>
      <c r="AB14" s="223"/>
      <c r="AC14" s="223"/>
      <c r="AD14" s="223"/>
      <c r="AE14" s="223"/>
      <c r="AF14" s="223"/>
      <c r="AG14" s="223"/>
      <c r="AH14" s="223"/>
      <c r="AI14" s="223"/>
    </row>
    <row r="15" spans="2:35" ht="15">
      <c r="B15" s="224">
        <f t="shared" si="9"/>
        <v>14</v>
      </c>
      <c r="C15" s="225">
        <v>20.41</v>
      </c>
      <c r="D15" s="226">
        <f t="shared" si="0"/>
        <v>20.571087999999996</v>
      </c>
      <c r="E15" s="226">
        <f t="shared" si="1"/>
        <v>20.400399999999998</v>
      </c>
      <c r="F15" s="226">
        <f t="shared" si="2"/>
        <v>20.229711999999999</v>
      </c>
      <c r="G15" s="224">
        <f t="shared" si="10"/>
        <v>14</v>
      </c>
      <c r="H15" s="226">
        <f t="shared" si="3"/>
        <v>0.71120000000000005</v>
      </c>
      <c r="I15" s="226">
        <f t="shared" si="4"/>
        <v>0.35560000000000003</v>
      </c>
      <c r="J15" s="224">
        <f t="shared" si="5"/>
        <v>0</v>
      </c>
      <c r="K15" s="225">
        <v>0.36</v>
      </c>
      <c r="R15" s="223"/>
      <c r="S15" s="226">
        <f t="shared" si="6"/>
        <v>0.68</v>
      </c>
      <c r="T15" s="226">
        <f t="shared" si="7"/>
        <v>0.34</v>
      </c>
      <c r="U15" s="224">
        <f t="shared" si="8"/>
        <v>0</v>
      </c>
      <c r="V15" s="225">
        <v>0.36</v>
      </c>
      <c r="W15" s="223"/>
      <c r="Z15" s="223"/>
      <c r="AA15" s="223"/>
      <c r="AB15" s="223"/>
      <c r="AC15" s="223"/>
      <c r="AD15" s="223"/>
      <c r="AE15" s="223"/>
      <c r="AF15" s="223"/>
      <c r="AG15" s="223"/>
      <c r="AH15" s="223"/>
      <c r="AI15" s="223"/>
    </row>
    <row r="16" spans="2:35" ht="15">
      <c r="B16" s="224">
        <f t="shared" si="9"/>
        <v>15</v>
      </c>
      <c r="C16" s="225">
        <v>20.45</v>
      </c>
      <c r="D16" s="226">
        <f t="shared" si="0"/>
        <v>20.571087999999996</v>
      </c>
      <c r="E16" s="226">
        <f t="shared" si="1"/>
        <v>20.400399999999998</v>
      </c>
      <c r="F16" s="226">
        <f t="shared" si="2"/>
        <v>20.229711999999999</v>
      </c>
      <c r="G16" s="224">
        <f t="shared" si="10"/>
        <v>15</v>
      </c>
      <c r="H16" s="226">
        <f t="shared" si="3"/>
        <v>0.71120000000000005</v>
      </c>
      <c r="I16" s="226">
        <f t="shared" si="4"/>
        <v>0.35560000000000003</v>
      </c>
      <c r="J16" s="224">
        <f t="shared" si="5"/>
        <v>0</v>
      </c>
      <c r="K16" s="225">
        <v>0.34</v>
      </c>
      <c r="R16" s="223"/>
      <c r="S16" s="226">
        <f t="shared" si="6"/>
        <v>0.68</v>
      </c>
      <c r="T16" s="226">
        <f t="shared" si="7"/>
        <v>0.34</v>
      </c>
      <c r="U16" s="224">
        <f t="shared" si="8"/>
        <v>0</v>
      </c>
      <c r="V16" s="225">
        <v>0.34</v>
      </c>
      <c r="W16" s="223"/>
      <c r="Z16" s="223"/>
      <c r="AA16" s="223"/>
      <c r="AB16" s="223"/>
      <c r="AC16" s="223"/>
      <c r="AD16" s="223"/>
      <c r="AE16" s="223"/>
      <c r="AF16" s="223"/>
      <c r="AG16" s="223"/>
      <c r="AH16" s="223"/>
      <c r="AI16" s="223"/>
    </row>
    <row r="17" spans="2:35" ht="15">
      <c r="B17" s="224">
        <f t="shared" si="9"/>
        <v>16</v>
      </c>
      <c r="C17" s="225">
        <v>20.34</v>
      </c>
      <c r="D17" s="226">
        <f t="shared" si="0"/>
        <v>20.571087999999996</v>
      </c>
      <c r="E17" s="226">
        <f t="shared" si="1"/>
        <v>20.400399999999998</v>
      </c>
      <c r="F17" s="226">
        <f t="shared" si="2"/>
        <v>20.229711999999999</v>
      </c>
      <c r="G17" s="224">
        <f t="shared" si="10"/>
        <v>16</v>
      </c>
      <c r="H17" s="226">
        <f t="shared" si="3"/>
        <v>0.71120000000000005</v>
      </c>
      <c r="I17" s="226">
        <f t="shared" si="4"/>
        <v>0.35560000000000003</v>
      </c>
      <c r="J17" s="224">
        <f t="shared" si="5"/>
        <v>0</v>
      </c>
      <c r="K17" s="225">
        <v>0.36</v>
      </c>
      <c r="R17" s="223"/>
      <c r="S17" s="226">
        <f t="shared" si="6"/>
        <v>0.68</v>
      </c>
      <c r="T17" s="226">
        <f t="shared" si="7"/>
        <v>0.34</v>
      </c>
      <c r="U17" s="224">
        <f t="shared" si="8"/>
        <v>0</v>
      </c>
      <c r="V17" s="225">
        <v>0.36</v>
      </c>
      <c r="W17" s="223"/>
      <c r="Z17" s="223"/>
      <c r="AA17" s="223"/>
      <c r="AB17" s="223"/>
      <c r="AC17" s="223"/>
      <c r="AD17" s="223"/>
      <c r="AE17" s="223"/>
      <c r="AF17" s="223"/>
      <c r="AG17" s="223"/>
      <c r="AH17" s="223"/>
      <c r="AI17" s="223"/>
    </row>
    <row r="18" spans="2:35" ht="15">
      <c r="B18" s="224">
        <f t="shared" si="9"/>
        <v>17</v>
      </c>
      <c r="C18" s="225">
        <v>20.36</v>
      </c>
      <c r="D18" s="226">
        <f t="shared" si="0"/>
        <v>20.571087999999996</v>
      </c>
      <c r="E18" s="226">
        <f t="shared" si="1"/>
        <v>20.400399999999998</v>
      </c>
      <c r="F18" s="226">
        <f t="shared" si="2"/>
        <v>20.229711999999999</v>
      </c>
      <c r="G18" s="224">
        <f t="shared" si="10"/>
        <v>17</v>
      </c>
      <c r="H18" s="226">
        <f t="shared" si="3"/>
        <v>0.71120000000000005</v>
      </c>
      <c r="I18" s="226">
        <f t="shared" si="4"/>
        <v>0.35560000000000003</v>
      </c>
      <c r="J18" s="224">
        <f t="shared" si="5"/>
        <v>0</v>
      </c>
      <c r="K18" s="225">
        <v>0.37</v>
      </c>
      <c r="R18" s="223"/>
      <c r="S18" s="226">
        <f t="shared" si="6"/>
        <v>0.68</v>
      </c>
      <c r="T18" s="226">
        <f t="shared" si="7"/>
        <v>0.34</v>
      </c>
      <c r="U18" s="224">
        <f t="shared" si="8"/>
        <v>0</v>
      </c>
      <c r="V18" s="225">
        <v>0.37</v>
      </c>
      <c r="W18" s="223"/>
      <c r="Z18" s="223"/>
      <c r="AA18" s="223"/>
      <c r="AB18" s="223"/>
      <c r="AC18" s="223"/>
      <c r="AD18" s="223"/>
      <c r="AE18" s="223"/>
      <c r="AF18" s="223"/>
      <c r="AG18" s="223"/>
      <c r="AH18" s="223"/>
      <c r="AI18" s="223"/>
    </row>
    <row r="19" spans="2:35" ht="15">
      <c r="B19" s="224">
        <f t="shared" si="9"/>
        <v>18</v>
      </c>
      <c r="C19" s="225">
        <v>20.420000000000002</v>
      </c>
      <c r="D19" s="226">
        <f t="shared" si="0"/>
        <v>20.571087999999996</v>
      </c>
      <c r="E19" s="226">
        <f t="shared" si="1"/>
        <v>20.400399999999998</v>
      </c>
      <c r="F19" s="226">
        <f t="shared" si="2"/>
        <v>20.229711999999999</v>
      </c>
      <c r="G19" s="224">
        <f t="shared" si="10"/>
        <v>18</v>
      </c>
      <c r="H19" s="226">
        <f t="shared" si="3"/>
        <v>0.71120000000000005</v>
      </c>
      <c r="I19" s="226">
        <f t="shared" si="4"/>
        <v>0.35560000000000003</v>
      </c>
      <c r="J19" s="224">
        <f t="shared" si="5"/>
        <v>0</v>
      </c>
      <c r="K19" s="225">
        <v>0.73</v>
      </c>
      <c r="R19" s="223"/>
      <c r="S19" s="226">
        <f t="shared" si="6"/>
        <v>0.68</v>
      </c>
      <c r="T19" s="226">
        <f t="shared" si="7"/>
        <v>0.34</v>
      </c>
      <c r="U19" s="224">
        <f t="shared" si="8"/>
        <v>0</v>
      </c>
      <c r="V19" s="225">
        <v>0.38</v>
      </c>
      <c r="W19" s="223"/>
      <c r="Z19" s="223"/>
      <c r="AA19" s="223"/>
      <c r="AB19" s="223"/>
      <c r="AC19" s="223"/>
      <c r="AD19" s="223"/>
      <c r="AE19" s="223"/>
      <c r="AF19" s="223"/>
      <c r="AG19" s="223"/>
      <c r="AH19" s="223"/>
      <c r="AI19" s="223"/>
    </row>
    <row r="20" spans="2:35" ht="15">
      <c r="B20" s="224">
        <f t="shared" si="9"/>
        <v>19</v>
      </c>
      <c r="C20" s="225">
        <v>20.5</v>
      </c>
      <c r="D20" s="226">
        <f t="shared" si="0"/>
        <v>20.571087999999996</v>
      </c>
      <c r="E20" s="226">
        <f t="shared" si="1"/>
        <v>20.400399999999998</v>
      </c>
      <c r="F20" s="226">
        <f t="shared" si="2"/>
        <v>20.229711999999999</v>
      </c>
      <c r="G20" s="224">
        <f t="shared" si="10"/>
        <v>19</v>
      </c>
      <c r="H20" s="226">
        <f t="shared" si="3"/>
        <v>0.71120000000000005</v>
      </c>
      <c r="I20" s="226">
        <f t="shared" si="4"/>
        <v>0.35560000000000003</v>
      </c>
      <c r="J20" s="224">
        <f t="shared" si="5"/>
        <v>0</v>
      </c>
      <c r="K20" s="225">
        <v>0.38</v>
      </c>
      <c r="R20" s="223"/>
      <c r="S20" s="226">
        <f t="shared" si="6"/>
        <v>0.68</v>
      </c>
      <c r="T20" s="226">
        <f t="shared" si="7"/>
        <v>0.34</v>
      </c>
      <c r="U20" s="224">
        <f t="shared" si="8"/>
        <v>0</v>
      </c>
      <c r="V20" s="225">
        <v>0.35</v>
      </c>
      <c r="W20" s="223"/>
      <c r="Z20" s="223"/>
      <c r="AA20" s="223"/>
      <c r="AB20" s="223"/>
      <c r="AC20" s="223"/>
      <c r="AD20" s="223"/>
      <c r="AE20" s="223"/>
      <c r="AF20" s="223"/>
      <c r="AG20" s="223"/>
      <c r="AH20" s="223"/>
      <c r="AI20" s="223"/>
    </row>
    <row r="21" spans="2:35" ht="15">
      <c r="B21" s="224">
        <f t="shared" si="9"/>
        <v>20</v>
      </c>
      <c r="C21" s="225">
        <v>20.309999999999999</v>
      </c>
      <c r="D21" s="226">
        <f t="shared" si="0"/>
        <v>20.571087999999996</v>
      </c>
      <c r="E21" s="226">
        <f t="shared" si="1"/>
        <v>20.400399999999998</v>
      </c>
      <c r="F21" s="226">
        <f t="shared" si="2"/>
        <v>20.229711999999999</v>
      </c>
      <c r="G21" s="224">
        <f t="shared" si="10"/>
        <v>20</v>
      </c>
      <c r="H21" s="226">
        <f t="shared" si="3"/>
        <v>0.71120000000000005</v>
      </c>
      <c r="I21" s="226">
        <f t="shared" si="4"/>
        <v>0.35560000000000003</v>
      </c>
      <c r="J21" s="224">
        <f t="shared" si="5"/>
        <v>0</v>
      </c>
      <c r="K21" s="225">
        <v>0.35</v>
      </c>
      <c r="R21" s="223"/>
      <c r="S21" s="226">
        <f t="shared" si="6"/>
        <v>0.68</v>
      </c>
      <c r="T21" s="226">
        <f t="shared" si="7"/>
        <v>0.34</v>
      </c>
      <c r="U21" s="224">
        <f t="shared" si="8"/>
        <v>0</v>
      </c>
      <c r="V21" s="225">
        <v>0.38</v>
      </c>
      <c r="W21" s="223"/>
      <c r="Z21" s="223"/>
      <c r="AA21" s="223"/>
      <c r="AB21" s="223"/>
      <c r="AC21" s="223"/>
      <c r="AD21" s="223"/>
      <c r="AE21" s="223"/>
      <c r="AF21" s="223"/>
      <c r="AG21" s="223"/>
      <c r="AH21" s="223"/>
      <c r="AI21" s="223"/>
    </row>
    <row r="22" spans="2:35" ht="15">
      <c r="B22" s="224">
        <f t="shared" si="9"/>
        <v>21</v>
      </c>
      <c r="C22" s="225">
        <v>20.39</v>
      </c>
      <c r="D22" s="226">
        <f t="shared" si="0"/>
        <v>20.571087999999996</v>
      </c>
      <c r="E22" s="226">
        <f t="shared" si="1"/>
        <v>20.400399999999998</v>
      </c>
      <c r="F22" s="226">
        <f t="shared" si="2"/>
        <v>20.229711999999999</v>
      </c>
      <c r="G22" s="224">
        <f t="shared" si="10"/>
        <v>21</v>
      </c>
      <c r="H22" s="226">
        <f t="shared" si="3"/>
        <v>0.71120000000000005</v>
      </c>
      <c r="I22" s="226">
        <f t="shared" si="4"/>
        <v>0.35560000000000003</v>
      </c>
      <c r="J22" s="224">
        <f t="shared" si="5"/>
        <v>0</v>
      </c>
      <c r="K22" s="225">
        <v>0.38</v>
      </c>
      <c r="R22" s="223"/>
      <c r="S22" s="226">
        <f t="shared" si="6"/>
        <v>0.68</v>
      </c>
      <c r="T22" s="226">
        <f t="shared" si="7"/>
        <v>0.34</v>
      </c>
      <c r="U22" s="224">
        <f t="shared" si="8"/>
        <v>0</v>
      </c>
      <c r="V22" s="225">
        <v>0.33</v>
      </c>
      <c r="W22" s="223"/>
      <c r="Z22" s="223"/>
      <c r="AA22" s="223"/>
      <c r="AB22" s="223"/>
      <c r="AC22" s="223"/>
      <c r="AD22" s="223"/>
      <c r="AE22" s="223"/>
      <c r="AF22" s="223"/>
      <c r="AG22" s="223"/>
      <c r="AH22" s="223"/>
      <c r="AI22" s="223"/>
    </row>
    <row r="23" spans="2:35" ht="15">
      <c r="B23" s="224">
        <f t="shared" si="9"/>
        <v>22</v>
      </c>
      <c r="C23" s="225">
        <v>20.39</v>
      </c>
      <c r="D23" s="226">
        <f t="shared" si="0"/>
        <v>20.571087999999996</v>
      </c>
      <c r="E23" s="226">
        <f t="shared" si="1"/>
        <v>20.400399999999998</v>
      </c>
      <c r="F23" s="226">
        <f t="shared" si="2"/>
        <v>20.229711999999999</v>
      </c>
      <c r="G23" s="224">
        <f t="shared" si="10"/>
        <v>22</v>
      </c>
      <c r="H23" s="226">
        <f t="shared" si="3"/>
        <v>0.71120000000000005</v>
      </c>
      <c r="I23" s="226">
        <f t="shared" si="4"/>
        <v>0.35560000000000003</v>
      </c>
      <c r="J23" s="224">
        <f t="shared" si="5"/>
        <v>0</v>
      </c>
      <c r="K23" s="225">
        <v>0.33</v>
      </c>
      <c r="R23" s="223"/>
      <c r="S23" s="226">
        <f t="shared" si="6"/>
        <v>0.68</v>
      </c>
      <c r="T23" s="226">
        <f t="shared" si="7"/>
        <v>0.34</v>
      </c>
      <c r="U23" s="224">
        <f t="shared" si="8"/>
        <v>0</v>
      </c>
      <c r="V23" s="225">
        <v>0.32</v>
      </c>
      <c r="W23" s="223"/>
      <c r="Z23" s="223"/>
      <c r="AA23" s="223"/>
      <c r="AB23" s="223"/>
      <c r="AC23" s="223"/>
      <c r="AD23" s="223"/>
      <c r="AE23" s="223"/>
      <c r="AF23" s="223"/>
      <c r="AG23" s="223"/>
      <c r="AH23" s="223"/>
      <c r="AI23" s="223"/>
    </row>
    <row r="24" spans="2:35" ht="15">
      <c r="B24" s="224">
        <f t="shared" si="9"/>
        <v>23</v>
      </c>
      <c r="C24" s="225">
        <v>20.399999999999999</v>
      </c>
      <c r="D24" s="226">
        <f t="shared" si="0"/>
        <v>20.571087999999996</v>
      </c>
      <c r="E24" s="226">
        <f t="shared" si="1"/>
        <v>20.400399999999998</v>
      </c>
      <c r="F24" s="226">
        <f t="shared" si="2"/>
        <v>20.229711999999999</v>
      </c>
      <c r="G24" s="224">
        <f t="shared" si="10"/>
        <v>23</v>
      </c>
      <c r="H24" s="226">
        <f t="shared" si="3"/>
        <v>0.71120000000000005</v>
      </c>
      <c r="I24" s="226">
        <f t="shared" si="4"/>
        <v>0.35560000000000003</v>
      </c>
      <c r="J24" s="224">
        <f t="shared" si="5"/>
        <v>0</v>
      </c>
      <c r="K24" s="225">
        <v>0.32</v>
      </c>
      <c r="R24" s="223"/>
      <c r="S24" s="226">
        <f t="shared" si="6"/>
        <v>0.68</v>
      </c>
      <c r="T24" s="226">
        <f t="shared" si="7"/>
        <v>0.34</v>
      </c>
      <c r="U24" s="224">
        <f t="shared" si="8"/>
        <v>0</v>
      </c>
      <c r="V24" s="225">
        <v>0.34</v>
      </c>
      <c r="W24" s="223"/>
      <c r="Z24" s="223"/>
      <c r="AA24" s="223"/>
      <c r="AB24" s="223"/>
      <c r="AC24" s="223"/>
      <c r="AD24" s="223"/>
      <c r="AE24" s="223"/>
      <c r="AF24" s="223"/>
      <c r="AG24" s="223"/>
      <c r="AH24" s="223"/>
      <c r="AI24" s="223"/>
    </row>
    <row r="25" spans="2:35" ht="15">
      <c r="B25" s="224">
        <f t="shared" si="9"/>
        <v>24</v>
      </c>
      <c r="C25" s="225">
        <v>20.41</v>
      </c>
      <c r="D25" s="226">
        <f t="shared" si="0"/>
        <v>20.571087999999996</v>
      </c>
      <c r="E25" s="226">
        <f t="shared" si="1"/>
        <v>20.400399999999998</v>
      </c>
      <c r="F25" s="226">
        <f t="shared" si="2"/>
        <v>20.229711999999999</v>
      </c>
      <c r="G25" s="224">
        <f t="shared" si="10"/>
        <v>24</v>
      </c>
      <c r="H25" s="226">
        <f t="shared" si="3"/>
        <v>0.71120000000000005</v>
      </c>
      <c r="I25" s="226">
        <f t="shared" si="4"/>
        <v>0.35560000000000003</v>
      </c>
      <c r="J25" s="224">
        <f t="shared" si="5"/>
        <v>0</v>
      </c>
      <c r="K25" s="225">
        <v>0.34</v>
      </c>
      <c r="R25" s="223"/>
      <c r="S25" s="226">
        <f t="shared" si="6"/>
        <v>0.68</v>
      </c>
      <c r="T25" s="226">
        <f t="shared" si="7"/>
        <v>0.34</v>
      </c>
      <c r="U25" s="224">
        <f t="shared" si="8"/>
        <v>0</v>
      </c>
      <c r="V25" s="225">
        <v>0.3</v>
      </c>
      <c r="W25" s="223"/>
      <c r="Z25" s="223"/>
      <c r="AA25" s="223"/>
      <c r="AB25" s="223"/>
      <c r="AC25" s="223"/>
      <c r="AD25" s="223"/>
      <c r="AE25" s="223"/>
      <c r="AF25" s="223"/>
      <c r="AG25" s="223"/>
      <c r="AH25" s="223"/>
      <c r="AI25" s="223"/>
    </row>
    <row r="26" spans="2:35" ht="15">
      <c r="B26" s="224">
        <f t="shared" si="9"/>
        <v>25</v>
      </c>
      <c r="C26" s="225">
        <v>20.399999999999999</v>
      </c>
      <c r="D26" s="226">
        <f t="shared" si="0"/>
        <v>20.571087999999996</v>
      </c>
      <c r="E26" s="226">
        <f t="shared" si="1"/>
        <v>20.400399999999998</v>
      </c>
      <c r="F26" s="226">
        <f t="shared" si="2"/>
        <v>20.229711999999999</v>
      </c>
      <c r="G26" s="224">
        <f t="shared" si="10"/>
        <v>25</v>
      </c>
      <c r="H26" s="226">
        <f t="shared" si="3"/>
        <v>0.71120000000000005</v>
      </c>
      <c r="I26" s="226">
        <f t="shared" si="4"/>
        <v>0.35560000000000003</v>
      </c>
      <c r="J26" s="224">
        <f t="shared" si="5"/>
        <v>0</v>
      </c>
      <c r="K26" s="225">
        <v>0.3</v>
      </c>
      <c r="R26" s="223"/>
      <c r="V26" s="227">
        <f>AVERAGE(V2:V25)</f>
        <v>0.34</v>
      </c>
      <c r="W26" s="223"/>
      <c r="Z26" s="223"/>
      <c r="AA26" s="223"/>
      <c r="AB26" s="223"/>
      <c r="AC26" s="223"/>
      <c r="AD26" s="223"/>
      <c r="AE26" s="223"/>
      <c r="AF26" s="223"/>
      <c r="AG26" s="223"/>
      <c r="AH26" s="223"/>
      <c r="AI26" s="223"/>
    </row>
    <row r="27" spans="2:35" ht="15">
      <c r="B27" s="228"/>
      <c r="C27" s="227">
        <f>AVERAGE(C2:C26)</f>
        <v>20.400399999999998</v>
      </c>
      <c r="D27" s="228"/>
      <c r="E27" s="228"/>
      <c r="F27" s="228"/>
      <c r="G27" s="228"/>
      <c r="H27" s="228"/>
      <c r="I27" s="228"/>
      <c r="J27" s="228"/>
      <c r="K27" s="226">
        <f>AVERAGE(K2:K26)</f>
        <v>0.35560000000000003</v>
      </c>
      <c r="R27" s="223"/>
      <c r="S27" s="223"/>
      <c r="T27" s="223"/>
      <c r="U27" s="223"/>
      <c r="V27" s="223"/>
      <c r="W27" s="223"/>
      <c r="Z27" s="223"/>
      <c r="AA27" s="223"/>
      <c r="AB27" s="223"/>
      <c r="AC27" s="223"/>
      <c r="AD27" s="223"/>
      <c r="AE27" s="223"/>
      <c r="AF27" s="223"/>
      <c r="AG27" s="223"/>
      <c r="AH27" s="223"/>
      <c r="AI27" s="223"/>
    </row>
    <row r="28" spans="2:35" ht="15">
      <c r="B28" s="229"/>
      <c r="C28" s="229"/>
      <c r="D28" s="229"/>
      <c r="E28" s="229"/>
      <c r="F28" s="229"/>
      <c r="G28" s="229"/>
      <c r="H28" s="229"/>
      <c r="I28" s="229"/>
      <c r="J28" s="229"/>
      <c r="K28" s="229"/>
      <c r="R28" s="223"/>
      <c r="S28" s="223"/>
      <c r="T28" s="223"/>
      <c r="U28" s="223"/>
      <c r="V28" s="223"/>
      <c r="W28" s="223"/>
      <c r="Z28" s="223"/>
      <c r="AA28" s="223"/>
      <c r="AB28" s="223"/>
      <c r="AC28" s="223"/>
      <c r="AD28" s="223"/>
      <c r="AE28" s="223"/>
      <c r="AF28" s="223"/>
      <c r="AG28" s="223"/>
      <c r="AH28" s="223"/>
      <c r="AI28" s="223"/>
    </row>
    <row r="29" spans="2:35" ht="15">
      <c r="B29" s="229"/>
      <c r="C29" s="229"/>
      <c r="D29" s="229"/>
      <c r="E29" s="229"/>
      <c r="F29" s="229"/>
      <c r="G29" s="229"/>
      <c r="H29" s="229"/>
      <c r="I29" s="229"/>
      <c r="J29" s="229"/>
      <c r="K29" s="229"/>
      <c r="R29" s="223"/>
      <c r="S29" s="221" t="s">
        <v>391</v>
      </c>
      <c r="T29" s="221" t="s">
        <v>355</v>
      </c>
      <c r="U29" s="221" t="s">
        <v>356</v>
      </c>
      <c r="V29" s="221" t="s">
        <v>392</v>
      </c>
      <c r="W29" s="223"/>
      <c r="Z29" s="223"/>
      <c r="AA29" s="223"/>
      <c r="AB29" s="223"/>
      <c r="AC29" s="223"/>
      <c r="AD29" s="223"/>
      <c r="AE29" s="223"/>
      <c r="AF29" s="223"/>
      <c r="AG29" s="223"/>
      <c r="AH29" s="223"/>
      <c r="AI29" s="223"/>
    </row>
    <row r="30" spans="2:35" ht="15">
      <c r="B30" s="229"/>
      <c r="C30" s="229"/>
      <c r="D30" s="229"/>
      <c r="E30" s="229"/>
      <c r="F30" s="229"/>
      <c r="G30" s="229"/>
      <c r="H30" s="229"/>
      <c r="I30" s="229"/>
      <c r="J30" s="229"/>
      <c r="K30" s="229"/>
      <c r="R30" s="223"/>
      <c r="S30" s="225">
        <v>20.350000000000001</v>
      </c>
      <c r="T30" s="226">
        <f>$S$53+($D$34*$V$26)</f>
        <v>20.561460869565213</v>
      </c>
      <c r="U30" s="226">
        <f>$S$53</f>
        <v>20.398260869565213</v>
      </c>
      <c r="V30" s="226">
        <f>$S$53-($D$34*$V$26)</f>
        <v>20.235060869565213</v>
      </c>
      <c r="W30" s="223"/>
      <c r="Z30" s="223"/>
      <c r="AA30" s="223"/>
      <c r="AB30" s="223"/>
      <c r="AC30" s="223"/>
      <c r="AD30" s="223"/>
      <c r="AE30" s="223"/>
      <c r="AF30" s="223"/>
      <c r="AG30" s="223"/>
      <c r="AH30" s="223"/>
      <c r="AI30" s="223"/>
    </row>
    <row r="31" spans="2:35" ht="15">
      <c r="B31" s="229"/>
      <c r="C31" s="229"/>
      <c r="D31" s="229"/>
      <c r="E31" s="229"/>
      <c r="F31" s="229"/>
      <c r="G31" s="229"/>
      <c r="H31" s="229"/>
      <c r="I31" s="229"/>
      <c r="J31" s="229"/>
      <c r="K31" s="229"/>
      <c r="R31" s="223"/>
      <c r="S31" s="225">
        <v>20.399999999999999</v>
      </c>
      <c r="T31" s="226">
        <f t="shared" ref="T31:T52" si="11">$S$53+($D$34*$V$26)</f>
        <v>20.561460869565213</v>
      </c>
      <c r="U31" s="226">
        <f t="shared" ref="U31:U52" si="12">$S$53</f>
        <v>20.398260869565213</v>
      </c>
      <c r="V31" s="226">
        <f t="shared" ref="V31:V52" si="13">$S$53-($D$34*$V$26)</f>
        <v>20.235060869565213</v>
      </c>
      <c r="W31" s="223"/>
      <c r="Z31" s="223"/>
      <c r="AA31" s="223"/>
      <c r="AB31" s="223"/>
      <c r="AC31" s="223"/>
      <c r="AD31" s="223"/>
      <c r="AE31" s="223"/>
      <c r="AF31" s="223"/>
      <c r="AG31" s="223"/>
      <c r="AH31" s="223"/>
      <c r="AI31" s="223"/>
    </row>
    <row r="32" spans="2:35" ht="15">
      <c r="D32" s="224"/>
      <c r="E32" s="224"/>
      <c r="F32" s="224"/>
      <c r="G32" s="224"/>
      <c r="H32" s="224"/>
      <c r="I32" s="224"/>
      <c r="J32" s="224"/>
      <c r="R32" s="223"/>
      <c r="S32" s="225">
        <v>20.36</v>
      </c>
      <c r="T32" s="226">
        <f t="shared" si="11"/>
        <v>20.561460869565213</v>
      </c>
      <c r="U32" s="226">
        <f t="shared" si="12"/>
        <v>20.398260869565213</v>
      </c>
      <c r="V32" s="226">
        <f t="shared" si="13"/>
        <v>20.235060869565213</v>
      </c>
      <c r="W32" s="223"/>
      <c r="Z32" s="223"/>
      <c r="AA32" s="223"/>
      <c r="AB32" s="223"/>
      <c r="AC32" s="223"/>
      <c r="AD32" s="223"/>
      <c r="AE32" s="223"/>
      <c r="AF32" s="223"/>
      <c r="AG32" s="223"/>
      <c r="AH32" s="223"/>
      <c r="AI32" s="223"/>
    </row>
    <row r="33" spans="2:35" ht="16" thickBot="1">
      <c r="C33" s="224"/>
      <c r="D33" s="224"/>
      <c r="E33" s="224"/>
      <c r="F33" s="224"/>
      <c r="G33" s="224"/>
      <c r="H33" s="224"/>
      <c r="I33" s="224"/>
      <c r="J33" s="224"/>
      <c r="K33" s="226"/>
      <c r="R33" s="223"/>
      <c r="S33" s="225">
        <v>20.399999999999999</v>
      </c>
      <c r="T33" s="226">
        <f t="shared" si="11"/>
        <v>20.561460869565213</v>
      </c>
      <c r="U33" s="226">
        <f t="shared" si="12"/>
        <v>20.398260869565213</v>
      </c>
      <c r="V33" s="226">
        <f t="shared" si="13"/>
        <v>20.235060869565213</v>
      </c>
      <c r="W33" s="223"/>
      <c r="Z33" s="223"/>
      <c r="AA33" s="223"/>
      <c r="AB33" s="223"/>
      <c r="AC33" s="223"/>
      <c r="AD33" s="223"/>
      <c r="AE33" s="223"/>
      <c r="AF33" s="223"/>
      <c r="AG33" s="223"/>
      <c r="AH33" s="223"/>
      <c r="AI33" s="223"/>
    </row>
    <row r="34" spans="2:35" ht="15">
      <c r="B34" s="518" t="s">
        <v>429</v>
      </c>
      <c r="C34" s="230" t="s">
        <v>361</v>
      </c>
      <c r="D34" s="231">
        <v>0.48</v>
      </c>
      <c r="E34" s="232"/>
      <c r="F34" s="232"/>
      <c r="G34" s="233"/>
      <c r="S34" s="225">
        <v>20.43</v>
      </c>
      <c r="T34" s="226">
        <f t="shared" si="11"/>
        <v>20.561460869565213</v>
      </c>
      <c r="U34" s="226">
        <f t="shared" si="12"/>
        <v>20.398260869565213</v>
      </c>
      <c r="V34" s="226">
        <f t="shared" si="13"/>
        <v>20.235060869565213</v>
      </c>
      <c r="Z34" s="223"/>
      <c r="AA34" s="223"/>
      <c r="AB34" s="223"/>
      <c r="AC34" s="223"/>
      <c r="AD34" s="223"/>
      <c r="AE34" s="223"/>
      <c r="AF34" s="223"/>
      <c r="AG34" s="223"/>
      <c r="AH34" s="223"/>
      <c r="AI34" s="223"/>
    </row>
    <row r="35" spans="2:35" ht="15">
      <c r="B35" s="519"/>
      <c r="C35" s="234" t="s">
        <v>364</v>
      </c>
      <c r="D35" s="235">
        <v>2</v>
      </c>
      <c r="E35" s="236"/>
      <c r="F35" s="236"/>
      <c r="G35" s="237"/>
      <c r="S35" s="225">
        <v>20.37</v>
      </c>
      <c r="T35" s="226">
        <f t="shared" si="11"/>
        <v>20.561460869565213</v>
      </c>
      <c r="U35" s="226">
        <f t="shared" si="12"/>
        <v>20.398260869565213</v>
      </c>
      <c r="V35" s="226">
        <f t="shared" si="13"/>
        <v>20.235060869565213</v>
      </c>
      <c r="Z35" s="223"/>
      <c r="AA35" s="223"/>
      <c r="AB35" s="223"/>
      <c r="AC35" s="223"/>
      <c r="AD35" s="223"/>
      <c r="AE35" s="223"/>
      <c r="AF35" s="223"/>
      <c r="AG35" s="223"/>
      <c r="AH35" s="223"/>
      <c r="AI35" s="223"/>
    </row>
    <row r="36" spans="2:35" ht="15">
      <c r="B36" s="519"/>
      <c r="C36" s="234" t="s">
        <v>367</v>
      </c>
      <c r="D36" s="235">
        <v>0</v>
      </c>
      <c r="E36" s="236"/>
      <c r="F36" s="236"/>
      <c r="G36" s="237"/>
      <c r="S36" s="225">
        <v>20.48</v>
      </c>
      <c r="T36" s="226">
        <f t="shared" si="11"/>
        <v>20.561460869565213</v>
      </c>
      <c r="U36" s="226">
        <f t="shared" si="12"/>
        <v>20.398260869565213</v>
      </c>
      <c r="V36" s="226">
        <f t="shared" si="13"/>
        <v>20.235060869565213</v>
      </c>
      <c r="Z36" s="223"/>
      <c r="AA36" s="223"/>
      <c r="AB36" s="223"/>
      <c r="AC36" s="223"/>
      <c r="AD36" s="223"/>
      <c r="AE36" s="223"/>
      <c r="AF36" s="223"/>
      <c r="AG36" s="223"/>
      <c r="AH36" s="223"/>
      <c r="AI36" s="223"/>
    </row>
    <row r="37" spans="2:35" ht="15">
      <c r="B37" s="519"/>
      <c r="C37" s="234" t="s">
        <v>333</v>
      </c>
      <c r="D37" s="235">
        <v>2.5299999999999998</v>
      </c>
      <c r="E37" s="236"/>
      <c r="F37" s="236"/>
      <c r="G37" s="237"/>
      <c r="S37" s="225">
        <v>20.420000000000002</v>
      </c>
      <c r="T37" s="226">
        <f t="shared" si="11"/>
        <v>20.561460869565213</v>
      </c>
      <c r="U37" s="226">
        <f t="shared" si="12"/>
        <v>20.398260869565213</v>
      </c>
      <c r="V37" s="226">
        <f t="shared" si="13"/>
        <v>20.235060869565213</v>
      </c>
      <c r="Z37" s="223"/>
      <c r="AA37" s="223"/>
      <c r="AB37" s="223"/>
      <c r="AC37" s="223"/>
      <c r="AD37" s="223"/>
      <c r="AE37" s="223"/>
      <c r="AF37" s="223"/>
      <c r="AG37" s="223"/>
      <c r="AH37" s="223"/>
      <c r="AI37" s="223"/>
    </row>
    <row r="38" spans="2:35" ht="15">
      <c r="B38" s="519"/>
      <c r="C38" s="236"/>
      <c r="D38" s="236"/>
      <c r="E38" s="236"/>
      <c r="F38" s="236"/>
      <c r="G38" s="237"/>
      <c r="S38" s="225">
        <v>20.39</v>
      </c>
      <c r="T38" s="226">
        <f t="shared" si="11"/>
        <v>20.561460869565213</v>
      </c>
      <c r="U38" s="226">
        <f t="shared" si="12"/>
        <v>20.398260869565213</v>
      </c>
      <c r="V38" s="226">
        <f t="shared" si="13"/>
        <v>20.235060869565213</v>
      </c>
      <c r="Z38" s="223"/>
      <c r="AA38" s="223"/>
      <c r="AB38" s="223"/>
      <c r="AC38" s="223"/>
      <c r="AD38" s="223"/>
      <c r="AE38" s="223"/>
      <c r="AF38" s="223"/>
      <c r="AG38" s="223"/>
      <c r="AH38" s="223"/>
      <c r="AI38" s="223"/>
    </row>
    <row r="39" spans="2:35" ht="15">
      <c r="B39" s="519"/>
      <c r="C39" s="234" t="s">
        <v>396</v>
      </c>
      <c r="D39" s="236"/>
      <c r="E39" s="236"/>
      <c r="F39" s="236"/>
      <c r="G39" s="237"/>
      <c r="S39" s="225">
        <v>20.38</v>
      </c>
      <c r="T39" s="226">
        <f t="shared" si="11"/>
        <v>20.561460869565213</v>
      </c>
      <c r="U39" s="226">
        <f t="shared" si="12"/>
        <v>20.398260869565213</v>
      </c>
      <c r="V39" s="226">
        <f t="shared" si="13"/>
        <v>20.235060869565213</v>
      </c>
      <c r="Z39" s="223"/>
      <c r="AA39" s="223"/>
      <c r="AB39" s="223"/>
      <c r="AC39" s="223"/>
      <c r="AD39" s="223"/>
      <c r="AE39" s="223"/>
      <c r="AF39" s="223"/>
      <c r="AG39" s="223"/>
      <c r="AH39" s="223"/>
      <c r="AI39" s="223"/>
    </row>
    <row r="40" spans="2:35" ht="15">
      <c r="B40" s="519"/>
      <c r="C40" s="236"/>
      <c r="D40" s="236"/>
      <c r="E40" s="236"/>
      <c r="F40" s="236"/>
      <c r="G40" s="237"/>
      <c r="S40" s="225">
        <v>20.399999999999999</v>
      </c>
      <c r="T40" s="226">
        <f t="shared" si="11"/>
        <v>20.561460869565213</v>
      </c>
      <c r="U40" s="226">
        <f t="shared" si="12"/>
        <v>20.398260869565213</v>
      </c>
      <c r="V40" s="226">
        <f t="shared" si="13"/>
        <v>20.235060869565213</v>
      </c>
      <c r="Z40" s="223"/>
      <c r="AA40" s="223"/>
      <c r="AB40" s="223"/>
      <c r="AC40" s="223"/>
      <c r="AD40" s="223"/>
      <c r="AE40" s="223"/>
      <c r="AF40" s="223"/>
      <c r="AG40" s="223"/>
      <c r="AH40" s="223"/>
      <c r="AI40" s="223"/>
    </row>
    <row r="41" spans="2:35" ht="15">
      <c r="B41" s="519"/>
      <c r="C41" s="234" t="s">
        <v>332</v>
      </c>
      <c r="D41" s="238">
        <f>D37/V26</f>
        <v>7.4411764705882346</v>
      </c>
      <c r="E41" s="236"/>
      <c r="F41" s="239" t="s">
        <v>384</v>
      </c>
      <c r="G41" s="240" t="s">
        <v>385</v>
      </c>
      <c r="S41" s="225">
        <v>20.41</v>
      </c>
      <c r="T41" s="226">
        <f t="shared" si="11"/>
        <v>20.561460869565213</v>
      </c>
      <c r="U41" s="226">
        <f t="shared" si="12"/>
        <v>20.398260869565213</v>
      </c>
      <c r="V41" s="226">
        <f t="shared" si="13"/>
        <v>20.235060869565213</v>
      </c>
      <c r="Z41" s="223"/>
      <c r="AA41" s="223"/>
      <c r="AB41" s="223"/>
      <c r="AC41" s="223"/>
      <c r="AD41" s="223"/>
      <c r="AE41" s="223"/>
      <c r="AF41" s="223"/>
      <c r="AG41" s="223"/>
      <c r="AH41" s="223"/>
      <c r="AI41" s="223"/>
    </row>
    <row r="42" spans="2:35" ht="15">
      <c r="B42" s="519"/>
      <c r="C42" s="236"/>
      <c r="D42" s="236"/>
      <c r="E42" s="236"/>
      <c r="F42" s="239">
        <f>(D43-S53)/D41</f>
        <v>2.0391819900326697E-2</v>
      </c>
      <c r="G42" s="240">
        <f>(S53-D45)/D41</f>
        <v>1.9924385633269762E-2</v>
      </c>
      <c r="S42" s="225">
        <v>20.45</v>
      </c>
      <c r="T42" s="226">
        <f t="shared" si="11"/>
        <v>20.561460869565213</v>
      </c>
      <c r="U42" s="226">
        <f t="shared" si="12"/>
        <v>20.398260869565213</v>
      </c>
      <c r="V42" s="226">
        <f t="shared" si="13"/>
        <v>20.235060869565213</v>
      </c>
      <c r="Z42" s="223"/>
      <c r="AA42" s="223"/>
      <c r="AB42" s="223"/>
      <c r="AC42" s="223"/>
      <c r="AD42" s="223"/>
      <c r="AE42" s="223"/>
      <c r="AF42" s="223"/>
      <c r="AG42" s="223"/>
      <c r="AH42" s="223"/>
      <c r="AI42" s="223"/>
    </row>
    <row r="43" spans="2:35" ht="15">
      <c r="B43" s="519"/>
      <c r="C43" s="236" t="s">
        <v>363</v>
      </c>
      <c r="D43" s="236">
        <f>D44+0.15</f>
        <v>20.549999999999997</v>
      </c>
      <c r="E43" s="236"/>
      <c r="F43" s="239">
        <f>NORMSDIST(F42)</f>
        <v>0.50813459536552386</v>
      </c>
      <c r="G43" s="240">
        <f>NORMSDIST(G42)</f>
        <v>0.50794815395878146</v>
      </c>
      <c r="S43" s="225">
        <v>20.34</v>
      </c>
      <c r="T43" s="226">
        <f t="shared" si="11"/>
        <v>20.561460869565213</v>
      </c>
      <c r="U43" s="226">
        <f t="shared" si="12"/>
        <v>20.398260869565213</v>
      </c>
      <c r="V43" s="226">
        <f t="shared" si="13"/>
        <v>20.235060869565213</v>
      </c>
      <c r="Z43" s="223"/>
      <c r="AA43" s="223"/>
      <c r="AB43" s="223"/>
      <c r="AC43" s="223"/>
      <c r="AD43" s="223"/>
      <c r="AE43" s="223"/>
      <c r="AF43" s="223"/>
      <c r="AG43" s="223"/>
      <c r="AH43" s="223"/>
      <c r="AI43" s="223"/>
    </row>
    <row r="44" spans="2:35" ht="15">
      <c r="B44" s="519"/>
      <c r="C44" s="236" t="s">
        <v>365</v>
      </c>
      <c r="D44" s="236">
        <v>20.399999999999999</v>
      </c>
      <c r="E44" s="236"/>
      <c r="F44" s="236"/>
      <c r="G44" s="237"/>
      <c r="S44" s="225">
        <v>20.36</v>
      </c>
      <c r="T44" s="226">
        <f t="shared" si="11"/>
        <v>20.561460869565213</v>
      </c>
      <c r="U44" s="226">
        <f t="shared" si="12"/>
        <v>20.398260869565213</v>
      </c>
      <c r="V44" s="226">
        <f t="shared" si="13"/>
        <v>20.235060869565213</v>
      </c>
      <c r="Z44" s="223"/>
      <c r="AA44" s="223"/>
      <c r="AB44" s="223"/>
      <c r="AC44" s="223"/>
      <c r="AD44" s="223"/>
      <c r="AE44" s="223"/>
      <c r="AF44" s="223"/>
      <c r="AG44" s="223"/>
      <c r="AH44" s="223"/>
      <c r="AI44" s="223"/>
    </row>
    <row r="45" spans="2:35" ht="15">
      <c r="B45" s="519"/>
      <c r="C45" s="236" t="s">
        <v>368</v>
      </c>
      <c r="D45" s="236">
        <f>D44-0.15</f>
        <v>20.25</v>
      </c>
      <c r="E45" s="236"/>
      <c r="F45" s="236" t="s">
        <v>430</v>
      </c>
      <c r="G45" s="241">
        <f>1-(F43-G43)</f>
        <v>0.9998135585932576</v>
      </c>
      <c r="S45" s="225">
        <v>20.420000000000002</v>
      </c>
      <c r="T45" s="226">
        <f t="shared" si="11"/>
        <v>20.561460869565213</v>
      </c>
      <c r="U45" s="226">
        <f t="shared" si="12"/>
        <v>20.398260869565213</v>
      </c>
      <c r="V45" s="226">
        <f t="shared" si="13"/>
        <v>20.235060869565213</v>
      </c>
      <c r="Z45" s="223"/>
      <c r="AA45" s="223"/>
      <c r="AB45" s="223"/>
      <c r="AC45" s="223"/>
      <c r="AD45" s="223"/>
      <c r="AE45" s="223"/>
      <c r="AF45" s="223"/>
      <c r="AG45" s="223"/>
      <c r="AH45" s="223"/>
      <c r="AI45" s="223"/>
    </row>
    <row r="46" spans="2:35" ht="15">
      <c r="B46" s="519"/>
      <c r="C46" s="236"/>
      <c r="D46" s="236"/>
      <c r="E46" s="236"/>
      <c r="F46" s="236"/>
      <c r="G46" s="237"/>
      <c r="S46" s="225">
        <v>20.5</v>
      </c>
      <c r="T46" s="226">
        <f t="shared" si="11"/>
        <v>20.561460869565213</v>
      </c>
      <c r="U46" s="226">
        <f t="shared" si="12"/>
        <v>20.398260869565213</v>
      </c>
      <c r="V46" s="226">
        <f t="shared" si="13"/>
        <v>20.235060869565213</v>
      </c>
      <c r="Z46" s="223"/>
      <c r="AA46" s="223"/>
      <c r="AB46" s="223"/>
      <c r="AC46" s="223"/>
      <c r="AD46" s="223"/>
      <c r="AE46" s="223"/>
      <c r="AF46" s="223"/>
      <c r="AG46" s="223"/>
      <c r="AH46" s="223"/>
      <c r="AI46" s="223"/>
    </row>
    <row r="47" spans="2:35" ht="15">
      <c r="B47" s="519"/>
      <c r="C47" s="234" t="s">
        <v>398</v>
      </c>
      <c r="D47" s="236"/>
      <c r="E47" s="236"/>
      <c r="F47" s="236"/>
      <c r="G47" s="237"/>
      <c r="S47" s="225">
        <v>20.309999999999999</v>
      </c>
      <c r="T47" s="226">
        <f t="shared" si="11"/>
        <v>20.561460869565213</v>
      </c>
      <c r="U47" s="226">
        <f t="shared" si="12"/>
        <v>20.398260869565213</v>
      </c>
      <c r="V47" s="226">
        <f t="shared" si="13"/>
        <v>20.235060869565213</v>
      </c>
      <c r="Z47" s="223"/>
      <c r="AA47" s="223"/>
      <c r="AB47" s="223"/>
      <c r="AC47" s="223"/>
      <c r="AD47" s="223"/>
      <c r="AE47" s="223"/>
      <c r="AF47" s="223"/>
      <c r="AG47" s="223"/>
      <c r="AH47" s="223"/>
      <c r="AI47" s="223"/>
    </row>
    <row r="48" spans="2:35" ht="15">
      <c r="B48" s="519"/>
      <c r="C48" s="236"/>
      <c r="D48" s="236"/>
      <c r="E48" s="236"/>
      <c r="F48" s="236"/>
      <c r="G48" s="237"/>
      <c r="S48" s="225">
        <v>20.39</v>
      </c>
      <c r="T48" s="226">
        <f t="shared" si="11"/>
        <v>20.561460869565213</v>
      </c>
      <c r="U48" s="226">
        <f t="shared" si="12"/>
        <v>20.398260869565213</v>
      </c>
      <c r="V48" s="226">
        <f t="shared" si="13"/>
        <v>20.235060869565213</v>
      </c>
      <c r="Z48" s="223"/>
      <c r="AA48" s="223"/>
      <c r="AB48" s="223"/>
      <c r="AC48" s="223"/>
      <c r="AD48" s="223"/>
      <c r="AE48" s="223"/>
      <c r="AF48" s="223"/>
      <c r="AG48" s="223"/>
      <c r="AH48" s="223"/>
      <c r="AI48" s="223"/>
    </row>
    <row r="49" spans="2:35" ht="15">
      <c r="B49" s="519"/>
      <c r="C49" s="236" t="s">
        <v>327</v>
      </c>
      <c r="D49" s="238">
        <f>(13/50)*100</f>
        <v>26</v>
      </c>
      <c r="E49" s="236"/>
      <c r="F49" s="236"/>
      <c r="G49" s="237"/>
      <c r="S49" s="225">
        <v>20.39</v>
      </c>
      <c r="T49" s="226">
        <f t="shared" si="11"/>
        <v>20.561460869565213</v>
      </c>
      <c r="U49" s="226">
        <f t="shared" si="12"/>
        <v>20.398260869565213</v>
      </c>
      <c r="V49" s="226">
        <f t="shared" si="13"/>
        <v>20.235060869565213</v>
      </c>
      <c r="Z49" s="223"/>
      <c r="AA49" s="223"/>
      <c r="AB49" s="223"/>
      <c r="AC49" s="223"/>
      <c r="AD49" s="223"/>
      <c r="AE49" s="223"/>
      <c r="AF49" s="223"/>
      <c r="AG49" s="223"/>
      <c r="AH49" s="223"/>
      <c r="AI49" s="223"/>
    </row>
    <row r="50" spans="2:35" ht="15">
      <c r="B50" s="519"/>
      <c r="C50" s="236"/>
      <c r="D50" s="236"/>
      <c r="E50" s="236"/>
      <c r="F50" s="236"/>
      <c r="G50" s="237"/>
      <c r="S50" s="225">
        <v>20.399999999999999</v>
      </c>
      <c r="T50" s="226">
        <f t="shared" si="11"/>
        <v>20.561460869565213</v>
      </c>
      <c r="U50" s="226">
        <f t="shared" si="12"/>
        <v>20.398260869565213</v>
      </c>
      <c r="V50" s="226">
        <f t="shared" si="13"/>
        <v>20.235060869565213</v>
      </c>
      <c r="Z50" s="223"/>
      <c r="AA50" s="223"/>
      <c r="AB50" s="223"/>
      <c r="AC50" s="223"/>
      <c r="AD50" s="223"/>
      <c r="AE50" s="223"/>
      <c r="AF50" s="223"/>
      <c r="AG50" s="223"/>
      <c r="AH50" s="223"/>
      <c r="AI50" s="223"/>
    </row>
    <row r="51" spans="2:35" ht="15">
      <c r="B51" s="519"/>
      <c r="C51" s="234" t="s">
        <v>399</v>
      </c>
      <c r="D51" s="236"/>
      <c r="E51" s="236"/>
      <c r="F51" s="236"/>
      <c r="G51" s="237"/>
      <c r="S51" s="225">
        <v>20.41</v>
      </c>
      <c r="T51" s="226">
        <f t="shared" si="11"/>
        <v>20.561460869565213</v>
      </c>
      <c r="U51" s="226">
        <f t="shared" si="12"/>
        <v>20.398260869565213</v>
      </c>
      <c r="V51" s="226">
        <f t="shared" si="13"/>
        <v>20.235060869565213</v>
      </c>
      <c r="Z51" s="223"/>
      <c r="AA51" s="223"/>
      <c r="AB51" s="223"/>
      <c r="AC51" s="223"/>
      <c r="AD51" s="223"/>
      <c r="AE51" s="223"/>
      <c r="AF51" s="223"/>
      <c r="AG51" s="223"/>
      <c r="AH51" s="223"/>
      <c r="AI51" s="223"/>
    </row>
    <row r="52" spans="2:35" ht="15">
      <c r="B52" s="519"/>
      <c r="C52" s="236"/>
      <c r="D52" s="236"/>
      <c r="E52" s="236"/>
      <c r="F52" s="236"/>
      <c r="G52" s="237"/>
      <c r="S52" s="225">
        <v>20.399999999999999</v>
      </c>
      <c r="T52" s="226">
        <f t="shared" si="11"/>
        <v>20.561460869565213</v>
      </c>
      <c r="U52" s="226">
        <f t="shared" si="12"/>
        <v>20.398260869565213</v>
      </c>
      <c r="V52" s="226">
        <f t="shared" si="13"/>
        <v>20.235060869565213</v>
      </c>
      <c r="Z52" s="223"/>
      <c r="AA52" s="223"/>
      <c r="AB52" s="223"/>
      <c r="AC52" s="223"/>
      <c r="AD52" s="223"/>
      <c r="AE52" s="223"/>
      <c r="AF52" s="223"/>
      <c r="AG52" s="223"/>
      <c r="AH52" s="223"/>
      <c r="AI52" s="223"/>
    </row>
    <row r="53" spans="2:35" ht="15">
      <c r="B53" s="519"/>
      <c r="C53" s="236" t="s">
        <v>331</v>
      </c>
      <c r="D53" s="236">
        <f>(D43-D45)/(6*D41)</f>
        <v>6.7193675889327432E-3</v>
      </c>
      <c r="E53" s="236"/>
      <c r="F53" s="236"/>
      <c r="G53" s="237"/>
      <c r="S53" s="227">
        <f>AVERAGE(S30:S52)</f>
        <v>20.398260869565213</v>
      </c>
      <c r="T53" s="228"/>
      <c r="U53" s="228"/>
      <c r="V53" s="228"/>
      <c r="Z53" s="223"/>
      <c r="AA53" s="223"/>
      <c r="AB53" s="223"/>
      <c r="AC53" s="223"/>
      <c r="AD53" s="223"/>
      <c r="AE53" s="223"/>
      <c r="AF53" s="223"/>
      <c r="AG53" s="223"/>
      <c r="AH53" s="223"/>
      <c r="AI53" s="223"/>
    </row>
    <row r="54" spans="2:35" ht="15">
      <c r="B54" s="519"/>
      <c r="C54" s="236" t="s">
        <v>330</v>
      </c>
      <c r="D54" s="236">
        <f>(D43-S53)/(3*D41)</f>
        <v>6.797273300108899E-3</v>
      </c>
      <c r="E54" s="236">
        <f>(S53-D45)/(3*D41)</f>
        <v>6.6414618777565883E-3</v>
      </c>
      <c r="F54" s="236"/>
      <c r="G54" s="237"/>
      <c r="Z54" s="223"/>
      <c r="AA54" s="223"/>
      <c r="AB54" s="223"/>
      <c r="AC54" s="223"/>
      <c r="AD54" s="223"/>
      <c r="AE54" s="223"/>
      <c r="AF54" s="223"/>
      <c r="AG54" s="223"/>
      <c r="AH54" s="223"/>
      <c r="AI54" s="223"/>
    </row>
    <row r="55" spans="2:35" ht="15">
      <c r="B55" s="519"/>
      <c r="C55" s="236" t="s">
        <v>329</v>
      </c>
      <c r="D55" s="236">
        <f>(D43-D45)/(6*D56)</f>
        <v>6.719367405414396E-3</v>
      </c>
      <c r="E55" s="236"/>
      <c r="F55" s="236"/>
      <c r="G55" s="237"/>
      <c r="Z55" s="223"/>
      <c r="AA55" s="223"/>
      <c r="AB55" s="223"/>
      <c r="AC55" s="223"/>
      <c r="AD55" s="223"/>
      <c r="AE55" s="223"/>
      <c r="AF55" s="223"/>
      <c r="AG55" s="223"/>
      <c r="AH55" s="223"/>
      <c r="AI55" s="223"/>
    </row>
    <row r="56" spans="2:35" ht="16" thickBot="1">
      <c r="B56" s="520"/>
      <c r="C56" s="242" t="s">
        <v>400</v>
      </c>
      <c r="D56" s="242">
        <f>SQRT((D41^2+(S53-D44)^2))</f>
        <v>7.4411766738205216</v>
      </c>
      <c r="E56" s="242"/>
      <c r="F56" s="242"/>
      <c r="G56" s="243"/>
      <c r="Z56" s="223"/>
      <c r="AA56" s="223"/>
      <c r="AB56" s="223"/>
      <c r="AC56" s="223"/>
      <c r="AD56" s="223"/>
      <c r="AE56" s="223"/>
      <c r="AF56" s="223"/>
      <c r="AG56" s="223"/>
      <c r="AH56" s="223"/>
      <c r="AI56" s="223"/>
    </row>
    <row r="57" spans="2:35" ht="16" thickBot="1">
      <c r="Z57" s="223"/>
      <c r="AA57" s="223"/>
      <c r="AB57" s="223"/>
      <c r="AC57" s="223"/>
      <c r="AD57" s="223"/>
      <c r="AE57" s="223"/>
      <c r="AF57" s="223"/>
      <c r="AG57" s="223"/>
      <c r="AH57" s="223"/>
      <c r="AI57" s="223"/>
    </row>
    <row r="58" spans="2:35" ht="15">
      <c r="C58" s="521" t="s">
        <v>431</v>
      </c>
      <c r="D58" s="522"/>
      <c r="E58" s="522"/>
      <c r="F58" s="522"/>
      <c r="G58" s="522"/>
      <c r="H58" s="522"/>
      <c r="I58" s="522"/>
      <c r="J58" s="522"/>
      <c r="K58" s="522"/>
      <c r="L58" s="522"/>
      <c r="M58" s="523"/>
      <c r="Z58" s="223"/>
      <c r="AA58" s="223"/>
      <c r="AB58" s="223"/>
      <c r="AC58" s="223"/>
      <c r="AD58" s="223"/>
      <c r="AE58" s="223"/>
      <c r="AF58" s="223"/>
      <c r="AG58" s="223"/>
      <c r="AH58" s="223"/>
      <c r="AI58" s="223"/>
    </row>
    <row r="59" spans="2:35" ht="15">
      <c r="C59" s="524"/>
      <c r="D59" s="525"/>
      <c r="E59" s="525"/>
      <c r="F59" s="525"/>
      <c r="G59" s="525"/>
      <c r="H59" s="525"/>
      <c r="I59" s="525"/>
      <c r="J59" s="525"/>
      <c r="K59" s="525"/>
      <c r="L59" s="525"/>
      <c r="M59" s="526"/>
      <c r="Z59" s="223"/>
      <c r="AA59" s="223"/>
      <c r="AB59" s="223"/>
      <c r="AC59" s="223"/>
      <c r="AD59" s="223"/>
      <c r="AE59" s="223"/>
      <c r="AF59" s="223"/>
      <c r="AG59" s="223"/>
      <c r="AH59" s="223"/>
      <c r="AI59" s="223"/>
    </row>
    <row r="60" spans="2:35" ht="15">
      <c r="C60" s="524"/>
      <c r="D60" s="525"/>
      <c r="E60" s="525"/>
      <c r="F60" s="525"/>
      <c r="G60" s="525"/>
      <c r="H60" s="525"/>
      <c r="I60" s="525"/>
      <c r="J60" s="525"/>
      <c r="K60" s="525"/>
      <c r="L60" s="525"/>
      <c r="M60" s="526"/>
      <c r="Z60" s="223"/>
      <c r="AA60" s="223"/>
      <c r="AB60" s="223"/>
      <c r="AC60" s="223"/>
      <c r="AD60" s="223"/>
      <c r="AE60" s="223"/>
      <c r="AF60" s="223"/>
      <c r="AG60" s="223"/>
      <c r="AH60" s="223"/>
      <c r="AI60" s="223"/>
    </row>
    <row r="61" spans="2:35" ht="15">
      <c r="C61" s="524"/>
      <c r="D61" s="525"/>
      <c r="E61" s="525"/>
      <c r="F61" s="525"/>
      <c r="G61" s="525"/>
      <c r="H61" s="525"/>
      <c r="I61" s="525"/>
      <c r="J61" s="525"/>
      <c r="K61" s="525"/>
      <c r="L61" s="525"/>
      <c r="M61" s="526"/>
      <c r="Z61" s="223"/>
      <c r="AA61" s="223"/>
      <c r="AB61" s="223"/>
      <c r="AC61" s="223"/>
      <c r="AD61" s="223"/>
      <c r="AE61" s="223"/>
      <c r="AF61" s="223"/>
      <c r="AG61" s="223"/>
      <c r="AH61" s="223"/>
      <c r="AI61" s="223"/>
    </row>
    <row r="62" spans="2:35" ht="15">
      <c r="C62" s="524"/>
      <c r="D62" s="525"/>
      <c r="E62" s="525"/>
      <c r="F62" s="525"/>
      <c r="G62" s="525"/>
      <c r="H62" s="525"/>
      <c r="I62" s="525"/>
      <c r="J62" s="525"/>
      <c r="K62" s="525"/>
      <c r="L62" s="525"/>
      <c r="M62" s="526"/>
      <c r="Z62" s="223"/>
      <c r="AA62" s="223"/>
      <c r="AB62" s="223"/>
      <c r="AC62" s="223"/>
      <c r="AD62" s="223"/>
      <c r="AE62" s="223"/>
      <c r="AF62" s="223"/>
      <c r="AG62" s="223"/>
      <c r="AH62" s="223"/>
      <c r="AI62" s="223"/>
    </row>
    <row r="63" spans="2:35" ht="16" thickBot="1">
      <c r="C63" s="527"/>
      <c r="D63" s="528"/>
      <c r="E63" s="528"/>
      <c r="F63" s="528"/>
      <c r="G63" s="528"/>
      <c r="H63" s="528"/>
      <c r="I63" s="528"/>
      <c r="J63" s="528"/>
      <c r="K63" s="528"/>
      <c r="L63" s="528"/>
      <c r="M63" s="529"/>
      <c r="Z63" s="223"/>
      <c r="AA63" s="223"/>
      <c r="AB63" s="223"/>
      <c r="AC63" s="223"/>
      <c r="AD63" s="223"/>
      <c r="AE63" s="223"/>
      <c r="AF63" s="223"/>
      <c r="AG63" s="223"/>
      <c r="AH63" s="223"/>
      <c r="AI63" s="223"/>
    </row>
    <row r="64" spans="2:35" ht="15">
      <c r="C64" s="223"/>
      <c r="D64" s="223"/>
      <c r="E64" s="223"/>
      <c r="F64" s="223"/>
      <c r="G64" s="223"/>
      <c r="H64" s="223"/>
      <c r="I64" s="223"/>
      <c r="J64" s="223"/>
      <c r="K64" s="223"/>
      <c r="L64" s="223"/>
      <c r="Z64" s="223"/>
      <c r="AA64" s="223"/>
      <c r="AB64" s="223"/>
      <c r="AC64" s="223"/>
      <c r="AD64" s="223"/>
      <c r="AE64" s="223"/>
      <c r="AF64" s="223"/>
      <c r="AG64" s="223"/>
      <c r="AH64" s="223"/>
      <c r="AI64" s="223"/>
    </row>
    <row r="65" spans="26:35" ht="15">
      <c r="Z65" s="223"/>
      <c r="AA65" s="223"/>
      <c r="AB65" s="223"/>
      <c r="AC65" s="223"/>
      <c r="AD65" s="223"/>
      <c r="AE65" s="223"/>
      <c r="AF65" s="223"/>
      <c r="AG65" s="223"/>
      <c r="AH65" s="223"/>
      <c r="AI65" s="223"/>
    </row>
    <row r="66" spans="26:35" ht="15">
      <c r="Z66" s="223"/>
      <c r="AA66" s="223"/>
      <c r="AB66" s="223"/>
      <c r="AC66" s="223"/>
      <c r="AD66" s="223"/>
      <c r="AE66" s="223"/>
      <c r="AF66" s="223"/>
      <c r="AG66" s="223"/>
      <c r="AH66" s="223"/>
      <c r="AI66" s="223"/>
    </row>
    <row r="67" spans="26:35" ht="15">
      <c r="Z67" s="223"/>
      <c r="AA67" s="223"/>
      <c r="AB67" s="223"/>
      <c r="AC67" s="223"/>
      <c r="AD67" s="223"/>
      <c r="AE67" s="223"/>
      <c r="AF67" s="223"/>
      <c r="AG67" s="223"/>
      <c r="AH67" s="223"/>
      <c r="AI67" s="223"/>
    </row>
    <row r="68" spans="26:35" ht="15">
      <c r="Z68" s="223"/>
      <c r="AA68" s="223"/>
      <c r="AB68" s="223"/>
      <c r="AC68" s="223"/>
      <c r="AD68" s="223"/>
      <c r="AE68" s="223"/>
      <c r="AF68" s="223"/>
      <c r="AG68" s="223"/>
      <c r="AH68" s="223"/>
      <c r="AI68" s="223"/>
    </row>
    <row r="69" spans="26:35" ht="15">
      <c r="Z69" s="223"/>
      <c r="AA69" s="223"/>
      <c r="AB69" s="223"/>
      <c r="AC69" s="223"/>
      <c r="AD69" s="223"/>
      <c r="AE69" s="223"/>
      <c r="AF69" s="223"/>
      <c r="AG69" s="223"/>
      <c r="AH69" s="223"/>
      <c r="AI69" s="223"/>
    </row>
    <row r="70" spans="26:35" ht="15">
      <c r="Z70" s="223"/>
      <c r="AA70" s="223"/>
      <c r="AB70" s="223"/>
      <c r="AC70" s="223"/>
      <c r="AD70" s="223"/>
      <c r="AE70" s="223"/>
      <c r="AF70" s="223"/>
      <c r="AG70" s="223"/>
      <c r="AH70" s="223"/>
      <c r="AI70" s="223"/>
    </row>
    <row r="71" spans="26:35" ht="15">
      <c r="Z71" s="223"/>
      <c r="AA71" s="223"/>
      <c r="AB71" s="223"/>
      <c r="AC71" s="223"/>
      <c r="AD71" s="223"/>
      <c r="AE71" s="223"/>
      <c r="AF71" s="223"/>
      <c r="AG71" s="223"/>
      <c r="AH71" s="223"/>
      <c r="AI71" s="223"/>
    </row>
    <row r="72" spans="26:35" ht="15">
      <c r="Z72" s="223"/>
      <c r="AA72" s="223"/>
      <c r="AB72" s="223"/>
      <c r="AC72" s="223"/>
      <c r="AD72" s="223"/>
      <c r="AE72" s="223"/>
      <c r="AF72" s="223"/>
      <c r="AG72" s="223"/>
      <c r="AH72" s="223"/>
      <c r="AI72" s="223"/>
    </row>
    <row r="73" spans="26:35" ht="15">
      <c r="Z73" s="223"/>
      <c r="AA73" s="223"/>
      <c r="AB73" s="223"/>
      <c r="AC73" s="223"/>
      <c r="AD73" s="223"/>
      <c r="AE73" s="223"/>
      <c r="AF73" s="223"/>
      <c r="AG73" s="223"/>
      <c r="AH73" s="223"/>
      <c r="AI73" s="223"/>
    </row>
    <row r="74" spans="26:35" ht="15">
      <c r="Z74" s="223"/>
      <c r="AA74" s="223"/>
      <c r="AB74" s="223"/>
      <c r="AC74" s="223"/>
      <c r="AD74" s="223"/>
      <c r="AE74" s="223"/>
      <c r="AF74" s="223"/>
      <c r="AG74" s="223"/>
      <c r="AH74" s="223"/>
      <c r="AI74" s="223"/>
    </row>
    <row r="75" spans="26:35" ht="15">
      <c r="Z75" s="223"/>
      <c r="AA75" s="223"/>
      <c r="AB75" s="223"/>
      <c r="AC75" s="223"/>
      <c r="AD75" s="223"/>
      <c r="AE75" s="223"/>
      <c r="AF75" s="223"/>
      <c r="AG75" s="223"/>
      <c r="AH75" s="223"/>
      <c r="AI75" s="223"/>
    </row>
    <row r="76" spans="26:35" ht="15">
      <c r="Z76" s="223"/>
      <c r="AA76" s="223"/>
      <c r="AB76" s="223"/>
      <c r="AC76" s="223"/>
      <c r="AD76" s="223"/>
      <c r="AE76" s="223"/>
      <c r="AF76" s="223"/>
      <c r="AG76" s="223"/>
      <c r="AH76" s="223"/>
      <c r="AI76" s="223"/>
    </row>
    <row r="77" spans="26:35" ht="15">
      <c r="Z77" s="223"/>
      <c r="AA77" s="223"/>
      <c r="AB77" s="223"/>
      <c r="AC77" s="223"/>
      <c r="AD77" s="223"/>
      <c r="AE77" s="223"/>
      <c r="AF77" s="223"/>
      <c r="AG77" s="223"/>
      <c r="AH77" s="223"/>
      <c r="AI77" s="223"/>
    </row>
    <row r="78" spans="26:35" ht="15">
      <c r="Z78" s="223"/>
      <c r="AA78" s="223"/>
      <c r="AB78" s="223"/>
      <c r="AC78" s="223"/>
      <c r="AD78" s="223"/>
      <c r="AE78" s="223"/>
      <c r="AF78" s="223"/>
      <c r="AG78" s="223"/>
      <c r="AH78" s="223"/>
      <c r="AI78" s="223"/>
    </row>
    <row r="79" spans="26:35" ht="15">
      <c r="Z79" s="223"/>
      <c r="AA79" s="223"/>
      <c r="AB79" s="223"/>
      <c r="AC79" s="223"/>
      <c r="AD79" s="223"/>
      <c r="AE79" s="223"/>
      <c r="AF79" s="223"/>
      <c r="AG79" s="223"/>
      <c r="AH79" s="223"/>
      <c r="AI79" s="223"/>
    </row>
    <row r="80" spans="26:35" ht="15">
      <c r="Z80" s="223"/>
      <c r="AA80" s="223"/>
      <c r="AB80" s="223"/>
      <c r="AC80" s="223"/>
      <c r="AD80" s="223"/>
      <c r="AE80" s="223"/>
      <c r="AF80" s="223"/>
      <c r="AG80" s="223"/>
      <c r="AH80" s="223"/>
      <c r="AI80" s="223"/>
    </row>
  </sheetData>
  <mergeCells count="2">
    <mergeCell ref="B34:B56"/>
    <mergeCell ref="C58:M63"/>
  </mergeCells>
  <pageMargins left="0.75" right="0.75" top="1" bottom="1" header="0.5" footer="0.5"/>
  <pageSetup orientation="portrait" horizontalDpi="4294967292" verticalDpi="429496729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EB299-3CF3-9B41-AF50-01B5567EA157}">
  <dimension ref="A1:G70"/>
  <sheetViews>
    <sheetView workbookViewId="0">
      <selection activeCell="N45" sqref="N45"/>
    </sheetView>
  </sheetViews>
  <sheetFormatPr baseColWidth="10" defaultRowHeight="13"/>
  <cols>
    <col min="1" max="1" width="10.83203125" style="222"/>
    <col min="2" max="2" width="7.5" style="222" customWidth="1"/>
    <col min="3" max="3" width="8.33203125" style="222" customWidth="1"/>
    <col min="4" max="4" width="11.1640625" style="222" customWidth="1"/>
    <col min="5" max="5" width="8.1640625" style="222" customWidth="1"/>
    <col min="6" max="7" width="10.83203125" style="222"/>
    <col min="8" max="8" width="17.83203125" style="222" bestFit="1" customWidth="1"/>
    <col min="9" max="16384" width="10.83203125" style="222"/>
  </cols>
  <sheetData>
    <row r="1" spans="1:7">
      <c r="B1" s="530" t="s">
        <v>432</v>
      </c>
      <c r="C1" s="530"/>
      <c r="D1" s="530"/>
      <c r="E1" s="530"/>
    </row>
    <row r="2" spans="1:7">
      <c r="B2" s="244" t="s">
        <v>363</v>
      </c>
      <c r="C2" s="244"/>
      <c r="D2" s="244" t="s">
        <v>365</v>
      </c>
      <c r="E2" s="244" t="s">
        <v>368</v>
      </c>
      <c r="F2" s="224"/>
      <c r="G2" s="224"/>
    </row>
    <row r="3" spans="1:7">
      <c r="A3" s="222">
        <v>1</v>
      </c>
      <c r="B3" s="245">
        <f>$B$50*$C$23</f>
        <v>50.73</v>
      </c>
      <c r="C3" s="245">
        <v>17</v>
      </c>
      <c r="D3" s="245">
        <f>$C$23</f>
        <v>22.25</v>
      </c>
      <c r="E3" s="245">
        <v>0</v>
      </c>
      <c r="F3" s="224"/>
      <c r="G3" s="224"/>
    </row>
    <row r="4" spans="1:7">
      <c r="A4" s="222">
        <v>2</v>
      </c>
      <c r="B4" s="245">
        <f t="shared" ref="B4:B22" si="0">$B$50*$C$23</f>
        <v>50.73</v>
      </c>
      <c r="C4" s="245">
        <v>11</v>
      </c>
      <c r="D4" s="245">
        <f t="shared" ref="D4:D22" si="1">$C$23</f>
        <v>22.25</v>
      </c>
      <c r="E4" s="245">
        <v>0</v>
      </c>
      <c r="F4" s="224"/>
      <c r="G4" s="224"/>
    </row>
    <row r="5" spans="1:7">
      <c r="A5" s="222">
        <v>3</v>
      </c>
      <c r="B5" s="245">
        <f t="shared" si="0"/>
        <v>50.73</v>
      </c>
      <c r="C5" s="245">
        <v>22</v>
      </c>
      <c r="D5" s="245">
        <f t="shared" si="1"/>
        <v>22.25</v>
      </c>
      <c r="E5" s="245">
        <v>0</v>
      </c>
      <c r="F5" s="224"/>
      <c r="G5" s="224"/>
    </row>
    <row r="6" spans="1:7">
      <c r="A6" s="222">
        <v>4</v>
      </c>
      <c r="B6" s="245">
        <f t="shared" si="0"/>
        <v>50.73</v>
      </c>
      <c r="C6" s="245">
        <v>40</v>
      </c>
      <c r="D6" s="245">
        <f t="shared" si="1"/>
        <v>22.25</v>
      </c>
      <c r="E6" s="245">
        <v>0</v>
      </c>
      <c r="F6" s="224"/>
      <c r="G6" s="224"/>
    </row>
    <row r="7" spans="1:7">
      <c r="A7" s="222">
        <v>5</v>
      </c>
      <c r="B7" s="245">
        <f t="shared" si="0"/>
        <v>50.73</v>
      </c>
      <c r="C7" s="245">
        <v>21</v>
      </c>
      <c r="D7" s="245">
        <f t="shared" si="1"/>
        <v>22.25</v>
      </c>
      <c r="E7" s="245">
        <v>0</v>
      </c>
      <c r="F7" s="224"/>
      <c r="G7" s="224"/>
    </row>
    <row r="8" spans="1:7">
      <c r="A8" s="222">
        <v>6</v>
      </c>
      <c r="B8" s="245">
        <f t="shared" si="0"/>
        <v>50.73</v>
      </c>
      <c r="C8" s="245">
        <v>7</v>
      </c>
      <c r="D8" s="245">
        <f t="shared" si="1"/>
        <v>22.25</v>
      </c>
      <c r="E8" s="245">
        <v>0</v>
      </c>
      <c r="F8" s="224"/>
      <c r="G8" s="224"/>
    </row>
    <row r="9" spans="1:7">
      <c r="A9" s="222">
        <v>7</v>
      </c>
      <c r="B9" s="245">
        <f t="shared" si="0"/>
        <v>50.73</v>
      </c>
      <c r="C9" s="245">
        <v>15</v>
      </c>
      <c r="D9" s="245">
        <f t="shared" si="1"/>
        <v>22.25</v>
      </c>
      <c r="E9" s="245">
        <v>0</v>
      </c>
      <c r="F9" s="224"/>
      <c r="G9" s="224"/>
    </row>
    <row r="10" spans="1:7">
      <c r="A10" s="222">
        <v>8</v>
      </c>
      <c r="B10" s="245">
        <f t="shared" si="0"/>
        <v>50.73</v>
      </c>
      <c r="C10" s="245">
        <v>25</v>
      </c>
      <c r="D10" s="245">
        <f t="shared" si="1"/>
        <v>22.25</v>
      </c>
      <c r="E10" s="245">
        <v>0</v>
      </c>
      <c r="F10" s="224"/>
      <c r="G10" s="224"/>
    </row>
    <row r="11" spans="1:7">
      <c r="A11" s="222">
        <v>9</v>
      </c>
      <c r="B11" s="245">
        <f t="shared" si="0"/>
        <v>50.73</v>
      </c>
      <c r="C11" s="245">
        <v>15</v>
      </c>
      <c r="D11" s="245">
        <f t="shared" si="1"/>
        <v>22.25</v>
      </c>
      <c r="E11" s="245">
        <v>0</v>
      </c>
      <c r="F11" s="224"/>
      <c r="G11" s="224"/>
    </row>
    <row r="12" spans="1:7">
      <c r="A12" s="222">
        <v>10</v>
      </c>
      <c r="B12" s="245">
        <f t="shared" si="0"/>
        <v>50.73</v>
      </c>
      <c r="C12" s="245">
        <v>45</v>
      </c>
      <c r="D12" s="245">
        <f t="shared" si="1"/>
        <v>22.25</v>
      </c>
      <c r="E12" s="245">
        <v>0</v>
      </c>
      <c r="F12" s="224"/>
      <c r="G12" s="224"/>
    </row>
    <row r="13" spans="1:7">
      <c r="A13" s="222">
        <v>11</v>
      </c>
      <c r="B13" s="245">
        <f t="shared" si="0"/>
        <v>50.73</v>
      </c>
      <c r="C13" s="245">
        <v>10</v>
      </c>
      <c r="D13" s="245">
        <f t="shared" si="1"/>
        <v>22.25</v>
      </c>
      <c r="E13" s="245">
        <v>0</v>
      </c>
      <c r="F13" s="224"/>
      <c r="G13" s="224"/>
    </row>
    <row r="14" spans="1:7">
      <c r="A14" s="222">
        <v>12</v>
      </c>
      <c r="B14" s="245">
        <f t="shared" si="0"/>
        <v>50.73</v>
      </c>
      <c r="C14" s="245">
        <v>35</v>
      </c>
      <c r="D14" s="245">
        <f t="shared" si="1"/>
        <v>22.25</v>
      </c>
      <c r="E14" s="245">
        <v>0</v>
      </c>
      <c r="F14" s="224"/>
      <c r="G14" s="224"/>
    </row>
    <row r="15" spans="1:7">
      <c r="A15" s="222">
        <v>13</v>
      </c>
      <c r="B15" s="245">
        <f t="shared" si="0"/>
        <v>50.73</v>
      </c>
      <c r="C15" s="245">
        <v>22</v>
      </c>
      <c r="D15" s="245">
        <f t="shared" si="1"/>
        <v>22.25</v>
      </c>
      <c r="E15" s="245">
        <v>0</v>
      </c>
      <c r="F15" s="224"/>
      <c r="G15" s="224"/>
    </row>
    <row r="16" spans="1:7">
      <c r="A16" s="222">
        <v>14</v>
      </c>
      <c r="B16" s="245">
        <f t="shared" si="0"/>
        <v>50.73</v>
      </c>
      <c r="C16" s="245">
        <v>10</v>
      </c>
      <c r="D16" s="245">
        <f t="shared" si="1"/>
        <v>22.25</v>
      </c>
      <c r="E16" s="245">
        <v>0</v>
      </c>
      <c r="F16" s="224"/>
      <c r="G16" s="224"/>
    </row>
    <row r="17" spans="1:7">
      <c r="A17" s="222">
        <v>15</v>
      </c>
      <c r="B17" s="245">
        <f t="shared" si="0"/>
        <v>50.73</v>
      </c>
      <c r="C17" s="245">
        <v>16</v>
      </c>
      <c r="D17" s="245">
        <f t="shared" si="1"/>
        <v>22.25</v>
      </c>
      <c r="E17" s="245">
        <v>0</v>
      </c>
      <c r="F17" s="224"/>
      <c r="G17" s="224"/>
    </row>
    <row r="18" spans="1:7">
      <c r="A18" s="222">
        <v>16</v>
      </c>
      <c r="B18" s="245">
        <f t="shared" si="0"/>
        <v>50.73</v>
      </c>
      <c r="C18" s="245">
        <v>24</v>
      </c>
      <c r="D18" s="245">
        <f t="shared" si="1"/>
        <v>22.25</v>
      </c>
      <c r="E18" s="245">
        <v>0</v>
      </c>
      <c r="F18" s="224"/>
      <c r="G18" s="224"/>
    </row>
    <row r="19" spans="1:7">
      <c r="A19" s="222">
        <v>17</v>
      </c>
      <c r="B19" s="245">
        <f t="shared" si="0"/>
        <v>50.73</v>
      </c>
      <c r="C19" s="245">
        <v>30</v>
      </c>
      <c r="D19" s="245">
        <f t="shared" si="1"/>
        <v>22.25</v>
      </c>
      <c r="E19" s="245">
        <v>0</v>
      </c>
      <c r="F19" s="224"/>
      <c r="G19" s="224"/>
    </row>
    <row r="20" spans="1:7">
      <c r="A20" s="222">
        <v>18</v>
      </c>
      <c r="B20" s="245">
        <f t="shared" si="0"/>
        <v>50.73</v>
      </c>
      <c r="C20" s="245">
        <v>25</v>
      </c>
      <c r="D20" s="245">
        <f t="shared" si="1"/>
        <v>22.25</v>
      </c>
      <c r="E20" s="245">
        <v>0</v>
      </c>
      <c r="F20" s="224"/>
      <c r="G20" s="224"/>
    </row>
    <row r="21" spans="1:7">
      <c r="A21" s="222">
        <v>19</v>
      </c>
      <c r="B21" s="245">
        <f t="shared" si="0"/>
        <v>50.73</v>
      </c>
      <c r="C21" s="245">
        <v>38</v>
      </c>
      <c r="D21" s="245">
        <f t="shared" si="1"/>
        <v>22.25</v>
      </c>
      <c r="E21" s="245">
        <v>0</v>
      </c>
      <c r="F21" s="224"/>
      <c r="G21" s="224"/>
    </row>
    <row r="22" spans="1:7">
      <c r="A22" s="222">
        <v>20</v>
      </c>
      <c r="B22" s="245">
        <f t="shared" si="0"/>
        <v>50.73</v>
      </c>
      <c r="C22" s="245">
        <v>17</v>
      </c>
      <c r="D22" s="245">
        <f t="shared" si="1"/>
        <v>22.25</v>
      </c>
      <c r="E22" s="245">
        <v>0</v>
      </c>
      <c r="F22" s="224"/>
      <c r="G22" s="224"/>
    </row>
    <row r="23" spans="1:7">
      <c r="B23" s="224"/>
      <c r="C23" s="224">
        <f>AVERAGE(C3:C22)</f>
        <v>22.25</v>
      </c>
      <c r="D23" s="224"/>
      <c r="E23" s="224"/>
      <c r="F23" s="224"/>
      <c r="G23" s="224"/>
    </row>
    <row r="24" spans="1:7">
      <c r="B24" s="530" t="s">
        <v>425</v>
      </c>
      <c r="C24" s="530"/>
      <c r="D24" s="530"/>
      <c r="E24" s="530"/>
      <c r="F24" s="224"/>
      <c r="G24" s="224"/>
    </row>
    <row r="25" spans="1:7">
      <c r="B25" s="244" t="s">
        <v>363</v>
      </c>
      <c r="C25" s="244"/>
      <c r="D25" s="244" t="s">
        <v>368</v>
      </c>
      <c r="E25" s="244" t="s">
        <v>365</v>
      </c>
      <c r="F25" s="224"/>
      <c r="G25" s="224"/>
    </row>
    <row r="26" spans="1:7">
      <c r="A26" s="222">
        <v>1</v>
      </c>
      <c r="B26" s="246">
        <f>+$C$46+($B$48*$B$47)</f>
        <v>1014.0174999999999</v>
      </c>
      <c r="C26" s="247">
        <v>997</v>
      </c>
      <c r="D26" s="246">
        <f>+$C$46-($B$48*$B$47)</f>
        <v>981.53250000000003</v>
      </c>
      <c r="E26" s="246">
        <f>$C$46</f>
        <v>997.77499999999998</v>
      </c>
    </row>
    <row r="27" spans="1:7">
      <c r="A27" s="222">
        <v>2</v>
      </c>
      <c r="B27" s="246">
        <f t="shared" ref="B27:B45" si="2">+$C$46+($B$48*$B$47)</f>
        <v>1014.0174999999999</v>
      </c>
      <c r="C27" s="247">
        <v>1004.25</v>
      </c>
      <c r="D27" s="246">
        <f t="shared" ref="D27:D45" si="3">+$C$46-($B$48*$B$47)</f>
        <v>981.53250000000003</v>
      </c>
      <c r="E27" s="246">
        <f t="shared" ref="E27:E45" si="4">$C$46</f>
        <v>997.77499999999998</v>
      </c>
    </row>
    <row r="28" spans="1:7">
      <c r="A28" s="222">
        <v>3</v>
      </c>
      <c r="B28" s="246">
        <f t="shared" si="2"/>
        <v>1014.0174999999999</v>
      </c>
      <c r="C28" s="247">
        <v>991</v>
      </c>
      <c r="D28" s="246">
        <f t="shared" si="3"/>
        <v>981.53250000000003</v>
      </c>
      <c r="E28" s="246">
        <f t="shared" si="4"/>
        <v>997.77499999999998</v>
      </c>
      <c r="F28" s="224"/>
      <c r="G28" s="224"/>
    </row>
    <row r="29" spans="1:7">
      <c r="A29" s="222">
        <v>4</v>
      </c>
      <c r="B29" s="246">
        <f t="shared" si="2"/>
        <v>1014.0174999999999</v>
      </c>
      <c r="C29" s="247">
        <v>991</v>
      </c>
      <c r="D29" s="246">
        <f t="shared" si="3"/>
        <v>981.53250000000003</v>
      </c>
      <c r="E29" s="246">
        <f t="shared" si="4"/>
        <v>997.77499999999998</v>
      </c>
      <c r="F29" s="224"/>
      <c r="G29" s="224"/>
    </row>
    <row r="30" spans="1:7">
      <c r="A30" s="222">
        <v>5</v>
      </c>
      <c r="B30" s="246">
        <f t="shared" si="2"/>
        <v>1014.0174999999999</v>
      </c>
      <c r="C30" s="247">
        <v>1003</v>
      </c>
      <c r="D30" s="246">
        <f t="shared" si="3"/>
        <v>981.53250000000003</v>
      </c>
      <c r="E30" s="246">
        <f t="shared" si="4"/>
        <v>997.77499999999998</v>
      </c>
      <c r="F30" s="224"/>
      <c r="G30" s="224"/>
    </row>
    <row r="31" spans="1:7">
      <c r="A31" s="222">
        <v>6</v>
      </c>
      <c r="B31" s="246">
        <f t="shared" si="2"/>
        <v>1014.0174999999999</v>
      </c>
      <c r="C31" s="247">
        <v>990</v>
      </c>
      <c r="D31" s="246">
        <f t="shared" si="3"/>
        <v>981.53250000000003</v>
      </c>
      <c r="E31" s="246">
        <f t="shared" si="4"/>
        <v>997.77499999999998</v>
      </c>
      <c r="F31" s="224"/>
      <c r="G31" s="224"/>
    </row>
    <row r="32" spans="1:7">
      <c r="A32" s="222">
        <v>7</v>
      </c>
      <c r="B32" s="246">
        <f t="shared" si="2"/>
        <v>1014.0174999999999</v>
      </c>
      <c r="C32" s="247">
        <v>1010</v>
      </c>
      <c r="D32" s="246">
        <f t="shared" si="3"/>
        <v>981.53250000000003</v>
      </c>
      <c r="E32" s="246">
        <f t="shared" si="4"/>
        <v>997.77499999999998</v>
      </c>
      <c r="F32" s="224"/>
      <c r="G32" s="224"/>
    </row>
    <row r="33" spans="1:7">
      <c r="A33" s="222">
        <v>8</v>
      </c>
      <c r="B33" s="246">
        <f t="shared" si="2"/>
        <v>1014.0174999999999</v>
      </c>
      <c r="C33" s="247">
        <v>990</v>
      </c>
      <c r="D33" s="246">
        <f t="shared" si="3"/>
        <v>981.53250000000003</v>
      </c>
      <c r="E33" s="246">
        <f t="shared" si="4"/>
        <v>997.77499999999998</v>
      </c>
      <c r="F33" s="224"/>
      <c r="G33" s="224"/>
    </row>
    <row r="34" spans="1:7">
      <c r="A34" s="222">
        <v>9</v>
      </c>
      <c r="B34" s="246">
        <f t="shared" si="2"/>
        <v>1014.0174999999999</v>
      </c>
      <c r="C34" s="247">
        <v>1008</v>
      </c>
      <c r="D34" s="246">
        <f t="shared" si="3"/>
        <v>981.53250000000003</v>
      </c>
      <c r="E34" s="246">
        <f t="shared" si="4"/>
        <v>997.77499999999998</v>
      </c>
      <c r="F34" s="224"/>
      <c r="G34" s="224"/>
    </row>
    <row r="35" spans="1:7">
      <c r="A35" s="222">
        <v>10</v>
      </c>
      <c r="B35" s="246">
        <f t="shared" si="2"/>
        <v>1014.0174999999999</v>
      </c>
      <c r="C35" s="247">
        <v>998.5</v>
      </c>
      <c r="D35" s="246">
        <f t="shared" si="3"/>
        <v>981.53250000000003</v>
      </c>
      <c r="E35" s="246">
        <f t="shared" si="4"/>
        <v>997.77499999999998</v>
      </c>
      <c r="F35" s="224"/>
      <c r="G35" s="224"/>
    </row>
    <row r="36" spans="1:7">
      <c r="A36" s="222">
        <v>11</v>
      </c>
      <c r="B36" s="246">
        <f t="shared" si="2"/>
        <v>1014.0174999999999</v>
      </c>
      <c r="C36" s="247">
        <v>985.5</v>
      </c>
      <c r="D36" s="246">
        <f t="shared" si="3"/>
        <v>981.53250000000003</v>
      </c>
      <c r="E36" s="246">
        <f t="shared" si="4"/>
        <v>997.77499999999998</v>
      </c>
      <c r="F36" s="224"/>
      <c r="G36" s="224"/>
    </row>
    <row r="37" spans="1:7">
      <c r="A37" s="222">
        <v>12</v>
      </c>
      <c r="B37" s="246">
        <f t="shared" si="2"/>
        <v>1014.0174999999999</v>
      </c>
      <c r="C37" s="247">
        <v>1000</v>
      </c>
      <c r="D37" s="246">
        <f t="shared" si="3"/>
        <v>981.53250000000003</v>
      </c>
      <c r="E37" s="246">
        <f t="shared" si="4"/>
        <v>997.77499999999998</v>
      </c>
      <c r="F37" s="224"/>
      <c r="G37" s="224"/>
    </row>
    <row r="38" spans="1:7">
      <c r="A38" s="222">
        <v>13</v>
      </c>
      <c r="B38" s="246">
        <f t="shared" si="2"/>
        <v>1014.0174999999999</v>
      </c>
      <c r="C38" s="247">
        <v>1007</v>
      </c>
      <c r="D38" s="246">
        <f t="shared" si="3"/>
        <v>981.53250000000003</v>
      </c>
      <c r="E38" s="246">
        <f t="shared" si="4"/>
        <v>997.77499999999998</v>
      </c>
      <c r="F38" s="224"/>
      <c r="G38" s="224"/>
    </row>
    <row r="39" spans="1:7">
      <c r="A39" s="222">
        <v>14</v>
      </c>
      <c r="B39" s="246">
        <f t="shared" si="2"/>
        <v>1014.0174999999999</v>
      </c>
      <c r="C39" s="247">
        <v>990.25</v>
      </c>
      <c r="D39" s="246">
        <f t="shared" si="3"/>
        <v>981.53250000000003</v>
      </c>
      <c r="E39" s="246">
        <f t="shared" si="4"/>
        <v>997.77499999999998</v>
      </c>
      <c r="F39" s="224"/>
      <c r="G39" s="224"/>
    </row>
    <row r="40" spans="1:7">
      <c r="A40" s="222">
        <v>15</v>
      </c>
      <c r="B40" s="246">
        <f t="shared" si="2"/>
        <v>1014.0174999999999</v>
      </c>
      <c r="C40" s="247">
        <v>998.25</v>
      </c>
      <c r="D40" s="246">
        <f t="shared" si="3"/>
        <v>981.53250000000003</v>
      </c>
      <c r="E40" s="246">
        <f t="shared" si="4"/>
        <v>997.77499999999998</v>
      </c>
      <c r="F40" s="224"/>
      <c r="G40" s="224"/>
    </row>
    <row r="41" spans="1:7">
      <c r="A41" s="222">
        <v>16</v>
      </c>
      <c r="B41" s="246">
        <f t="shared" si="2"/>
        <v>1014.0174999999999</v>
      </c>
      <c r="C41" s="247">
        <v>999.25</v>
      </c>
      <c r="D41" s="246">
        <f t="shared" si="3"/>
        <v>981.53250000000003</v>
      </c>
      <c r="E41" s="246">
        <f t="shared" si="4"/>
        <v>997.77499999999998</v>
      </c>
      <c r="F41" s="224"/>
      <c r="G41" s="224"/>
    </row>
    <row r="42" spans="1:7">
      <c r="A42" s="222">
        <v>17</v>
      </c>
      <c r="B42" s="246">
        <f t="shared" si="2"/>
        <v>1014.0174999999999</v>
      </c>
      <c r="C42" s="247">
        <v>1001.25</v>
      </c>
      <c r="D42" s="246">
        <f t="shared" si="3"/>
        <v>981.53250000000003</v>
      </c>
      <c r="E42" s="246">
        <f t="shared" si="4"/>
        <v>997.77499999999998</v>
      </c>
      <c r="F42" s="224"/>
      <c r="G42" s="224"/>
    </row>
    <row r="43" spans="1:7">
      <c r="A43" s="222">
        <v>18</v>
      </c>
      <c r="B43" s="246">
        <f t="shared" si="2"/>
        <v>1014.0174999999999</v>
      </c>
      <c r="C43" s="247">
        <v>993.5</v>
      </c>
      <c r="D43" s="246">
        <f t="shared" si="3"/>
        <v>981.53250000000003</v>
      </c>
      <c r="E43" s="246">
        <f t="shared" si="4"/>
        <v>997.77499999999998</v>
      </c>
      <c r="F43" s="224"/>
      <c r="G43" s="224"/>
    </row>
    <row r="44" spans="1:7">
      <c r="A44" s="222">
        <v>19</v>
      </c>
      <c r="B44" s="246">
        <f t="shared" si="2"/>
        <v>1014.0174999999999</v>
      </c>
      <c r="C44" s="247">
        <v>995.75</v>
      </c>
      <c r="D44" s="246">
        <f t="shared" si="3"/>
        <v>981.53250000000003</v>
      </c>
      <c r="E44" s="246">
        <f t="shared" si="4"/>
        <v>997.77499999999998</v>
      </c>
      <c r="F44" s="224"/>
      <c r="G44" s="224"/>
    </row>
    <row r="45" spans="1:7">
      <c r="A45" s="222">
        <v>20</v>
      </c>
      <c r="B45" s="246">
        <f t="shared" si="2"/>
        <v>1014.0174999999999</v>
      </c>
      <c r="C45" s="247">
        <v>1002</v>
      </c>
      <c r="D45" s="246">
        <f t="shared" si="3"/>
        <v>981.53250000000003</v>
      </c>
      <c r="E45" s="246">
        <f t="shared" si="4"/>
        <v>997.77499999999998</v>
      </c>
      <c r="F45" s="224"/>
      <c r="G45" s="224"/>
    </row>
    <row r="46" spans="1:7">
      <c r="B46" s="224"/>
      <c r="C46" s="248">
        <f>AVERAGE(C26:C45)</f>
        <v>997.77499999999998</v>
      </c>
      <c r="D46" s="224"/>
      <c r="E46" s="224"/>
      <c r="F46" s="224"/>
      <c r="G46" s="224"/>
    </row>
    <row r="47" spans="1:7">
      <c r="A47" s="224" t="s">
        <v>285</v>
      </c>
      <c r="B47" s="224">
        <f>C23</f>
        <v>22.25</v>
      </c>
    </row>
    <row r="48" spans="1:7">
      <c r="A48" s="224" t="s">
        <v>361</v>
      </c>
      <c r="B48" s="224">
        <v>0.73</v>
      </c>
    </row>
    <row r="49" spans="1:5">
      <c r="A49" s="224" t="s">
        <v>367</v>
      </c>
      <c r="B49" s="224">
        <v>0</v>
      </c>
    </row>
    <row r="50" spans="1:5">
      <c r="A50" s="224" t="s">
        <v>364</v>
      </c>
      <c r="B50" s="224">
        <v>2.2799999999999998</v>
      </c>
    </row>
    <row r="51" spans="1:5">
      <c r="A51" s="224" t="s">
        <v>333</v>
      </c>
      <c r="B51" s="224">
        <v>2.06</v>
      </c>
    </row>
    <row r="53" spans="1:5">
      <c r="A53" s="249" t="s">
        <v>396</v>
      </c>
    </row>
    <row r="55" spans="1:5">
      <c r="A55" s="249" t="s">
        <v>332</v>
      </c>
      <c r="B55" s="250">
        <f>C23/B51</f>
        <v>10.800970873786408</v>
      </c>
      <c r="D55" s="222" t="s">
        <v>384</v>
      </c>
      <c r="E55" s="222" t="s">
        <v>385</v>
      </c>
    </row>
    <row r="56" spans="1:5">
      <c r="D56" s="250">
        <f>(B57-C46)/B55</f>
        <v>0.66892134831460881</v>
      </c>
      <c r="E56" s="250">
        <f>(B59-C46)/B55</f>
        <v>-0.25692134831460461</v>
      </c>
    </row>
    <row r="57" spans="1:5">
      <c r="A57" s="222" t="s">
        <v>363</v>
      </c>
      <c r="B57" s="222">
        <f>B58+5</f>
        <v>1005</v>
      </c>
      <c r="D57" s="250">
        <f>NORMSDIST(D56)</f>
        <v>0.74822717435600317</v>
      </c>
      <c r="E57" s="250">
        <f>NORMSDIST(E56)</f>
        <v>0.3986197450235679</v>
      </c>
    </row>
    <row r="58" spans="1:5">
      <c r="A58" s="222" t="s">
        <v>365</v>
      </c>
      <c r="B58" s="222">
        <v>1000</v>
      </c>
    </row>
    <row r="59" spans="1:5">
      <c r="A59" s="222" t="s">
        <v>368</v>
      </c>
      <c r="B59" s="222">
        <f>B58-5</f>
        <v>995</v>
      </c>
      <c r="D59" s="222" t="s">
        <v>397</v>
      </c>
      <c r="E59" s="251">
        <f>1-(D57-E57)</f>
        <v>0.65039257066756473</v>
      </c>
    </row>
    <row r="61" spans="1:5">
      <c r="A61" s="249" t="s">
        <v>398</v>
      </c>
    </row>
    <row r="63" spans="1:5">
      <c r="A63" s="222" t="s">
        <v>327</v>
      </c>
      <c r="B63" s="250">
        <v>0</v>
      </c>
    </row>
    <row r="65" spans="1:3">
      <c r="A65" s="249" t="s">
        <v>399</v>
      </c>
    </row>
    <row r="67" spans="1:3">
      <c r="A67" s="222" t="s">
        <v>331</v>
      </c>
      <c r="B67" s="227">
        <f>(B57-B59)/(6*B55)</f>
        <v>0.15430711610486891</v>
      </c>
      <c r="C67" s="227"/>
    </row>
    <row r="68" spans="1:3">
      <c r="A68" s="222" t="s">
        <v>330</v>
      </c>
      <c r="B68" s="227">
        <f>(B57-C46)/(3*B55)</f>
        <v>0.22297378277153629</v>
      </c>
      <c r="C68" s="227">
        <f>(C46-B59)/(3*B55)</f>
        <v>8.5640449438201552E-2</v>
      </c>
    </row>
    <row r="69" spans="1:3">
      <c r="A69" s="222" t="s">
        <v>329</v>
      </c>
      <c r="B69" s="227">
        <f>(B57-B59)/(6*B70)</f>
        <v>0.15113367891105725</v>
      </c>
      <c r="C69" s="227"/>
    </row>
    <row r="70" spans="1:3">
      <c r="A70" s="222" t="s">
        <v>400</v>
      </c>
      <c r="B70" s="227">
        <f>SQRT((B55^2+(C46-B58)^2))</f>
        <v>11.027764815064856</v>
      </c>
      <c r="C70" s="227"/>
    </row>
  </sheetData>
  <mergeCells count="2">
    <mergeCell ref="B1:E1"/>
    <mergeCell ref="B24:E24"/>
  </mergeCells>
  <pageMargins left="0.75" right="0.75" top="1" bottom="1" header="0.5" footer="0.5"/>
  <pageSetup paperSize="9" orientation="portrait" horizontalDpi="4294967292" verticalDpi="429496729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0DB07-90C6-C645-91AB-1E70ABFE2CE5}">
  <dimension ref="A1:H41"/>
  <sheetViews>
    <sheetView zoomScaleNormal="100" workbookViewId="0">
      <selection activeCell="H35" sqref="H35"/>
    </sheetView>
  </sheetViews>
  <sheetFormatPr baseColWidth="10" defaultRowHeight="13"/>
  <cols>
    <col min="1" max="1" width="10.83203125" style="222"/>
    <col min="2" max="2" width="11.5" style="222" bestFit="1" customWidth="1"/>
    <col min="3" max="257" width="10.83203125" style="222"/>
    <col min="258" max="258" width="11.5" style="222" bestFit="1" customWidth="1"/>
    <col min="259" max="513" width="10.83203125" style="222"/>
    <col min="514" max="514" width="11.5" style="222" bestFit="1" customWidth="1"/>
    <col min="515" max="769" width="10.83203125" style="222"/>
    <col min="770" max="770" width="11.5" style="222" bestFit="1" customWidth="1"/>
    <col min="771" max="1025" width="10.83203125" style="222"/>
    <col min="1026" max="1026" width="11.5" style="222" bestFit="1" customWidth="1"/>
    <col min="1027" max="1281" width="10.83203125" style="222"/>
    <col min="1282" max="1282" width="11.5" style="222" bestFit="1" customWidth="1"/>
    <col min="1283" max="1537" width="10.83203125" style="222"/>
    <col min="1538" max="1538" width="11.5" style="222" bestFit="1" customWidth="1"/>
    <col min="1539" max="1793" width="10.83203125" style="222"/>
    <col min="1794" max="1794" width="11.5" style="222" bestFit="1" customWidth="1"/>
    <col min="1795" max="2049" width="10.83203125" style="222"/>
    <col min="2050" max="2050" width="11.5" style="222" bestFit="1" customWidth="1"/>
    <col min="2051" max="2305" width="10.83203125" style="222"/>
    <col min="2306" max="2306" width="11.5" style="222" bestFit="1" customWidth="1"/>
    <col min="2307" max="2561" width="10.83203125" style="222"/>
    <col min="2562" max="2562" width="11.5" style="222" bestFit="1" customWidth="1"/>
    <col min="2563" max="2817" width="10.83203125" style="222"/>
    <col min="2818" max="2818" width="11.5" style="222" bestFit="1" customWidth="1"/>
    <col min="2819" max="3073" width="10.83203125" style="222"/>
    <col min="3074" max="3074" width="11.5" style="222" bestFit="1" customWidth="1"/>
    <col min="3075" max="3329" width="10.83203125" style="222"/>
    <col min="3330" max="3330" width="11.5" style="222" bestFit="1" customWidth="1"/>
    <col min="3331" max="3585" width="10.83203125" style="222"/>
    <col min="3586" max="3586" width="11.5" style="222" bestFit="1" customWidth="1"/>
    <col min="3587" max="3841" width="10.83203125" style="222"/>
    <col min="3842" max="3842" width="11.5" style="222" bestFit="1" customWidth="1"/>
    <col min="3843" max="4097" width="10.83203125" style="222"/>
    <col min="4098" max="4098" width="11.5" style="222" bestFit="1" customWidth="1"/>
    <col min="4099" max="4353" width="10.83203125" style="222"/>
    <col min="4354" max="4354" width="11.5" style="222" bestFit="1" customWidth="1"/>
    <col min="4355" max="4609" width="10.83203125" style="222"/>
    <col min="4610" max="4610" width="11.5" style="222" bestFit="1" customWidth="1"/>
    <col min="4611" max="4865" width="10.83203125" style="222"/>
    <col min="4866" max="4866" width="11.5" style="222" bestFit="1" customWidth="1"/>
    <col min="4867" max="5121" width="10.83203125" style="222"/>
    <col min="5122" max="5122" width="11.5" style="222" bestFit="1" customWidth="1"/>
    <col min="5123" max="5377" width="10.83203125" style="222"/>
    <col min="5378" max="5378" width="11.5" style="222" bestFit="1" customWidth="1"/>
    <col min="5379" max="5633" width="10.83203125" style="222"/>
    <col min="5634" max="5634" width="11.5" style="222" bestFit="1" customWidth="1"/>
    <col min="5635" max="5889" width="10.83203125" style="222"/>
    <col min="5890" max="5890" width="11.5" style="222" bestFit="1" customWidth="1"/>
    <col min="5891" max="6145" width="10.83203125" style="222"/>
    <col min="6146" max="6146" width="11.5" style="222" bestFit="1" customWidth="1"/>
    <col min="6147" max="6401" width="10.83203125" style="222"/>
    <col min="6402" max="6402" width="11.5" style="222" bestFit="1" customWidth="1"/>
    <col min="6403" max="6657" width="10.83203125" style="222"/>
    <col min="6658" max="6658" width="11.5" style="222" bestFit="1" customWidth="1"/>
    <col min="6659" max="6913" width="10.83203125" style="222"/>
    <col min="6914" max="6914" width="11.5" style="222" bestFit="1" customWidth="1"/>
    <col min="6915" max="7169" width="10.83203125" style="222"/>
    <col min="7170" max="7170" width="11.5" style="222" bestFit="1" customWidth="1"/>
    <col min="7171" max="7425" width="10.83203125" style="222"/>
    <col min="7426" max="7426" width="11.5" style="222" bestFit="1" customWidth="1"/>
    <col min="7427" max="7681" width="10.83203125" style="222"/>
    <col min="7682" max="7682" width="11.5" style="222" bestFit="1" customWidth="1"/>
    <col min="7683" max="7937" width="10.83203125" style="222"/>
    <col min="7938" max="7938" width="11.5" style="222" bestFit="1" customWidth="1"/>
    <col min="7939" max="8193" width="10.83203125" style="222"/>
    <col min="8194" max="8194" width="11.5" style="222" bestFit="1" customWidth="1"/>
    <col min="8195" max="8449" width="10.83203125" style="222"/>
    <col min="8450" max="8450" width="11.5" style="222" bestFit="1" customWidth="1"/>
    <col min="8451" max="8705" width="10.83203125" style="222"/>
    <col min="8706" max="8706" width="11.5" style="222" bestFit="1" customWidth="1"/>
    <col min="8707" max="8961" width="10.83203125" style="222"/>
    <col min="8962" max="8962" width="11.5" style="222" bestFit="1" customWidth="1"/>
    <col min="8963" max="9217" width="10.83203125" style="222"/>
    <col min="9218" max="9218" width="11.5" style="222" bestFit="1" customWidth="1"/>
    <col min="9219" max="9473" width="10.83203125" style="222"/>
    <col min="9474" max="9474" width="11.5" style="222" bestFit="1" customWidth="1"/>
    <col min="9475" max="9729" width="10.83203125" style="222"/>
    <col min="9730" max="9730" width="11.5" style="222" bestFit="1" customWidth="1"/>
    <col min="9731" max="9985" width="10.83203125" style="222"/>
    <col min="9986" max="9986" width="11.5" style="222" bestFit="1" customWidth="1"/>
    <col min="9987" max="10241" width="10.83203125" style="222"/>
    <col min="10242" max="10242" width="11.5" style="222" bestFit="1" customWidth="1"/>
    <col min="10243" max="10497" width="10.83203125" style="222"/>
    <col min="10498" max="10498" width="11.5" style="222" bestFit="1" customWidth="1"/>
    <col min="10499" max="10753" width="10.83203125" style="222"/>
    <col min="10754" max="10754" width="11.5" style="222" bestFit="1" customWidth="1"/>
    <col min="10755" max="11009" width="10.83203125" style="222"/>
    <col min="11010" max="11010" width="11.5" style="222" bestFit="1" customWidth="1"/>
    <col min="11011" max="11265" width="10.83203125" style="222"/>
    <col min="11266" max="11266" width="11.5" style="222" bestFit="1" customWidth="1"/>
    <col min="11267" max="11521" width="10.83203125" style="222"/>
    <col min="11522" max="11522" width="11.5" style="222" bestFit="1" customWidth="1"/>
    <col min="11523" max="11777" width="10.83203125" style="222"/>
    <col min="11778" max="11778" width="11.5" style="222" bestFit="1" customWidth="1"/>
    <col min="11779" max="12033" width="10.83203125" style="222"/>
    <col min="12034" max="12034" width="11.5" style="222" bestFit="1" customWidth="1"/>
    <col min="12035" max="12289" width="10.83203125" style="222"/>
    <col min="12290" max="12290" width="11.5" style="222" bestFit="1" customWidth="1"/>
    <col min="12291" max="12545" width="10.83203125" style="222"/>
    <col min="12546" max="12546" width="11.5" style="222" bestFit="1" customWidth="1"/>
    <col min="12547" max="12801" width="10.83203125" style="222"/>
    <col min="12802" max="12802" width="11.5" style="222" bestFit="1" customWidth="1"/>
    <col min="12803" max="13057" width="10.83203125" style="222"/>
    <col min="13058" max="13058" width="11.5" style="222" bestFit="1" customWidth="1"/>
    <col min="13059" max="13313" width="10.83203125" style="222"/>
    <col min="13314" max="13314" width="11.5" style="222" bestFit="1" customWidth="1"/>
    <col min="13315" max="13569" width="10.83203125" style="222"/>
    <col min="13570" max="13570" width="11.5" style="222" bestFit="1" customWidth="1"/>
    <col min="13571" max="13825" width="10.83203125" style="222"/>
    <col min="13826" max="13826" width="11.5" style="222" bestFit="1" customWidth="1"/>
    <col min="13827" max="14081" width="10.83203125" style="222"/>
    <col min="14082" max="14082" width="11.5" style="222" bestFit="1" customWidth="1"/>
    <col min="14083" max="14337" width="10.83203125" style="222"/>
    <col min="14338" max="14338" width="11.5" style="222" bestFit="1" customWidth="1"/>
    <col min="14339" max="14593" width="10.83203125" style="222"/>
    <col min="14594" max="14594" width="11.5" style="222" bestFit="1" customWidth="1"/>
    <col min="14595" max="14849" width="10.83203125" style="222"/>
    <col min="14850" max="14850" width="11.5" style="222" bestFit="1" customWidth="1"/>
    <col min="14851" max="15105" width="10.83203125" style="222"/>
    <col min="15106" max="15106" width="11.5" style="222" bestFit="1" customWidth="1"/>
    <col min="15107" max="15361" width="10.83203125" style="222"/>
    <col min="15362" max="15362" width="11.5" style="222" bestFit="1" customWidth="1"/>
    <col min="15363" max="15617" width="10.83203125" style="222"/>
    <col min="15618" max="15618" width="11.5" style="222" bestFit="1" customWidth="1"/>
    <col min="15619" max="15873" width="10.83203125" style="222"/>
    <col min="15874" max="15874" width="11.5" style="222" bestFit="1" customWidth="1"/>
    <col min="15875" max="16129" width="10.83203125" style="222"/>
    <col min="16130" max="16130" width="11.5" style="222" bestFit="1" customWidth="1"/>
    <col min="16131" max="16384" width="10.83203125" style="222"/>
  </cols>
  <sheetData>
    <row r="1" spans="1:8" ht="28">
      <c r="A1" s="224" t="s">
        <v>167</v>
      </c>
      <c r="B1" s="224" t="s">
        <v>344</v>
      </c>
      <c r="C1" s="224" t="s">
        <v>345</v>
      </c>
      <c r="D1" s="224" t="s">
        <v>346</v>
      </c>
      <c r="E1" s="252" t="s">
        <v>347</v>
      </c>
      <c r="F1" s="252" t="s">
        <v>348</v>
      </c>
      <c r="G1" s="252" t="s">
        <v>349</v>
      </c>
    </row>
    <row r="2" spans="1:8" ht="16">
      <c r="A2" s="224">
        <v>1</v>
      </c>
      <c r="B2" s="224">
        <v>120</v>
      </c>
      <c r="C2" s="224">
        <v>11</v>
      </c>
      <c r="D2" s="226">
        <f>+C2/B2</f>
        <v>9.166666666666666E-2</v>
      </c>
      <c r="E2" s="226">
        <f>+$B$23+(3*SQRT(($B$23*$B$25)/$B$24))</f>
        <v>0.13620794168071113</v>
      </c>
      <c r="F2" s="226">
        <f>$B$23</f>
        <v>6.7500000000000004E-2</v>
      </c>
      <c r="G2" s="226">
        <f>+$B$23-(3*SQRT(($B$23*$B$25)/$B$24))</f>
        <v>-1.2079416807111165E-3</v>
      </c>
      <c r="H2" s="253" t="s">
        <v>23</v>
      </c>
    </row>
    <row r="3" spans="1:8">
      <c r="A3" s="224">
        <v>2</v>
      </c>
      <c r="B3" s="224">
        <v>120</v>
      </c>
      <c r="C3" s="224">
        <v>10</v>
      </c>
      <c r="D3" s="226">
        <f t="shared" ref="D3:D21" si="0">+C3/B3</f>
        <v>8.3333333333333329E-2</v>
      </c>
      <c r="E3" s="226">
        <f t="shared" ref="E3:E21" si="1">+$B$23+(3*SQRT(($B$23*$B$25)/$B$24))</f>
        <v>0.13620794168071113</v>
      </c>
      <c r="F3" s="226">
        <f t="shared" ref="F3:F21" si="2">$B$23</f>
        <v>6.7500000000000004E-2</v>
      </c>
      <c r="G3" s="226">
        <f t="shared" ref="G3:G21" si="3">+$B$23-(3*SQRT(($B$23*$B$25)/$B$24))</f>
        <v>-1.2079416807111165E-3</v>
      </c>
    </row>
    <row r="4" spans="1:8">
      <c r="A4" s="224">
        <v>3</v>
      </c>
      <c r="B4" s="224">
        <v>120</v>
      </c>
      <c r="C4" s="224">
        <v>7</v>
      </c>
      <c r="D4" s="226">
        <f t="shared" si="0"/>
        <v>5.8333333333333334E-2</v>
      </c>
      <c r="E4" s="226">
        <f t="shared" si="1"/>
        <v>0.13620794168071113</v>
      </c>
      <c r="F4" s="226">
        <f t="shared" si="2"/>
        <v>6.7500000000000004E-2</v>
      </c>
      <c r="G4" s="226">
        <f t="shared" si="3"/>
        <v>-1.2079416807111165E-3</v>
      </c>
    </row>
    <row r="5" spans="1:8">
      <c r="A5" s="224">
        <v>4</v>
      </c>
      <c r="B5" s="224">
        <v>120</v>
      </c>
      <c r="C5" s="224">
        <v>10</v>
      </c>
      <c r="D5" s="226">
        <f t="shared" si="0"/>
        <v>8.3333333333333329E-2</v>
      </c>
      <c r="E5" s="226">
        <f t="shared" si="1"/>
        <v>0.13620794168071113</v>
      </c>
      <c r="F5" s="226">
        <f t="shared" si="2"/>
        <v>6.7500000000000004E-2</v>
      </c>
      <c r="G5" s="226">
        <f t="shared" si="3"/>
        <v>-1.2079416807111165E-3</v>
      </c>
    </row>
    <row r="6" spans="1:8">
      <c r="A6" s="224">
        <v>5</v>
      </c>
      <c r="B6" s="224">
        <v>120</v>
      </c>
      <c r="C6" s="224">
        <v>4</v>
      </c>
      <c r="D6" s="226">
        <f t="shared" si="0"/>
        <v>3.3333333333333333E-2</v>
      </c>
      <c r="E6" s="226">
        <f t="shared" si="1"/>
        <v>0.13620794168071113</v>
      </c>
      <c r="F6" s="226">
        <f t="shared" si="2"/>
        <v>6.7500000000000004E-2</v>
      </c>
      <c r="G6" s="226">
        <f t="shared" si="3"/>
        <v>-1.2079416807111165E-3</v>
      </c>
    </row>
    <row r="7" spans="1:8">
      <c r="A7" s="224">
        <v>6</v>
      </c>
      <c r="B7" s="224">
        <v>120</v>
      </c>
      <c r="C7" s="224">
        <v>12</v>
      </c>
      <c r="D7" s="226">
        <f t="shared" si="0"/>
        <v>0.1</v>
      </c>
      <c r="E7" s="226">
        <f t="shared" si="1"/>
        <v>0.13620794168071113</v>
      </c>
      <c r="F7" s="226">
        <f t="shared" si="2"/>
        <v>6.7500000000000004E-2</v>
      </c>
      <c r="G7" s="226">
        <f t="shared" si="3"/>
        <v>-1.2079416807111165E-3</v>
      </c>
    </row>
    <row r="8" spans="1:8">
      <c r="A8" s="224">
        <v>7</v>
      </c>
      <c r="B8" s="224">
        <v>120</v>
      </c>
      <c r="C8" s="224">
        <v>8</v>
      </c>
      <c r="D8" s="226">
        <f t="shared" si="0"/>
        <v>6.6666666666666666E-2</v>
      </c>
      <c r="E8" s="226">
        <f t="shared" si="1"/>
        <v>0.13620794168071113</v>
      </c>
      <c r="F8" s="226">
        <f t="shared" si="2"/>
        <v>6.7500000000000004E-2</v>
      </c>
      <c r="G8" s="226">
        <f t="shared" si="3"/>
        <v>-1.2079416807111165E-3</v>
      </c>
    </row>
    <row r="9" spans="1:8">
      <c r="A9" s="224">
        <v>8</v>
      </c>
      <c r="B9" s="224">
        <v>120</v>
      </c>
      <c r="C9" s="224">
        <v>5</v>
      </c>
      <c r="D9" s="226">
        <f t="shared" si="0"/>
        <v>4.1666666666666664E-2</v>
      </c>
      <c r="E9" s="226">
        <f t="shared" si="1"/>
        <v>0.13620794168071113</v>
      </c>
      <c r="F9" s="226">
        <f t="shared" si="2"/>
        <v>6.7500000000000004E-2</v>
      </c>
      <c r="G9" s="226">
        <f t="shared" si="3"/>
        <v>-1.2079416807111165E-3</v>
      </c>
    </row>
    <row r="10" spans="1:8">
      <c r="A10" s="224">
        <v>9</v>
      </c>
      <c r="B10" s="224">
        <v>120</v>
      </c>
      <c r="C10" s="224">
        <v>14</v>
      </c>
      <c r="D10" s="226">
        <f t="shared" si="0"/>
        <v>0.11666666666666667</v>
      </c>
      <c r="E10" s="226">
        <f t="shared" si="1"/>
        <v>0.13620794168071113</v>
      </c>
      <c r="F10" s="226">
        <f t="shared" si="2"/>
        <v>6.7500000000000004E-2</v>
      </c>
      <c r="G10" s="226">
        <f t="shared" si="3"/>
        <v>-1.2079416807111165E-3</v>
      </c>
    </row>
    <row r="11" spans="1:8">
      <c r="A11" s="224">
        <v>10</v>
      </c>
      <c r="B11" s="224">
        <v>120</v>
      </c>
      <c r="C11" s="224">
        <v>12</v>
      </c>
      <c r="D11" s="226">
        <f t="shared" si="0"/>
        <v>0.1</v>
      </c>
      <c r="E11" s="226">
        <f t="shared" si="1"/>
        <v>0.13620794168071113</v>
      </c>
      <c r="F11" s="226">
        <f t="shared" si="2"/>
        <v>6.7500000000000004E-2</v>
      </c>
      <c r="G11" s="226">
        <f t="shared" si="3"/>
        <v>-1.2079416807111165E-3</v>
      </c>
    </row>
    <row r="12" spans="1:8">
      <c r="A12" s="224">
        <v>11</v>
      </c>
      <c r="B12" s="224">
        <v>120</v>
      </c>
      <c r="C12" s="224">
        <v>8</v>
      </c>
      <c r="D12" s="226">
        <f t="shared" si="0"/>
        <v>6.6666666666666666E-2</v>
      </c>
      <c r="E12" s="226">
        <f t="shared" si="1"/>
        <v>0.13620794168071113</v>
      </c>
      <c r="F12" s="226">
        <f t="shared" si="2"/>
        <v>6.7500000000000004E-2</v>
      </c>
      <c r="G12" s="226">
        <f t="shared" si="3"/>
        <v>-1.2079416807111165E-3</v>
      </c>
    </row>
    <row r="13" spans="1:8">
      <c r="A13" s="224">
        <v>12</v>
      </c>
      <c r="B13" s="224">
        <v>120</v>
      </c>
      <c r="C13" s="224">
        <v>7</v>
      </c>
      <c r="D13" s="226">
        <f t="shared" si="0"/>
        <v>5.8333333333333334E-2</v>
      </c>
      <c r="E13" s="226">
        <f t="shared" si="1"/>
        <v>0.13620794168071113</v>
      </c>
      <c r="F13" s="226">
        <f t="shared" si="2"/>
        <v>6.7500000000000004E-2</v>
      </c>
      <c r="G13" s="226">
        <f t="shared" si="3"/>
        <v>-1.2079416807111165E-3</v>
      </c>
    </row>
    <row r="14" spans="1:8">
      <c r="A14" s="224">
        <v>13</v>
      </c>
      <c r="B14" s="224">
        <v>120</v>
      </c>
      <c r="C14" s="224">
        <v>9</v>
      </c>
      <c r="D14" s="226">
        <f t="shared" si="0"/>
        <v>7.4999999999999997E-2</v>
      </c>
      <c r="E14" s="226">
        <f t="shared" si="1"/>
        <v>0.13620794168071113</v>
      </c>
      <c r="F14" s="226">
        <f t="shared" si="2"/>
        <v>6.7500000000000004E-2</v>
      </c>
      <c r="G14" s="226">
        <f t="shared" si="3"/>
        <v>-1.2079416807111165E-3</v>
      </c>
    </row>
    <row r="15" spans="1:8">
      <c r="A15" s="224">
        <f>+A14+1</f>
        <v>14</v>
      </c>
      <c r="B15" s="224">
        <v>120</v>
      </c>
      <c r="C15" s="224">
        <v>6</v>
      </c>
      <c r="D15" s="226">
        <f t="shared" si="0"/>
        <v>0.05</v>
      </c>
      <c r="E15" s="226">
        <f t="shared" si="1"/>
        <v>0.13620794168071113</v>
      </c>
      <c r="F15" s="226">
        <f t="shared" si="2"/>
        <v>6.7500000000000004E-2</v>
      </c>
      <c r="G15" s="226">
        <f t="shared" si="3"/>
        <v>-1.2079416807111165E-3</v>
      </c>
    </row>
    <row r="16" spans="1:8">
      <c r="A16" s="224">
        <f>+A15+1</f>
        <v>15</v>
      </c>
      <c r="B16" s="224">
        <v>120</v>
      </c>
      <c r="C16" s="224">
        <v>6</v>
      </c>
      <c r="D16" s="226">
        <f t="shared" si="0"/>
        <v>0.05</v>
      </c>
      <c r="E16" s="226">
        <f t="shared" si="1"/>
        <v>0.13620794168071113</v>
      </c>
      <c r="F16" s="226">
        <f t="shared" si="2"/>
        <v>6.7500000000000004E-2</v>
      </c>
      <c r="G16" s="226">
        <f t="shared" si="3"/>
        <v>-1.2079416807111165E-3</v>
      </c>
    </row>
    <row r="17" spans="1:7">
      <c r="A17" s="224">
        <f>+A16+1</f>
        <v>16</v>
      </c>
      <c r="B17" s="224">
        <v>120</v>
      </c>
      <c r="C17" s="224">
        <v>1</v>
      </c>
      <c r="D17" s="226">
        <f t="shared" si="0"/>
        <v>8.3333333333333332E-3</v>
      </c>
      <c r="E17" s="226">
        <f t="shared" si="1"/>
        <v>0.13620794168071113</v>
      </c>
      <c r="F17" s="226">
        <f t="shared" si="2"/>
        <v>6.7500000000000004E-2</v>
      </c>
      <c r="G17" s="226">
        <f t="shared" si="3"/>
        <v>-1.2079416807111165E-3</v>
      </c>
    </row>
    <row r="18" spans="1:7">
      <c r="A18" s="224">
        <f>+A17+1</f>
        <v>17</v>
      </c>
      <c r="B18" s="224">
        <v>120</v>
      </c>
      <c r="C18" s="224">
        <v>9</v>
      </c>
      <c r="D18" s="226">
        <f t="shared" si="0"/>
        <v>7.4999999999999997E-2</v>
      </c>
      <c r="E18" s="226">
        <f t="shared" si="1"/>
        <v>0.13620794168071113</v>
      </c>
      <c r="F18" s="226">
        <f t="shared" si="2"/>
        <v>6.7500000000000004E-2</v>
      </c>
      <c r="G18" s="226">
        <f t="shared" si="3"/>
        <v>-1.2079416807111165E-3</v>
      </c>
    </row>
    <row r="19" spans="1:7">
      <c r="A19" s="224">
        <f>+A18+1</f>
        <v>18</v>
      </c>
      <c r="B19" s="224">
        <v>120</v>
      </c>
      <c r="C19" s="224">
        <v>7</v>
      </c>
      <c r="D19" s="226">
        <f t="shared" si="0"/>
        <v>5.8333333333333334E-2</v>
      </c>
      <c r="E19" s="226">
        <f t="shared" si="1"/>
        <v>0.13620794168071113</v>
      </c>
      <c r="F19" s="226">
        <f t="shared" si="2"/>
        <v>6.7500000000000004E-2</v>
      </c>
      <c r="G19" s="226">
        <f t="shared" si="3"/>
        <v>-1.2079416807111165E-3</v>
      </c>
    </row>
    <row r="20" spans="1:7">
      <c r="A20" s="224">
        <v>19</v>
      </c>
      <c r="B20" s="224">
        <v>120</v>
      </c>
      <c r="C20" s="224">
        <v>6</v>
      </c>
      <c r="D20" s="226">
        <f t="shared" si="0"/>
        <v>0.05</v>
      </c>
      <c r="E20" s="226">
        <f t="shared" si="1"/>
        <v>0.13620794168071113</v>
      </c>
      <c r="F20" s="226">
        <f t="shared" si="2"/>
        <v>6.7500000000000004E-2</v>
      </c>
      <c r="G20" s="226">
        <f t="shared" si="3"/>
        <v>-1.2079416807111165E-3</v>
      </c>
    </row>
    <row r="21" spans="1:7">
      <c r="A21" s="224">
        <v>20</v>
      </c>
      <c r="B21" s="224">
        <v>120</v>
      </c>
      <c r="C21" s="224">
        <v>10</v>
      </c>
      <c r="D21" s="226">
        <f t="shared" si="0"/>
        <v>8.3333333333333329E-2</v>
      </c>
      <c r="E21" s="226">
        <f t="shared" si="1"/>
        <v>0.13620794168071113</v>
      </c>
      <c r="F21" s="226">
        <f t="shared" si="2"/>
        <v>6.7500000000000004E-2</v>
      </c>
      <c r="G21" s="226">
        <f t="shared" si="3"/>
        <v>-1.2079416807111165E-3</v>
      </c>
    </row>
    <row r="22" spans="1:7">
      <c r="B22" s="224">
        <f>SUM(B2:B21)</f>
        <v>2400</v>
      </c>
      <c r="C22" s="224">
        <f>SUM(C2:C21)</f>
        <v>162</v>
      </c>
      <c r="D22" s="224"/>
    </row>
    <row r="23" spans="1:7">
      <c r="A23" s="245" t="s">
        <v>16</v>
      </c>
      <c r="B23" s="254">
        <f>+C22/B22</f>
        <v>6.7500000000000004E-2</v>
      </c>
    </row>
    <row r="24" spans="1:7">
      <c r="A24" s="245" t="s">
        <v>101</v>
      </c>
      <c r="B24" s="255">
        <f>+B22/20</f>
        <v>120</v>
      </c>
    </row>
    <row r="25" spans="1:7">
      <c r="A25" s="245" t="s">
        <v>350</v>
      </c>
      <c r="B25" s="254">
        <f>1-B23</f>
        <v>0.9325</v>
      </c>
    </row>
    <row r="28" spans="1:7" ht="16" customHeight="1">
      <c r="B28" s="531" t="s">
        <v>433</v>
      </c>
      <c r="C28" s="531"/>
      <c r="D28" s="531"/>
      <c r="E28" s="531"/>
      <c r="F28" s="531"/>
    </row>
    <row r="29" spans="1:7" ht="16" customHeight="1">
      <c r="B29" s="531"/>
      <c r="C29" s="531"/>
      <c r="D29" s="531"/>
      <c r="E29" s="531"/>
      <c r="F29" s="531"/>
    </row>
    <row r="30" spans="1:7" ht="16" customHeight="1">
      <c r="B30" s="531"/>
      <c r="C30" s="531"/>
      <c r="D30" s="531"/>
      <c r="E30" s="531"/>
      <c r="F30" s="531"/>
    </row>
    <row r="31" spans="1:7" ht="16">
      <c r="B31" s="256"/>
    </row>
    <row r="32" spans="1:7" ht="16" customHeight="1">
      <c r="B32" s="532" t="s">
        <v>434</v>
      </c>
      <c r="C32" s="532"/>
      <c r="D32" s="532"/>
      <c r="E32" s="532"/>
      <c r="F32" s="532"/>
    </row>
    <row r="33" spans="2:6" ht="16" customHeight="1">
      <c r="B33" s="532"/>
      <c r="C33" s="532"/>
      <c r="D33" s="532"/>
      <c r="E33" s="532"/>
      <c r="F33" s="532"/>
    </row>
    <row r="34" spans="2:6" ht="16" customHeight="1">
      <c r="B34" s="532"/>
      <c r="C34" s="532"/>
      <c r="D34" s="532"/>
      <c r="E34" s="532"/>
      <c r="F34" s="532"/>
    </row>
    <row r="37" spans="2:6">
      <c r="B37" s="533" t="s">
        <v>435</v>
      </c>
      <c r="C37" s="533"/>
      <c r="D37" s="533"/>
      <c r="E37" s="533"/>
      <c r="F37" s="533"/>
    </row>
    <row r="38" spans="2:6">
      <c r="B38" s="533"/>
      <c r="C38" s="533"/>
      <c r="D38" s="533"/>
      <c r="E38" s="533"/>
      <c r="F38" s="533"/>
    </row>
    <row r="39" spans="2:6">
      <c r="B39" s="533"/>
      <c r="C39" s="533"/>
      <c r="D39" s="533"/>
      <c r="E39" s="533"/>
      <c r="F39" s="533"/>
    </row>
    <row r="40" spans="2:6">
      <c r="B40" s="533"/>
      <c r="C40" s="533"/>
      <c r="D40" s="533"/>
      <c r="E40" s="533"/>
      <c r="F40" s="533"/>
    </row>
    <row r="41" spans="2:6">
      <c r="B41" s="533"/>
      <c r="C41" s="533"/>
      <c r="D41" s="533"/>
      <c r="E41" s="533"/>
      <c r="F41" s="533"/>
    </row>
  </sheetData>
  <mergeCells count="3">
    <mergeCell ref="B28:F30"/>
    <mergeCell ref="B32:F34"/>
    <mergeCell ref="B37:F41"/>
  </mergeCells>
  <pageMargins left="0.75" right="0.75" top="1" bottom="1" header="0.5" footer="0.5"/>
  <pageSetup paperSize="0" orientation="portrait" horizontalDpi="4294967292" verticalDpi="4294967292"/>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9958-A78C-7946-A5D7-887DDADF98C4}">
  <dimension ref="B2:Q24"/>
  <sheetViews>
    <sheetView zoomScale="120" zoomScaleNormal="120" workbookViewId="0">
      <selection activeCell="I26" sqref="I26"/>
    </sheetView>
  </sheetViews>
  <sheetFormatPr baseColWidth="10" defaultRowHeight="16"/>
  <cols>
    <col min="6" max="6" width="3.5" customWidth="1"/>
  </cols>
  <sheetData>
    <row r="2" spans="2:17">
      <c r="B2" s="537" t="s">
        <v>159</v>
      </c>
      <c r="C2" s="537"/>
    </row>
    <row r="3" spans="2:17">
      <c r="B3" s="65" t="s">
        <v>413</v>
      </c>
      <c r="C3" s="65">
        <f>C4+10</f>
        <v>90</v>
      </c>
    </row>
    <row r="4" spans="2:17" ht="17" thickBot="1">
      <c r="B4" s="65" t="s">
        <v>412</v>
      </c>
      <c r="C4" s="65">
        <v>80</v>
      </c>
    </row>
    <row r="5" spans="2:17" ht="17" thickBot="1">
      <c r="B5" s="65" t="s">
        <v>411</v>
      </c>
      <c r="C5" s="65">
        <f>C4-10</f>
        <v>70</v>
      </c>
      <c r="J5" s="538" t="s">
        <v>776</v>
      </c>
      <c r="K5" s="539"/>
      <c r="L5" s="539"/>
      <c r="M5" s="539"/>
      <c r="N5" s="539"/>
      <c r="O5" s="539"/>
      <c r="P5" s="539"/>
      <c r="Q5" s="540"/>
    </row>
    <row r="7" spans="2:17">
      <c r="B7" s="65" t="s">
        <v>437</v>
      </c>
      <c r="C7" s="350">
        <f>_xlfn.STDEV.S(J7:Q16)</f>
        <v>2.6812759101459713</v>
      </c>
      <c r="G7" s="537" t="s">
        <v>777</v>
      </c>
      <c r="H7" s="537"/>
      <c r="J7" s="351">
        <v>84</v>
      </c>
      <c r="K7" s="351">
        <v>86</v>
      </c>
      <c r="L7" s="351">
        <v>82</v>
      </c>
      <c r="M7" s="351">
        <v>86</v>
      </c>
      <c r="N7" s="351">
        <v>78</v>
      </c>
      <c r="O7" s="351">
        <v>82</v>
      </c>
      <c r="P7" s="351">
        <v>84</v>
      </c>
      <c r="Q7" s="351">
        <v>80</v>
      </c>
    </row>
    <row r="8" spans="2:17">
      <c r="B8" s="65" t="s">
        <v>436</v>
      </c>
      <c r="C8" s="350">
        <f>AVERAGE(J7:Q16)</f>
        <v>82.525000000000006</v>
      </c>
      <c r="G8" s="65">
        <f>(E14^2)/(2*(C10-1))</f>
        <v>5.4656244192074765E-3</v>
      </c>
      <c r="H8" s="65">
        <f>1/(9*C10)</f>
        <v>1.3888888888888889E-3</v>
      </c>
      <c r="J8" s="351">
        <v>86</v>
      </c>
      <c r="K8" s="351">
        <v>82</v>
      </c>
      <c r="L8" s="351">
        <v>82</v>
      </c>
      <c r="M8" s="351">
        <v>90</v>
      </c>
      <c r="N8" s="351">
        <v>84</v>
      </c>
      <c r="O8" s="351">
        <v>81</v>
      </c>
      <c r="P8" s="351">
        <v>82</v>
      </c>
      <c r="Q8" s="351">
        <v>78</v>
      </c>
    </row>
    <row r="9" spans="2:17">
      <c r="B9" s="65" t="s">
        <v>778</v>
      </c>
      <c r="C9" s="350">
        <v>1.96</v>
      </c>
      <c r="J9" s="351">
        <v>78</v>
      </c>
      <c r="K9" s="351">
        <v>80</v>
      </c>
      <c r="L9" s="351">
        <v>83</v>
      </c>
      <c r="M9" s="351">
        <v>81</v>
      </c>
      <c r="N9" s="351">
        <v>86</v>
      </c>
      <c r="O9" s="351">
        <v>86</v>
      </c>
      <c r="P9" s="351">
        <v>83</v>
      </c>
      <c r="Q9" s="351">
        <v>84</v>
      </c>
    </row>
    <row r="10" spans="2:17">
      <c r="B10" s="65" t="s">
        <v>101</v>
      </c>
      <c r="C10" s="65">
        <f>COUNT(J7:Q16)</f>
        <v>80</v>
      </c>
      <c r="J10" s="351">
        <v>79</v>
      </c>
      <c r="K10" s="351">
        <v>86</v>
      </c>
      <c r="L10" s="351">
        <v>87</v>
      </c>
      <c r="M10" s="351">
        <v>83</v>
      </c>
      <c r="N10" s="351">
        <v>81</v>
      </c>
      <c r="O10" s="351">
        <v>84</v>
      </c>
      <c r="P10" s="351">
        <v>83</v>
      </c>
      <c r="Q10" s="351">
        <v>83</v>
      </c>
    </row>
    <row r="11" spans="2:17" ht="17" thickBot="1">
      <c r="G11" s="537" t="s">
        <v>779</v>
      </c>
      <c r="H11" s="537"/>
      <c r="J11" s="351">
        <v>81</v>
      </c>
      <c r="K11" s="351">
        <v>80</v>
      </c>
      <c r="L11" s="351">
        <v>78</v>
      </c>
      <c r="M11" s="351">
        <v>87</v>
      </c>
      <c r="N11" s="351">
        <v>85</v>
      </c>
      <c r="O11" s="351">
        <v>82</v>
      </c>
      <c r="P11" s="351">
        <v>86</v>
      </c>
      <c r="Q11" s="351">
        <v>83</v>
      </c>
    </row>
    <row r="12" spans="2:17" ht="17" thickBot="1">
      <c r="B12" s="352" t="s">
        <v>780</v>
      </c>
      <c r="C12" s="541" t="s">
        <v>781</v>
      </c>
      <c r="D12" s="541"/>
      <c r="E12" s="353" t="s">
        <v>782</v>
      </c>
      <c r="G12" s="65" t="s">
        <v>783</v>
      </c>
      <c r="H12" s="65">
        <f>(1/2)+(((C8-C4)^2)/$C$7^2)</f>
        <v>1.3868287261202621</v>
      </c>
      <c r="J12" s="351">
        <v>85</v>
      </c>
      <c r="K12" s="351">
        <v>84</v>
      </c>
      <c r="L12" s="351">
        <v>84</v>
      </c>
      <c r="M12" s="351">
        <v>78</v>
      </c>
      <c r="N12" s="351">
        <v>81</v>
      </c>
      <c r="O12" s="351">
        <v>79</v>
      </c>
      <c r="P12" s="351">
        <v>84</v>
      </c>
      <c r="Q12" s="351">
        <v>84</v>
      </c>
    </row>
    <row r="13" spans="2:17">
      <c r="B13" s="354" t="s">
        <v>331</v>
      </c>
      <c r="C13" s="130"/>
      <c r="D13" s="283"/>
      <c r="E13" s="355">
        <f>(C3-C5)/(6*C7)</f>
        <v>1.2431892296947027</v>
      </c>
      <c r="G13" s="65" t="s">
        <v>784</v>
      </c>
      <c r="H13" s="65">
        <f>(1+(((C8-C4)^2)/($C$7^2)))^2</f>
        <v>3.5601226417126108</v>
      </c>
      <c r="J13" s="351">
        <v>83</v>
      </c>
      <c r="K13" s="351">
        <v>80</v>
      </c>
      <c r="L13" s="351">
        <v>82</v>
      </c>
      <c r="M13" s="351">
        <v>82</v>
      </c>
      <c r="N13" s="351">
        <v>82</v>
      </c>
      <c r="O13" s="351">
        <v>82</v>
      </c>
      <c r="P13" s="351">
        <v>82</v>
      </c>
      <c r="Q13" s="351">
        <v>82</v>
      </c>
    </row>
    <row r="14" spans="2:17">
      <c r="B14" s="356" t="s">
        <v>330</v>
      </c>
      <c r="C14" s="357">
        <f>(C8-C5)/(3*C7)</f>
        <v>1.5570945101926159</v>
      </c>
      <c r="D14" s="357">
        <f>(C3-C8)/(3*C7)</f>
        <v>0.92928394919678958</v>
      </c>
      <c r="E14" s="358">
        <f>MIN(C14:D14)</f>
        <v>0.92928394919678958</v>
      </c>
      <c r="J14" s="351">
        <v>81</v>
      </c>
      <c r="K14" s="351">
        <v>83</v>
      </c>
      <c r="L14" s="351">
        <v>88</v>
      </c>
      <c r="M14" s="351">
        <v>81</v>
      </c>
      <c r="N14" s="351">
        <v>84</v>
      </c>
      <c r="O14" s="351">
        <v>87</v>
      </c>
      <c r="P14" s="351">
        <v>82</v>
      </c>
      <c r="Q14" s="351">
        <v>81</v>
      </c>
    </row>
    <row r="15" spans="2:17" ht="17" thickBot="1">
      <c r="B15" s="359" t="s">
        <v>329</v>
      </c>
      <c r="C15" s="284" t="s">
        <v>443</v>
      </c>
      <c r="D15" s="360">
        <f>6*SQRT((C7^2)+((C8-C4)^2))</f>
        <v>22.0983066823648</v>
      </c>
      <c r="E15" s="361">
        <f>(C3-C5)/D15</f>
        <v>0.90504672088566318</v>
      </c>
      <c r="J15" s="351">
        <v>77</v>
      </c>
      <c r="K15" s="351">
        <v>86</v>
      </c>
      <c r="L15" s="351">
        <v>83</v>
      </c>
      <c r="M15" s="351">
        <v>83</v>
      </c>
      <c r="N15" s="351">
        <v>82</v>
      </c>
      <c r="O15" s="351">
        <v>80</v>
      </c>
      <c r="P15" s="351">
        <v>82</v>
      </c>
      <c r="Q15" s="351">
        <v>81</v>
      </c>
    </row>
    <row r="16" spans="2:17" ht="17" thickBot="1">
      <c r="B16" s="534" t="s">
        <v>785</v>
      </c>
      <c r="C16" s="535"/>
      <c r="D16" s="535"/>
      <c r="E16" s="536"/>
      <c r="J16" s="351">
        <v>79</v>
      </c>
      <c r="K16" s="351">
        <v>85</v>
      </c>
      <c r="L16" s="351">
        <v>82</v>
      </c>
      <c r="M16" s="351">
        <v>84</v>
      </c>
      <c r="N16" s="351">
        <v>84</v>
      </c>
      <c r="O16" s="351">
        <v>80</v>
      </c>
      <c r="P16" s="351">
        <v>81</v>
      </c>
      <c r="Q16" s="351">
        <v>76</v>
      </c>
    </row>
    <row r="17" spans="2:10">
      <c r="B17" s="551" t="s">
        <v>331</v>
      </c>
      <c r="C17" s="552" t="s">
        <v>334</v>
      </c>
      <c r="D17" s="495"/>
      <c r="E17" s="355">
        <f>$E$13-($C$9*($E$13/SQRT((2*($C$10-1)))))</f>
        <v>1.0493396932253853</v>
      </c>
    </row>
    <row r="18" spans="2:10" ht="17" thickBot="1">
      <c r="B18" s="543"/>
      <c r="C18" s="546" t="s">
        <v>336</v>
      </c>
      <c r="D18" s="489"/>
      <c r="E18" s="361">
        <f>$E$13+($C$9*($E$13/SQRT((2*($C$10-1)))))</f>
        <v>1.43703876616402</v>
      </c>
    </row>
    <row r="19" spans="2:10">
      <c r="B19" s="551" t="s">
        <v>330</v>
      </c>
      <c r="C19" s="552" t="s">
        <v>334</v>
      </c>
      <c r="D19" s="495"/>
      <c r="E19" s="355">
        <f>$E$14-($C$9*SQRT($G$8+$H$8))</f>
        <v>0.76701165234861224</v>
      </c>
      <c r="G19" s="547" t="s">
        <v>740</v>
      </c>
      <c r="H19" s="547"/>
      <c r="I19" s="547"/>
      <c r="J19" s="548"/>
    </row>
    <row r="20" spans="2:10" ht="17" thickBot="1">
      <c r="B20" s="543"/>
      <c r="C20" s="546" t="s">
        <v>336</v>
      </c>
      <c r="D20" s="489"/>
      <c r="E20" s="361">
        <f>$E$14+$C$9*SQRT($G$8+$H$8)</f>
        <v>1.091556246044967</v>
      </c>
      <c r="G20" s="547"/>
      <c r="H20" s="547"/>
      <c r="I20" s="547"/>
      <c r="J20" s="548"/>
    </row>
    <row r="21" spans="2:10" ht="17" thickBot="1">
      <c r="B21" s="542" t="s">
        <v>329</v>
      </c>
      <c r="C21" s="544" t="s">
        <v>334</v>
      </c>
      <c r="D21" s="545"/>
      <c r="E21" s="362">
        <f>$E$15-($C$9*($E$15/SQRT($C$10))*SQRT($H$12/$H$13))</f>
        <v>0.78126371863441602</v>
      </c>
      <c r="G21" s="549"/>
      <c r="H21" s="549"/>
      <c r="I21" s="549"/>
      <c r="J21" s="550"/>
    </row>
    <row r="22" spans="2:10" ht="17" thickBot="1">
      <c r="B22" s="543"/>
      <c r="C22" s="546" t="s">
        <v>336</v>
      </c>
      <c r="D22" s="489"/>
      <c r="E22" s="361">
        <f>$E$15+($C$9*($E$15/SQRT($C$10))*SQRT($H$12/$H$13))</f>
        <v>1.0288297231369103</v>
      </c>
    </row>
    <row r="23" spans="2:10">
      <c r="B23" s="64"/>
      <c r="C23" s="64"/>
      <c r="D23" s="64"/>
      <c r="E23" s="64"/>
    </row>
    <row r="24" spans="2:10">
      <c r="B24" s="64"/>
      <c r="C24" s="64"/>
      <c r="D24" s="64"/>
      <c r="E24" s="64"/>
    </row>
  </sheetData>
  <mergeCells count="16">
    <mergeCell ref="B21:B22"/>
    <mergeCell ref="C21:D21"/>
    <mergeCell ref="C22:D22"/>
    <mergeCell ref="G19:J21"/>
    <mergeCell ref="B17:B18"/>
    <mergeCell ref="C17:D17"/>
    <mergeCell ref="C18:D18"/>
    <mergeCell ref="B19:B20"/>
    <mergeCell ref="C19:D19"/>
    <mergeCell ref="C20:D20"/>
    <mergeCell ref="B16:E16"/>
    <mergeCell ref="B2:C2"/>
    <mergeCell ref="J5:Q5"/>
    <mergeCell ref="G7:H7"/>
    <mergeCell ref="G11:H11"/>
    <mergeCell ref="C12:D1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3C53B-D919-4742-BEDD-F3763A87B83B}">
  <dimension ref="A2:V12"/>
  <sheetViews>
    <sheetView zoomScale="120" zoomScaleNormal="120" workbookViewId="0">
      <selection activeCell="K19" sqref="K19"/>
    </sheetView>
  </sheetViews>
  <sheetFormatPr baseColWidth="10" defaultRowHeight="13"/>
  <cols>
    <col min="1" max="1" width="10.83203125" style="1"/>
    <col min="2" max="21" width="5.1640625" style="1" customWidth="1"/>
    <col min="22" max="257" width="10.83203125" style="1"/>
    <col min="258" max="277" width="5.1640625" style="1" customWidth="1"/>
    <col min="278" max="513" width="10.83203125" style="1"/>
    <col min="514" max="533" width="5.1640625" style="1" customWidth="1"/>
    <col min="534" max="769" width="10.83203125" style="1"/>
    <col min="770" max="789" width="5.1640625" style="1" customWidth="1"/>
    <col min="790" max="1025" width="10.83203125" style="1"/>
    <col min="1026" max="1045" width="5.1640625" style="1" customWidth="1"/>
    <col min="1046" max="1281" width="10.83203125" style="1"/>
    <col min="1282" max="1301" width="5.1640625" style="1" customWidth="1"/>
    <col min="1302" max="1537" width="10.83203125" style="1"/>
    <col min="1538" max="1557" width="5.1640625" style="1" customWidth="1"/>
    <col min="1558" max="1793" width="10.83203125" style="1"/>
    <col min="1794" max="1813" width="5.1640625" style="1" customWidth="1"/>
    <col min="1814" max="2049" width="10.83203125" style="1"/>
    <col min="2050" max="2069" width="5.1640625" style="1" customWidth="1"/>
    <col min="2070" max="2305" width="10.83203125" style="1"/>
    <col min="2306" max="2325" width="5.1640625" style="1" customWidth="1"/>
    <col min="2326" max="2561" width="10.83203125" style="1"/>
    <col min="2562" max="2581" width="5.1640625" style="1" customWidth="1"/>
    <col min="2582" max="2817" width="10.83203125" style="1"/>
    <col min="2818" max="2837" width="5.1640625" style="1" customWidth="1"/>
    <col min="2838" max="3073" width="10.83203125" style="1"/>
    <col min="3074" max="3093" width="5.1640625" style="1" customWidth="1"/>
    <col min="3094" max="3329" width="10.83203125" style="1"/>
    <col min="3330" max="3349" width="5.1640625" style="1" customWidth="1"/>
    <col min="3350" max="3585" width="10.83203125" style="1"/>
    <col min="3586" max="3605" width="5.1640625" style="1" customWidth="1"/>
    <col min="3606" max="3841" width="10.83203125" style="1"/>
    <col min="3842" max="3861" width="5.1640625" style="1" customWidth="1"/>
    <col min="3862" max="4097" width="10.83203125" style="1"/>
    <col min="4098" max="4117" width="5.1640625" style="1" customWidth="1"/>
    <col min="4118" max="4353" width="10.83203125" style="1"/>
    <col min="4354" max="4373" width="5.1640625" style="1" customWidth="1"/>
    <col min="4374" max="4609" width="10.83203125" style="1"/>
    <col min="4610" max="4629" width="5.1640625" style="1" customWidth="1"/>
    <col min="4630" max="4865" width="10.83203125" style="1"/>
    <col min="4866" max="4885" width="5.1640625" style="1" customWidth="1"/>
    <col min="4886" max="5121" width="10.83203125" style="1"/>
    <col min="5122" max="5141" width="5.1640625" style="1" customWidth="1"/>
    <col min="5142" max="5377" width="10.83203125" style="1"/>
    <col min="5378" max="5397" width="5.1640625" style="1" customWidth="1"/>
    <col min="5398" max="5633" width="10.83203125" style="1"/>
    <col min="5634" max="5653" width="5.1640625" style="1" customWidth="1"/>
    <col min="5654" max="5889" width="10.83203125" style="1"/>
    <col min="5890" max="5909" width="5.1640625" style="1" customWidth="1"/>
    <col min="5910" max="6145" width="10.83203125" style="1"/>
    <col min="6146" max="6165" width="5.1640625" style="1" customWidth="1"/>
    <col min="6166" max="6401" width="10.83203125" style="1"/>
    <col min="6402" max="6421" width="5.1640625" style="1" customWidth="1"/>
    <col min="6422" max="6657" width="10.83203125" style="1"/>
    <col min="6658" max="6677" width="5.1640625" style="1" customWidth="1"/>
    <col min="6678" max="6913" width="10.83203125" style="1"/>
    <col min="6914" max="6933" width="5.1640625" style="1" customWidth="1"/>
    <col min="6934" max="7169" width="10.83203125" style="1"/>
    <col min="7170" max="7189" width="5.1640625" style="1" customWidth="1"/>
    <col min="7190" max="7425" width="10.83203125" style="1"/>
    <col min="7426" max="7445" width="5.1640625" style="1" customWidth="1"/>
    <col min="7446" max="7681" width="10.83203125" style="1"/>
    <col min="7682" max="7701" width="5.1640625" style="1" customWidth="1"/>
    <col min="7702" max="7937" width="10.83203125" style="1"/>
    <col min="7938" max="7957" width="5.1640625" style="1" customWidth="1"/>
    <col min="7958" max="8193" width="10.83203125" style="1"/>
    <col min="8194" max="8213" width="5.1640625" style="1" customWidth="1"/>
    <col min="8214" max="8449" width="10.83203125" style="1"/>
    <col min="8450" max="8469" width="5.1640625" style="1" customWidth="1"/>
    <col min="8470" max="8705" width="10.83203125" style="1"/>
    <col min="8706" max="8725" width="5.1640625" style="1" customWidth="1"/>
    <col min="8726" max="8961" width="10.83203125" style="1"/>
    <col min="8962" max="8981" width="5.1640625" style="1" customWidth="1"/>
    <col min="8982" max="9217" width="10.83203125" style="1"/>
    <col min="9218" max="9237" width="5.1640625" style="1" customWidth="1"/>
    <col min="9238" max="9473" width="10.83203125" style="1"/>
    <col min="9474" max="9493" width="5.1640625" style="1" customWidth="1"/>
    <col min="9494" max="9729" width="10.83203125" style="1"/>
    <col min="9730" max="9749" width="5.1640625" style="1" customWidth="1"/>
    <col min="9750" max="9985" width="10.83203125" style="1"/>
    <col min="9986" max="10005" width="5.1640625" style="1" customWidth="1"/>
    <col min="10006" max="10241" width="10.83203125" style="1"/>
    <col min="10242" max="10261" width="5.1640625" style="1" customWidth="1"/>
    <col min="10262" max="10497" width="10.83203125" style="1"/>
    <col min="10498" max="10517" width="5.1640625" style="1" customWidth="1"/>
    <col min="10518" max="10753" width="10.83203125" style="1"/>
    <col min="10754" max="10773" width="5.1640625" style="1" customWidth="1"/>
    <col min="10774" max="11009" width="10.83203125" style="1"/>
    <col min="11010" max="11029" width="5.1640625" style="1" customWidth="1"/>
    <col min="11030" max="11265" width="10.83203125" style="1"/>
    <col min="11266" max="11285" width="5.1640625" style="1" customWidth="1"/>
    <col min="11286" max="11521" width="10.83203125" style="1"/>
    <col min="11522" max="11541" width="5.1640625" style="1" customWidth="1"/>
    <col min="11542" max="11777" width="10.83203125" style="1"/>
    <col min="11778" max="11797" width="5.1640625" style="1" customWidth="1"/>
    <col min="11798" max="12033" width="10.83203125" style="1"/>
    <col min="12034" max="12053" width="5.1640625" style="1" customWidth="1"/>
    <col min="12054" max="12289" width="10.83203125" style="1"/>
    <col min="12290" max="12309" width="5.1640625" style="1" customWidth="1"/>
    <col min="12310" max="12545" width="10.83203125" style="1"/>
    <col min="12546" max="12565" width="5.1640625" style="1" customWidth="1"/>
    <col min="12566" max="12801" width="10.83203125" style="1"/>
    <col min="12802" max="12821" width="5.1640625" style="1" customWidth="1"/>
    <col min="12822" max="13057" width="10.83203125" style="1"/>
    <col min="13058" max="13077" width="5.1640625" style="1" customWidth="1"/>
    <col min="13078" max="13313" width="10.83203125" style="1"/>
    <col min="13314" max="13333" width="5.1640625" style="1" customWidth="1"/>
    <col min="13334" max="13569" width="10.83203125" style="1"/>
    <col min="13570" max="13589" width="5.1640625" style="1" customWidth="1"/>
    <col min="13590" max="13825" width="10.83203125" style="1"/>
    <col min="13826" max="13845" width="5.1640625" style="1" customWidth="1"/>
    <col min="13846" max="14081" width="10.83203125" style="1"/>
    <col min="14082" max="14101" width="5.1640625" style="1" customWidth="1"/>
    <col min="14102" max="14337" width="10.83203125" style="1"/>
    <col min="14338" max="14357" width="5.1640625" style="1" customWidth="1"/>
    <col min="14358" max="14593" width="10.83203125" style="1"/>
    <col min="14594" max="14613" width="5.1640625" style="1" customWidth="1"/>
    <col min="14614" max="14849" width="10.83203125" style="1"/>
    <col min="14850" max="14869" width="5.1640625" style="1" customWidth="1"/>
    <col min="14870" max="15105" width="10.83203125" style="1"/>
    <col min="15106" max="15125" width="5.1640625" style="1" customWidth="1"/>
    <col min="15126" max="15361" width="10.83203125" style="1"/>
    <col min="15362" max="15381" width="5.1640625" style="1" customWidth="1"/>
    <col min="15382" max="15617" width="10.83203125" style="1"/>
    <col min="15618" max="15637" width="5.1640625" style="1" customWidth="1"/>
    <col min="15638" max="15873" width="10.83203125" style="1"/>
    <col min="15874" max="15893" width="5.1640625" style="1" customWidth="1"/>
    <col min="15894" max="16129" width="10.83203125" style="1"/>
    <col min="16130" max="16149" width="5.1640625" style="1" customWidth="1"/>
    <col min="16150" max="16384" width="10.83203125" style="1"/>
  </cols>
  <sheetData>
    <row r="2" spans="1:22">
      <c r="A2" s="1" t="s">
        <v>438</v>
      </c>
      <c r="B2" s="1">
        <v>1</v>
      </c>
      <c r="C2" s="1">
        <v>2</v>
      </c>
      <c r="D2" s="1">
        <v>3</v>
      </c>
      <c r="E2" s="1">
        <v>4</v>
      </c>
      <c r="F2" s="1">
        <v>5</v>
      </c>
      <c r="G2" s="1">
        <v>6</v>
      </c>
      <c r="H2" s="1">
        <v>7</v>
      </c>
      <c r="I2" s="1">
        <v>8</v>
      </c>
      <c r="J2" s="1">
        <v>9</v>
      </c>
      <c r="K2" s="1">
        <v>10</v>
      </c>
      <c r="L2" s="1">
        <v>11</v>
      </c>
      <c r="M2" s="1">
        <v>12</v>
      </c>
      <c r="N2" s="1">
        <v>13</v>
      </c>
      <c r="O2" s="1">
        <v>14</v>
      </c>
      <c r="P2" s="1">
        <v>15</v>
      </c>
      <c r="Q2" s="1">
        <v>16</v>
      </c>
      <c r="R2" s="1">
        <v>17</v>
      </c>
      <c r="S2" s="1">
        <v>18</v>
      </c>
      <c r="T2" s="1">
        <v>19</v>
      </c>
      <c r="U2" s="1">
        <v>20</v>
      </c>
    </row>
    <row r="3" spans="1:22">
      <c r="B3" s="1">
        <v>26.1</v>
      </c>
      <c r="C3" s="1">
        <v>25.2</v>
      </c>
      <c r="D3" s="1">
        <v>25.6</v>
      </c>
      <c r="E3" s="1">
        <v>25.5</v>
      </c>
      <c r="F3" s="1">
        <v>25.2</v>
      </c>
      <c r="G3" s="1">
        <v>26.6</v>
      </c>
      <c r="H3" s="1">
        <v>27.6</v>
      </c>
      <c r="I3" s="1">
        <v>24.5</v>
      </c>
      <c r="J3" s="1">
        <v>24.1</v>
      </c>
      <c r="K3" s="1">
        <v>25.8</v>
      </c>
      <c r="L3" s="1">
        <v>22.5</v>
      </c>
      <c r="M3" s="1">
        <v>24.5</v>
      </c>
      <c r="N3" s="1">
        <v>24.4</v>
      </c>
      <c r="O3" s="1">
        <v>23.1</v>
      </c>
      <c r="P3" s="1">
        <v>24.6</v>
      </c>
      <c r="Q3" s="1">
        <v>24.4</v>
      </c>
      <c r="R3" s="1">
        <v>25.1</v>
      </c>
      <c r="S3" s="1">
        <v>24.5</v>
      </c>
      <c r="T3" s="1">
        <v>25.3</v>
      </c>
      <c r="U3" s="1">
        <v>24.6</v>
      </c>
    </row>
    <row r="4" spans="1:22">
      <c r="B4" s="1">
        <v>24.4</v>
      </c>
      <c r="C4" s="1">
        <v>25.9</v>
      </c>
      <c r="D4" s="1">
        <v>24.5</v>
      </c>
      <c r="E4" s="1">
        <v>26.8</v>
      </c>
      <c r="F4" s="1">
        <v>25.2</v>
      </c>
      <c r="G4" s="1">
        <v>24.1</v>
      </c>
      <c r="H4" s="1">
        <v>26</v>
      </c>
      <c r="I4" s="1">
        <v>23.1</v>
      </c>
      <c r="J4" s="1">
        <v>25</v>
      </c>
      <c r="K4" s="1">
        <v>25.7</v>
      </c>
      <c r="L4" s="1">
        <v>23</v>
      </c>
      <c r="M4" s="1">
        <v>24.8</v>
      </c>
      <c r="N4" s="1">
        <v>24.5</v>
      </c>
      <c r="O4" s="1">
        <v>23.3</v>
      </c>
      <c r="P4" s="1">
        <v>25.1</v>
      </c>
      <c r="Q4" s="1">
        <v>24.4</v>
      </c>
      <c r="R4" s="1">
        <v>24.1</v>
      </c>
      <c r="S4" s="1">
        <v>24.5</v>
      </c>
      <c r="T4" s="1">
        <v>27.5</v>
      </c>
      <c r="U4" s="1">
        <v>25.3</v>
      </c>
    </row>
    <row r="5" spans="1:22">
      <c r="B5" s="1">
        <v>25.6</v>
      </c>
      <c r="C5" s="1">
        <v>25.2</v>
      </c>
      <c r="D5" s="1">
        <v>25.7</v>
      </c>
      <c r="E5" s="1">
        <v>25.1</v>
      </c>
      <c r="F5" s="1">
        <v>26.3</v>
      </c>
      <c r="G5" s="1">
        <v>25.5</v>
      </c>
      <c r="H5" s="1">
        <v>24.9</v>
      </c>
      <c r="I5" s="1">
        <v>23.9</v>
      </c>
      <c r="J5" s="1">
        <v>23.5</v>
      </c>
      <c r="K5" s="1">
        <v>24.3</v>
      </c>
      <c r="L5" s="1">
        <v>23.7</v>
      </c>
      <c r="M5" s="1">
        <v>23.2</v>
      </c>
      <c r="N5" s="1">
        <v>25.9</v>
      </c>
      <c r="O5" s="1">
        <v>24.4</v>
      </c>
      <c r="P5" s="1">
        <v>24</v>
      </c>
      <c r="Q5" s="1">
        <v>22.8</v>
      </c>
      <c r="R5" s="1">
        <v>23.9</v>
      </c>
      <c r="S5" s="1">
        <v>26</v>
      </c>
      <c r="T5" s="1">
        <v>24.3</v>
      </c>
      <c r="U5" s="1">
        <v>25.5</v>
      </c>
    </row>
    <row r="6" spans="1:22">
      <c r="B6" s="1">
        <v>25.2</v>
      </c>
      <c r="C6" s="1">
        <v>24.8</v>
      </c>
      <c r="D6" s="1">
        <v>25.1</v>
      </c>
      <c r="E6" s="1">
        <v>25</v>
      </c>
      <c r="F6" s="1">
        <v>25.7</v>
      </c>
      <c r="G6" s="1">
        <v>24</v>
      </c>
      <c r="H6" s="1">
        <v>25.3</v>
      </c>
      <c r="I6" s="1">
        <v>24.7</v>
      </c>
      <c r="J6" s="1">
        <v>24.9</v>
      </c>
      <c r="K6" s="1">
        <v>27.3</v>
      </c>
      <c r="L6" s="1">
        <v>24</v>
      </c>
      <c r="M6" s="1">
        <v>24.2</v>
      </c>
      <c r="N6" s="1">
        <v>25.5</v>
      </c>
      <c r="O6" s="1">
        <v>24.7</v>
      </c>
      <c r="P6" s="1">
        <v>25.3</v>
      </c>
      <c r="Q6" s="1">
        <v>24.3</v>
      </c>
      <c r="R6" s="1">
        <v>26.2</v>
      </c>
      <c r="S6" s="1">
        <v>26.2</v>
      </c>
      <c r="T6" s="1">
        <v>25.5</v>
      </c>
      <c r="U6" s="1">
        <v>24.3</v>
      </c>
    </row>
    <row r="7" spans="1:22">
      <c r="A7" s="1" t="s">
        <v>391</v>
      </c>
    </row>
    <row r="8" spans="1:22">
      <c r="A8" s="1" t="s">
        <v>394</v>
      </c>
      <c r="B8" s="1">
        <f>B3-B4</f>
        <v>1.7000000000000028</v>
      </c>
      <c r="C8" s="1">
        <f>C4-C6</f>
        <v>1.0999999999999979</v>
      </c>
      <c r="D8" s="1">
        <f>D5-D4</f>
        <v>1.1999999999999993</v>
      </c>
      <c r="E8" s="1">
        <f>E4-E6</f>
        <v>1.8000000000000007</v>
      </c>
      <c r="F8" s="1">
        <f>F5-F4</f>
        <v>1.1000000000000014</v>
      </c>
      <c r="G8" s="1">
        <f>G3-G6</f>
        <v>2.6000000000000014</v>
      </c>
      <c r="H8" s="1">
        <f>H3-H5</f>
        <v>2.7000000000000028</v>
      </c>
      <c r="I8" s="1">
        <f>I6-I4</f>
        <v>1.5999999999999979</v>
      </c>
      <c r="J8" s="1">
        <f>J4-J5</f>
        <v>1.5</v>
      </c>
      <c r="K8" s="1">
        <f>K6-K5</f>
        <v>3</v>
      </c>
      <c r="L8" s="1">
        <f>L6-L3</f>
        <v>1.5</v>
      </c>
      <c r="M8" s="1">
        <f>M4-M5</f>
        <v>1.6000000000000014</v>
      </c>
      <c r="N8" s="1">
        <f>N5-N3</f>
        <v>1.5</v>
      </c>
      <c r="O8" s="1">
        <f>O6-O3</f>
        <v>1.5999999999999979</v>
      </c>
      <c r="P8" s="1">
        <f>P6-P5</f>
        <v>1.3000000000000007</v>
      </c>
      <c r="Q8" s="1">
        <f>Q4-Q5</f>
        <v>1.5999999999999979</v>
      </c>
      <c r="R8" s="1">
        <f>R6-R5</f>
        <v>2.3000000000000007</v>
      </c>
      <c r="S8" s="1">
        <f>S6-S4</f>
        <v>1.6999999999999993</v>
      </c>
      <c r="T8" s="1">
        <f>T4-T5</f>
        <v>3.1999999999999993</v>
      </c>
      <c r="U8" s="1">
        <f>U5-U6</f>
        <v>1.1999999999999993</v>
      </c>
      <c r="V8" s="1">
        <f>AVERAGE(B8:U8)</f>
        <v>1.7899999999999998</v>
      </c>
    </row>
    <row r="10" spans="1:22">
      <c r="A10" s="3" t="s">
        <v>439</v>
      </c>
      <c r="B10" s="1">
        <f>V8/2.059</f>
        <v>0.86935405536668264</v>
      </c>
    </row>
    <row r="11" spans="1:22">
      <c r="A11" s="3" t="s">
        <v>440</v>
      </c>
      <c r="B11" s="1">
        <f>6*B10</f>
        <v>5.2161243322000956</v>
      </c>
      <c r="C11" s="298" t="s">
        <v>741</v>
      </c>
    </row>
    <row r="12" spans="1:22">
      <c r="A12" s="3" t="s">
        <v>441</v>
      </c>
      <c r="B12" s="1">
        <f>(26-24)/B11</f>
        <v>0.38342644320297964</v>
      </c>
      <c r="C12" s="298" t="s">
        <v>741</v>
      </c>
    </row>
  </sheetData>
  <pageMargins left="0.75" right="0.75" top="1" bottom="1" header="0.5" footer="0.5"/>
  <pageSetup paperSize="0" orientation="portrait" horizontalDpi="4294967292" verticalDpi="429496729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C3A44-3BBF-544E-9DA3-18A5D4644366}">
  <dimension ref="B2:Q30"/>
  <sheetViews>
    <sheetView zoomScale="120" zoomScaleNormal="120" workbookViewId="0">
      <selection activeCell="I19" sqref="I19"/>
    </sheetView>
  </sheetViews>
  <sheetFormatPr baseColWidth="10" defaultRowHeight="16"/>
  <cols>
    <col min="6" max="6" width="3.5" customWidth="1"/>
  </cols>
  <sheetData>
    <row r="2" spans="2:17">
      <c r="B2" s="537" t="s">
        <v>159</v>
      </c>
      <c r="C2" s="537"/>
    </row>
    <row r="3" spans="2:17">
      <c r="B3" s="65" t="s">
        <v>413</v>
      </c>
      <c r="C3" s="65">
        <f>C4+40</f>
        <v>40</v>
      </c>
    </row>
    <row r="4" spans="2:17" ht="17" thickBot="1">
      <c r="B4" s="65" t="s">
        <v>412</v>
      </c>
      <c r="C4" s="65">
        <v>0</v>
      </c>
    </row>
    <row r="5" spans="2:17" ht="17" thickBot="1">
      <c r="B5" s="65" t="s">
        <v>411</v>
      </c>
      <c r="C5" s="65">
        <f>C4-40</f>
        <v>-40</v>
      </c>
      <c r="J5" s="538" t="s">
        <v>776</v>
      </c>
      <c r="K5" s="539"/>
      <c r="L5" s="539"/>
      <c r="M5" s="539"/>
      <c r="N5" s="539"/>
      <c r="O5" s="539"/>
      <c r="P5" s="539"/>
      <c r="Q5" s="540"/>
    </row>
    <row r="7" spans="2:17">
      <c r="B7" s="65" t="s">
        <v>437</v>
      </c>
      <c r="C7" s="350">
        <f>_xlfn.STDEV.S(J7:Q12)</f>
        <v>12.284579938089831</v>
      </c>
      <c r="G7" s="537" t="s">
        <v>777</v>
      </c>
      <c r="H7" s="537"/>
      <c r="J7" s="363">
        <v>-10</v>
      </c>
      <c r="K7" s="363">
        <v>-31</v>
      </c>
      <c r="L7" s="363">
        <v>-16</v>
      </c>
      <c r="M7" s="363">
        <v>-7</v>
      </c>
      <c r="N7" s="363">
        <v>0</v>
      </c>
      <c r="O7" s="363">
        <v>3</v>
      </c>
      <c r="P7" s="363">
        <v>0</v>
      </c>
      <c r="Q7" s="363">
        <v>-21</v>
      </c>
    </row>
    <row r="8" spans="2:17">
      <c r="B8" s="65" t="s">
        <v>436</v>
      </c>
      <c r="C8" s="350">
        <f>AVERAGE(J7:Q12)</f>
        <v>-2.0625</v>
      </c>
      <c r="G8" s="65">
        <f>(E14^2)/(2*(C10-1))</f>
        <v>1.1273179764334984E-2</v>
      </c>
      <c r="H8" s="65">
        <f>1/(9*C10)</f>
        <v>2.3148148148148147E-3</v>
      </c>
      <c r="J8" s="363">
        <v>8</v>
      </c>
      <c r="K8" s="363">
        <v>-7</v>
      </c>
      <c r="L8" s="363">
        <v>-2</v>
      </c>
      <c r="M8" s="363">
        <v>-7</v>
      </c>
      <c r="N8" s="363">
        <v>-14</v>
      </c>
      <c r="O8" s="363">
        <v>-2</v>
      </c>
      <c r="P8" s="363">
        <v>5</v>
      </c>
      <c r="Q8" s="363">
        <v>8</v>
      </c>
    </row>
    <row r="9" spans="2:17">
      <c r="B9" s="65" t="s">
        <v>778</v>
      </c>
      <c r="C9" s="350">
        <v>1.96</v>
      </c>
      <c r="J9" s="363">
        <v>-2</v>
      </c>
      <c r="K9" s="363">
        <v>-5</v>
      </c>
      <c r="L9" s="363">
        <v>8</v>
      </c>
      <c r="M9" s="363">
        <v>2</v>
      </c>
      <c r="N9" s="363">
        <v>-45</v>
      </c>
      <c r="O9" s="363">
        <v>-12</v>
      </c>
      <c r="P9" s="363">
        <v>-5</v>
      </c>
      <c r="Q9" s="363">
        <v>12</v>
      </c>
    </row>
    <row r="10" spans="2:17">
      <c r="B10" s="65" t="s">
        <v>101</v>
      </c>
      <c r="C10" s="65">
        <f>COUNT(J7:Q16)</f>
        <v>48</v>
      </c>
      <c r="J10" s="363">
        <v>-19</v>
      </c>
      <c r="K10" s="363">
        <v>18</v>
      </c>
      <c r="L10" s="363">
        <v>-10</v>
      </c>
      <c r="M10" s="363">
        <v>-14</v>
      </c>
      <c r="N10" s="363">
        <v>-5</v>
      </c>
      <c r="O10" s="363">
        <v>-10</v>
      </c>
      <c r="P10" s="363">
        <v>7</v>
      </c>
      <c r="Q10" s="363">
        <v>12</v>
      </c>
    </row>
    <row r="11" spans="2:17" ht="17" thickBot="1">
      <c r="G11" s="537" t="s">
        <v>779</v>
      </c>
      <c r="H11" s="537"/>
      <c r="J11" s="363">
        <v>4</v>
      </c>
      <c r="K11" s="363">
        <v>5</v>
      </c>
      <c r="L11" s="363">
        <v>-2</v>
      </c>
      <c r="M11" s="363">
        <v>5</v>
      </c>
      <c r="N11" s="363">
        <v>-13</v>
      </c>
      <c r="O11" s="363">
        <v>14</v>
      </c>
      <c r="P11" s="363">
        <v>5</v>
      </c>
      <c r="Q11" s="363">
        <v>9</v>
      </c>
    </row>
    <row r="12" spans="2:17" ht="17" thickBot="1">
      <c r="B12" s="352" t="s">
        <v>780</v>
      </c>
      <c r="C12" s="541" t="s">
        <v>781</v>
      </c>
      <c r="D12" s="541"/>
      <c r="E12" s="353" t="s">
        <v>782</v>
      </c>
      <c r="G12" s="65" t="s">
        <v>783</v>
      </c>
      <c r="H12" s="65">
        <f>(1/2)+(((C8-C4)^2)/$C$7^2)</f>
        <v>0.52818819667797512</v>
      </c>
      <c r="J12" s="363">
        <v>-2</v>
      </c>
      <c r="K12" s="363">
        <v>3</v>
      </c>
      <c r="L12" s="363">
        <v>20</v>
      </c>
      <c r="M12" s="363">
        <v>-4</v>
      </c>
      <c r="N12" s="363">
        <v>-4</v>
      </c>
      <c r="O12" s="363">
        <v>1</v>
      </c>
      <c r="P12" s="363">
        <v>4</v>
      </c>
      <c r="Q12" s="363">
        <v>17</v>
      </c>
    </row>
    <row r="13" spans="2:17">
      <c r="B13" s="354" t="s">
        <v>331</v>
      </c>
      <c r="C13" s="130"/>
      <c r="D13" s="283"/>
      <c r="E13" s="355">
        <f>(C3-C5)/(6*C7)</f>
        <v>1.0853715308564778</v>
      </c>
      <c r="G13" s="65" t="s">
        <v>784</v>
      </c>
      <c r="H13" s="65">
        <f>(1+(((C8-C4)^2)/($C$7^2)))^2</f>
        <v>1.0571709677879064</v>
      </c>
      <c r="J13" s="351"/>
      <c r="K13" s="351"/>
      <c r="L13" s="351"/>
      <c r="M13" s="351"/>
      <c r="N13" s="351"/>
      <c r="O13" s="351"/>
      <c r="P13" s="351"/>
      <c r="Q13" s="351"/>
    </row>
    <row r="14" spans="2:17">
      <c r="B14" s="356" t="s">
        <v>330</v>
      </c>
      <c r="C14" s="357">
        <f>(C8-C5)/(3*C7)</f>
        <v>1.0294070612966906</v>
      </c>
      <c r="D14" s="357">
        <f>(C3-C8)/(3*C7)</f>
        <v>1.1413360004162649</v>
      </c>
      <c r="E14" s="358">
        <f>MIN(C14:D14)</f>
        <v>1.0294070612966906</v>
      </c>
      <c r="J14" s="351"/>
      <c r="K14" s="351"/>
      <c r="L14" s="351"/>
      <c r="M14" s="351"/>
      <c r="N14" s="351"/>
      <c r="O14" s="351"/>
      <c r="P14" s="351"/>
      <c r="Q14" s="351"/>
    </row>
    <row r="15" spans="2:17" ht="17" thickBot="1">
      <c r="B15" s="359" t="s">
        <v>329</v>
      </c>
      <c r="C15" s="284" t="s">
        <v>443</v>
      </c>
      <c r="D15" s="360">
        <f>6*SQRT((C7^2)+((C8-C4)^2))</f>
        <v>74.739100731755457</v>
      </c>
      <c r="E15" s="361">
        <f>(C3-C5)/D15</f>
        <v>1.0703901868865981</v>
      </c>
      <c r="J15" s="351"/>
      <c r="K15" s="351"/>
      <c r="L15" s="351"/>
      <c r="M15" s="351"/>
      <c r="N15" s="351"/>
      <c r="O15" s="351"/>
      <c r="P15" s="351"/>
      <c r="Q15" s="351"/>
    </row>
    <row r="16" spans="2:17" ht="17" thickBot="1">
      <c r="B16" s="534" t="s">
        <v>785</v>
      </c>
      <c r="C16" s="535"/>
      <c r="D16" s="535"/>
      <c r="E16" s="536"/>
      <c r="J16" s="351"/>
      <c r="K16" s="351"/>
      <c r="L16" s="351"/>
      <c r="M16" s="351"/>
      <c r="N16" s="351"/>
      <c r="O16" s="351"/>
      <c r="P16" s="351"/>
      <c r="Q16" s="351"/>
    </row>
    <row r="17" spans="2:5">
      <c r="B17" s="551" t="s">
        <v>331</v>
      </c>
      <c r="C17" s="552" t="s">
        <v>334</v>
      </c>
      <c r="D17" s="495"/>
      <c r="E17" s="355">
        <f>$E$13-($C$9*($E$13/SQRT((2*($C$10-1)))))</f>
        <v>0.86595438048255646</v>
      </c>
    </row>
    <row r="18" spans="2:5" ht="17" thickBot="1">
      <c r="B18" s="543"/>
      <c r="C18" s="546" t="s">
        <v>336</v>
      </c>
      <c r="D18" s="489"/>
      <c r="E18" s="361">
        <f>$E$13+($C$9*($E$13/SQRT((2*($C$10-1)))))</f>
        <v>1.304788681230399</v>
      </c>
    </row>
    <row r="19" spans="2:5">
      <c r="B19" s="551" t="s">
        <v>330</v>
      </c>
      <c r="C19" s="552" t="s">
        <v>334</v>
      </c>
      <c r="D19" s="495"/>
      <c r="E19" s="355">
        <f>$E$14-($C$9*SQRT($G$8+$H$8))</f>
        <v>0.80093465601486691</v>
      </c>
    </row>
    <row r="20" spans="2:5" ht="17" thickBot="1">
      <c r="B20" s="543"/>
      <c r="C20" s="546" t="s">
        <v>336</v>
      </c>
      <c r="D20" s="489"/>
      <c r="E20" s="361">
        <f>$E$14+$C$9*SQRT($G$8+$H$8)</f>
        <v>1.2578794665785142</v>
      </c>
    </row>
    <row r="21" spans="2:5">
      <c r="B21" s="542" t="s">
        <v>329</v>
      </c>
      <c r="C21" s="544" t="s">
        <v>334</v>
      </c>
      <c r="D21" s="545"/>
      <c r="E21" s="362">
        <f>$E$15-($C$9*($E$15/SQRT($C$10))*SQRT($H$12/$H$13))</f>
        <v>0.85634803745315058</v>
      </c>
    </row>
    <row r="22" spans="2:5" ht="17" thickBot="1">
      <c r="B22" s="543"/>
      <c r="C22" s="546" t="s">
        <v>336</v>
      </c>
      <c r="D22" s="489"/>
      <c r="E22" s="361">
        <f>$E$15+($C$9*($E$15/SQRT($C$10))*SQRT($H$12/$H$13))</f>
        <v>1.2844323363200458</v>
      </c>
    </row>
    <row r="23" spans="2:5">
      <c r="B23" s="64"/>
      <c r="C23" s="64"/>
      <c r="D23" s="64"/>
      <c r="E23" s="64"/>
    </row>
    <row r="24" spans="2:5">
      <c r="B24" s="257" t="s">
        <v>60</v>
      </c>
      <c r="C24" s="64"/>
      <c r="D24" s="64"/>
      <c r="E24" s="64"/>
    </row>
    <row r="25" spans="2:5">
      <c r="B25" s="25" t="s">
        <v>444</v>
      </c>
    </row>
    <row r="26" spans="2:5">
      <c r="B26" s="25" t="s">
        <v>445</v>
      </c>
    </row>
    <row r="27" spans="2:5">
      <c r="B27" s="25" t="s">
        <v>446</v>
      </c>
    </row>
    <row r="28" spans="2:5">
      <c r="B28" s="25"/>
    </row>
    <row r="29" spans="2:5">
      <c r="B29" s="257" t="s">
        <v>43</v>
      </c>
    </row>
    <row r="30" spans="2:5">
      <c r="B30" s="25" t="s">
        <v>447</v>
      </c>
    </row>
  </sheetData>
  <mergeCells count="15">
    <mergeCell ref="B21:B22"/>
    <mergeCell ref="C21:D21"/>
    <mergeCell ref="C22:D22"/>
    <mergeCell ref="B17:B18"/>
    <mergeCell ref="C17:D17"/>
    <mergeCell ref="C18:D18"/>
    <mergeCell ref="B19:B20"/>
    <mergeCell ref="C19:D19"/>
    <mergeCell ref="C20:D20"/>
    <mergeCell ref="B16:E16"/>
    <mergeCell ref="B2:C2"/>
    <mergeCell ref="J5:Q5"/>
    <mergeCell ref="G7:H7"/>
    <mergeCell ref="G11:H11"/>
    <mergeCell ref="C12:D1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514AA-5C77-AB45-804A-CAA88B1CB581}">
  <dimension ref="A2:Q34"/>
  <sheetViews>
    <sheetView topLeftCell="A6" zoomScale="110" zoomScaleNormal="110" workbookViewId="0">
      <selection activeCell="H18" sqref="H18"/>
    </sheetView>
  </sheetViews>
  <sheetFormatPr baseColWidth="10" defaultRowHeight="16"/>
  <cols>
    <col min="6" max="6" width="3.5" customWidth="1"/>
  </cols>
  <sheetData>
    <row r="2" spans="2:17">
      <c r="B2" s="537" t="s">
        <v>159</v>
      </c>
      <c r="C2" s="537"/>
    </row>
    <row r="3" spans="2:17">
      <c r="B3" s="65" t="s">
        <v>413</v>
      </c>
      <c r="C3" s="65">
        <f>C4+1</f>
        <v>61</v>
      </c>
    </row>
    <row r="4" spans="2:17" ht="17" thickBot="1">
      <c r="B4" s="65" t="s">
        <v>412</v>
      </c>
      <c r="C4" s="65">
        <v>60</v>
      </c>
    </row>
    <row r="5" spans="2:17" ht="17" thickBot="1">
      <c r="B5" s="65" t="s">
        <v>411</v>
      </c>
      <c r="C5" s="65">
        <f>C4-1</f>
        <v>59</v>
      </c>
      <c r="J5" s="538" t="s">
        <v>776</v>
      </c>
      <c r="K5" s="539"/>
      <c r="L5" s="539"/>
      <c r="M5" s="539"/>
      <c r="N5" s="539"/>
      <c r="O5" s="539"/>
      <c r="P5" s="539"/>
      <c r="Q5" s="540"/>
    </row>
    <row r="6" spans="2:17" ht="17" thickBot="1"/>
    <row r="7" spans="2:17">
      <c r="B7" s="65" t="s">
        <v>437</v>
      </c>
      <c r="C7" s="350">
        <v>0.25</v>
      </c>
      <c r="G7" s="537" t="s">
        <v>777</v>
      </c>
      <c r="H7" s="537"/>
      <c r="J7" s="364">
        <v>-10</v>
      </c>
      <c r="K7" s="365">
        <v>-31</v>
      </c>
      <c r="L7" s="365">
        <v>-16</v>
      </c>
      <c r="M7" s="365">
        <v>-7</v>
      </c>
      <c r="N7" s="365">
        <v>0</v>
      </c>
      <c r="O7" s="365">
        <v>3</v>
      </c>
      <c r="P7" s="365">
        <v>0</v>
      </c>
      <c r="Q7" s="366">
        <v>-21</v>
      </c>
    </row>
    <row r="8" spans="2:17">
      <c r="B8" s="65" t="s">
        <v>436</v>
      </c>
      <c r="C8" s="350">
        <v>59.88</v>
      </c>
      <c r="G8" s="65">
        <f>(E14^2)/(2*(C10-1))</f>
        <v>1.7650142450142552E-2</v>
      </c>
      <c r="H8" s="65">
        <f>1/(9*C10)</f>
        <v>2.7777777777777779E-3</v>
      </c>
      <c r="J8" s="367">
        <v>8</v>
      </c>
      <c r="K8" s="363">
        <v>-7</v>
      </c>
      <c r="L8" s="363">
        <v>-2</v>
      </c>
      <c r="M8" s="363">
        <v>-7</v>
      </c>
      <c r="N8" s="363">
        <v>-14</v>
      </c>
      <c r="O8" s="363">
        <v>-2</v>
      </c>
      <c r="P8" s="363">
        <v>5</v>
      </c>
      <c r="Q8" s="368">
        <v>8</v>
      </c>
    </row>
    <row r="9" spans="2:17">
      <c r="B9" s="65" t="s">
        <v>778</v>
      </c>
      <c r="C9" s="350">
        <v>1.96</v>
      </c>
      <c r="J9" s="367">
        <v>-2</v>
      </c>
      <c r="K9" s="363">
        <v>-5</v>
      </c>
      <c r="L9" s="363">
        <v>8</v>
      </c>
      <c r="M9" s="363">
        <v>2</v>
      </c>
      <c r="N9" s="363">
        <v>-45</v>
      </c>
      <c r="O9" s="363">
        <v>-12</v>
      </c>
      <c r="P9" s="363">
        <v>-5</v>
      </c>
      <c r="Q9" s="368">
        <v>12</v>
      </c>
    </row>
    <row r="10" spans="2:17">
      <c r="B10" s="65" t="s">
        <v>101</v>
      </c>
      <c r="C10" s="65">
        <v>40</v>
      </c>
      <c r="J10" s="367">
        <v>-19</v>
      </c>
      <c r="K10" s="363">
        <v>18</v>
      </c>
      <c r="L10" s="363">
        <v>-10</v>
      </c>
      <c r="M10" s="363">
        <v>-14</v>
      </c>
      <c r="N10" s="363">
        <v>-5</v>
      </c>
      <c r="O10" s="363">
        <v>-10</v>
      </c>
      <c r="P10" s="363">
        <v>7</v>
      </c>
      <c r="Q10" s="368">
        <v>12</v>
      </c>
    </row>
    <row r="11" spans="2:17" ht="17" thickBot="1">
      <c r="G11" s="537" t="s">
        <v>779</v>
      </c>
      <c r="H11" s="537"/>
      <c r="J11" s="367">
        <v>4</v>
      </c>
      <c r="K11" s="363">
        <v>5</v>
      </c>
      <c r="L11" s="363">
        <v>-2</v>
      </c>
      <c r="M11" s="363">
        <v>5</v>
      </c>
      <c r="N11" s="363">
        <v>-13</v>
      </c>
      <c r="O11" s="363">
        <v>14</v>
      </c>
      <c r="P11" s="363">
        <v>5</v>
      </c>
      <c r="Q11" s="368">
        <v>9</v>
      </c>
    </row>
    <row r="12" spans="2:17" ht="17" thickBot="1">
      <c r="B12" s="352" t="s">
        <v>780</v>
      </c>
      <c r="C12" s="541" t="s">
        <v>781</v>
      </c>
      <c r="D12" s="541"/>
      <c r="E12" s="353" t="s">
        <v>782</v>
      </c>
      <c r="G12" s="65" t="s">
        <v>783</v>
      </c>
      <c r="H12" s="65">
        <f>(1/2)+(((C8-C4)^2)/$C$7^2)</f>
        <v>0.73039999999999017</v>
      </c>
      <c r="J12" s="367">
        <v>-2</v>
      </c>
      <c r="K12" s="363">
        <v>3</v>
      </c>
      <c r="L12" s="363">
        <v>20</v>
      </c>
      <c r="M12" s="363">
        <v>-4</v>
      </c>
      <c r="N12" s="363">
        <v>-4</v>
      </c>
      <c r="O12" s="363">
        <v>1</v>
      </c>
      <c r="P12" s="363">
        <v>4</v>
      </c>
      <c r="Q12" s="368">
        <v>17</v>
      </c>
    </row>
    <row r="13" spans="2:17">
      <c r="B13" s="354" t="s">
        <v>331</v>
      </c>
      <c r="C13" s="130"/>
      <c r="D13" s="283"/>
      <c r="E13" s="355">
        <f>(C3-C5)/(6*C7)</f>
        <v>1.3333333333333333</v>
      </c>
      <c r="G13" s="65" t="s">
        <v>784</v>
      </c>
      <c r="H13" s="65">
        <f>(1+(((C8-C4)^2)/($C$7^2)))^2</f>
        <v>1.5138841599999757</v>
      </c>
      <c r="J13" s="369"/>
      <c r="K13" s="351"/>
      <c r="L13" s="351"/>
      <c r="M13" s="351"/>
      <c r="N13" s="351"/>
      <c r="O13" s="351"/>
      <c r="P13" s="351"/>
      <c r="Q13" s="370"/>
    </row>
    <row r="14" spans="2:17">
      <c r="B14" s="356" t="s">
        <v>330</v>
      </c>
      <c r="C14" s="357">
        <f>(C8-C5)/(3*C7)</f>
        <v>1.1733333333333367</v>
      </c>
      <c r="D14" s="357">
        <f>(C3-C8)/(3*C7)</f>
        <v>1.4933333333333298</v>
      </c>
      <c r="E14" s="358">
        <f>MIN(C14:D14)</f>
        <v>1.1733333333333367</v>
      </c>
      <c r="J14" s="369"/>
      <c r="K14" s="351"/>
      <c r="L14" s="351"/>
      <c r="M14" s="351"/>
      <c r="N14" s="351"/>
      <c r="O14" s="351"/>
      <c r="P14" s="351"/>
      <c r="Q14" s="370"/>
    </row>
    <row r="15" spans="2:17" ht="17" thickBot="1">
      <c r="B15" s="359" t="s">
        <v>329</v>
      </c>
      <c r="C15" s="284" t="s">
        <v>443</v>
      </c>
      <c r="D15" s="360">
        <f>6*SQRT((C7^2)+((C8-C4)^2))</f>
        <v>1.663850954863439</v>
      </c>
      <c r="E15" s="361">
        <f>(C3-C5)/D15</f>
        <v>1.2020307432910362</v>
      </c>
      <c r="J15" s="369"/>
      <c r="K15" s="351"/>
      <c r="L15" s="351"/>
      <c r="M15" s="351"/>
      <c r="N15" s="351"/>
      <c r="O15" s="351"/>
      <c r="P15" s="351"/>
      <c r="Q15" s="370"/>
    </row>
    <row r="16" spans="2:17" ht="17" thickBot="1">
      <c r="B16" s="534" t="s">
        <v>785</v>
      </c>
      <c r="C16" s="535"/>
      <c r="D16" s="535"/>
      <c r="E16" s="536"/>
      <c r="J16" s="369"/>
      <c r="K16" s="351"/>
      <c r="L16" s="351"/>
      <c r="M16" s="351"/>
      <c r="N16" s="351"/>
      <c r="O16" s="351"/>
      <c r="P16" s="351"/>
      <c r="Q16" s="370"/>
    </row>
    <row r="17" spans="1:17">
      <c r="B17" s="551" t="s">
        <v>331</v>
      </c>
      <c r="C17" s="552" t="s">
        <v>334</v>
      </c>
      <c r="D17" s="495"/>
      <c r="E17" s="355">
        <f>$E$13-($C$9*($E$13/SQRT((2*($C$10-1)))))</f>
        <v>1.0374316017435457</v>
      </c>
      <c r="J17" s="89"/>
      <c r="Q17" s="94"/>
    </row>
    <row r="18" spans="1:17" ht="17" thickBot="1">
      <c r="B18" s="543"/>
      <c r="C18" s="546" t="s">
        <v>336</v>
      </c>
      <c r="D18" s="489"/>
      <c r="E18" s="361">
        <f>$E$13+($C$9*($E$13/SQRT((2*($C$10-1)))))</f>
        <v>1.6292350649231209</v>
      </c>
      <c r="J18" s="89"/>
      <c r="Q18" s="94"/>
    </row>
    <row r="19" spans="1:17">
      <c r="B19" s="551" t="s">
        <v>330</v>
      </c>
      <c r="C19" s="552" t="s">
        <v>334</v>
      </c>
      <c r="D19" s="495"/>
      <c r="E19" s="355">
        <f>$E$14-($C$9*SQRT($G$8+$H$8))</f>
        <v>0.89319783335595293</v>
      </c>
      <c r="J19" s="89"/>
      <c r="Q19" s="94"/>
    </row>
    <row r="20" spans="1:17" ht="17" thickBot="1">
      <c r="B20" s="543"/>
      <c r="C20" s="546" t="s">
        <v>336</v>
      </c>
      <c r="D20" s="489"/>
      <c r="E20" s="361">
        <f>$E$14+$C$9*SQRT($G$8+$H$8)</f>
        <v>1.4534688333107204</v>
      </c>
      <c r="J20" s="89"/>
      <c r="Q20" s="94"/>
    </row>
    <row r="21" spans="1:17">
      <c r="B21" s="542" t="s">
        <v>329</v>
      </c>
      <c r="C21" s="544" t="s">
        <v>334</v>
      </c>
      <c r="D21" s="545"/>
      <c r="E21" s="362">
        <f>$E$15-($C$9*($E$15/SQRT($C$10))*SQRT($H$12/$H$13))</f>
        <v>0.94328351228022433</v>
      </c>
      <c r="J21" s="89"/>
      <c r="Q21" s="94"/>
    </row>
    <row r="22" spans="1:17" ht="17" thickBot="1">
      <c r="B22" s="543"/>
      <c r="C22" s="546" t="s">
        <v>336</v>
      </c>
      <c r="D22" s="489"/>
      <c r="E22" s="361">
        <f>$E$15+($C$9*($E$15/SQRT($C$10))*SQRT($H$12/$H$13))</f>
        <v>1.4607779743018481</v>
      </c>
      <c r="J22" s="89"/>
      <c r="Q22" s="94"/>
    </row>
    <row r="23" spans="1:17">
      <c r="B23" s="64"/>
      <c r="C23" s="64"/>
      <c r="D23" s="64"/>
      <c r="E23" s="64"/>
      <c r="J23" s="89"/>
      <c r="Q23" s="94"/>
    </row>
    <row r="24" spans="1:17" ht="17" thickBot="1">
      <c r="B24" s="64"/>
      <c r="C24" s="64"/>
      <c r="D24" s="64"/>
      <c r="E24" s="64"/>
      <c r="J24" s="99"/>
      <c r="K24" s="100"/>
      <c r="L24" s="100"/>
      <c r="M24" s="100"/>
      <c r="N24" s="100"/>
      <c r="O24" s="100"/>
      <c r="P24" s="100"/>
      <c r="Q24" s="102"/>
    </row>
    <row r="25" spans="1:17" ht="17" thickBot="1"/>
    <row r="26" spans="1:17">
      <c r="A26" s="305" t="s">
        <v>448</v>
      </c>
      <c r="B26" s="300"/>
      <c r="C26" s="300"/>
      <c r="D26" s="300"/>
      <c r="E26" s="300"/>
      <c r="F26" s="300"/>
      <c r="G26" s="300"/>
      <c r="H26" s="299"/>
      <c r="I26" s="299"/>
      <c r="J26" s="300"/>
      <c r="K26" s="306"/>
    </row>
    <row r="27" spans="1:17">
      <c r="A27" s="301" t="s">
        <v>449</v>
      </c>
      <c r="B27" s="14"/>
      <c r="C27" s="14"/>
      <c r="D27" s="14"/>
      <c r="E27" s="14"/>
      <c r="F27" s="14"/>
      <c r="G27" s="14"/>
      <c r="H27" s="302"/>
      <c r="I27" s="302"/>
      <c r="J27" s="14"/>
      <c r="K27" s="307"/>
    </row>
    <row r="28" spans="1:17">
      <c r="A28" s="301" t="s">
        <v>450</v>
      </c>
      <c r="B28" s="14"/>
      <c r="C28" s="14"/>
      <c r="D28" s="14"/>
      <c r="E28" s="14"/>
      <c r="F28" s="14"/>
      <c r="G28" s="14"/>
      <c r="H28" s="14"/>
      <c r="I28" s="14"/>
      <c r="J28" s="14"/>
      <c r="K28" s="307"/>
    </row>
    <row r="29" spans="1:17">
      <c r="A29" s="301" t="s">
        <v>451</v>
      </c>
      <c r="B29" s="14"/>
      <c r="C29" s="14"/>
      <c r="D29" s="14"/>
      <c r="E29" s="14"/>
      <c r="F29" s="14"/>
      <c r="G29" s="14"/>
      <c r="H29" s="14"/>
      <c r="I29" s="14"/>
      <c r="J29" s="14"/>
      <c r="K29" s="307"/>
    </row>
    <row r="30" spans="1:17">
      <c r="A30" s="301" t="s">
        <v>452</v>
      </c>
      <c r="B30" s="14"/>
      <c r="C30" s="14"/>
      <c r="D30" s="14"/>
      <c r="E30" s="14"/>
      <c r="F30" s="14"/>
      <c r="G30" s="14"/>
      <c r="H30" s="14"/>
      <c r="I30" s="14"/>
      <c r="J30" s="14"/>
      <c r="K30" s="307"/>
    </row>
    <row r="31" spans="1:17">
      <c r="A31" s="301" t="s">
        <v>453</v>
      </c>
      <c r="B31" s="14"/>
      <c r="C31" s="14"/>
      <c r="D31" s="14"/>
      <c r="E31" s="14"/>
      <c r="F31" s="14"/>
      <c r="G31" s="14"/>
      <c r="H31" s="14"/>
      <c r="I31" s="14"/>
      <c r="J31" s="14"/>
      <c r="K31" s="307"/>
    </row>
    <row r="32" spans="1:17">
      <c r="A32" s="301" t="s">
        <v>454</v>
      </c>
      <c r="B32" s="14"/>
      <c r="C32" s="14"/>
      <c r="D32" s="14"/>
      <c r="E32" s="14"/>
      <c r="F32" s="14"/>
      <c r="G32" s="14"/>
      <c r="H32" s="14"/>
      <c r="I32" s="14"/>
      <c r="J32" s="14"/>
      <c r="K32" s="307"/>
    </row>
    <row r="33" spans="1:11">
      <c r="A33" s="301" t="s">
        <v>455</v>
      </c>
      <c r="B33" s="14"/>
      <c r="C33" s="14"/>
      <c r="D33" s="14"/>
      <c r="E33" s="14"/>
      <c r="F33" s="14"/>
      <c r="G33" s="14"/>
      <c r="H33" s="14"/>
      <c r="I33" s="14"/>
      <c r="J33" s="14"/>
      <c r="K33" s="307"/>
    </row>
    <row r="34" spans="1:11" ht="17" thickBot="1">
      <c r="A34" s="303" t="s">
        <v>456</v>
      </c>
      <c r="B34" s="304"/>
      <c r="C34" s="304"/>
      <c r="D34" s="304"/>
      <c r="E34" s="304"/>
      <c r="F34" s="304"/>
      <c r="G34" s="304"/>
      <c r="H34" s="304"/>
      <c r="I34" s="304"/>
      <c r="J34" s="304"/>
      <c r="K34" s="308"/>
    </row>
  </sheetData>
  <mergeCells count="15">
    <mergeCell ref="B21:B22"/>
    <mergeCell ref="C21:D21"/>
    <mergeCell ref="C22:D22"/>
    <mergeCell ref="B17:B18"/>
    <mergeCell ref="C17:D17"/>
    <mergeCell ref="C18:D18"/>
    <mergeCell ref="B19:B20"/>
    <mergeCell ref="C19:D19"/>
    <mergeCell ref="C20:D20"/>
    <mergeCell ref="B16:E16"/>
    <mergeCell ref="B2:C2"/>
    <mergeCell ref="J5:Q5"/>
    <mergeCell ref="G7:H7"/>
    <mergeCell ref="G11:H11"/>
    <mergeCell ref="C12:D1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5A589-3A9A-C943-BFEB-9A5ABB130FC3}">
  <dimension ref="B2:Q26"/>
  <sheetViews>
    <sheetView zoomScale="120" zoomScaleNormal="120" workbookViewId="0">
      <selection activeCell="H21" sqref="H21"/>
    </sheetView>
  </sheetViews>
  <sheetFormatPr baseColWidth="10" defaultRowHeight="16"/>
  <cols>
    <col min="6" max="6" width="3.5" customWidth="1"/>
  </cols>
  <sheetData>
    <row r="2" spans="2:17">
      <c r="B2" s="537" t="s">
        <v>159</v>
      </c>
      <c r="C2" s="537"/>
    </row>
    <row r="3" spans="2:17">
      <c r="B3" s="65" t="s">
        <v>413</v>
      </c>
      <c r="C3" s="65">
        <f>C4+0.5</f>
        <v>2</v>
      </c>
    </row>
    <row r="4" spans="2:17" ht="17" thickBot="1">
      <c r="B4" s="65" t="s">
        <v>412</v>
      </c>
      <c r="C4" s="65">
        <v>1.5</v>
      </c>
    </row>
    <row r="5" spans="2:17" ht="17" thickBot="1">
      <c r="B5" s="65" t="s">
        <v>411</v>
      </c>
      <c r="C5" s="65">
        <f>C4-0.5</f>
        <v>1</v>
      </c>
      <c r="J5" s="538" t="s">
        <v>776</v>
      </c>
      <c r="K5" s="539"/>
      <c r="L5" s="539"/>
      <c r="M5" s="539"/>
      <c r="N5" s="539"/>
      <c r="O5" s="539"/>
      <c r="P5" s="539"/>
      <c r="Q5" s="540"/>
    </row>
    <row r="7" spans="2:17">
      <c r="B7" s="65" t="s">
        <v>437</v>
      </c>
      <c r="C7" s="350">
        <f>_xlfn.STDEV.S(J7:Q11)</f>
        <v>0.39045593007833013</v>
      </c>
      <c r="G7" s="537" t="s">
        <v>777</v>
      </c>
      <c r="H7" s="537"/>
      <c r="J7" s="309">
        <v>1.0900000000000001</v>
      </c>
      <c r="K7" s="309">
        <v>1.74</v>
      </c>
      <c r="L7" s="309">
        <v>1.58</v>
      </c>
      <c r="M7" s="309">
        <v>2.11</v>
      </c>
      <c r="N7" s="309">
        <v>1.64</v>
      </c>
      <c r="O7" s="309">
        <v>1.79</v>
      </c>
      <c r="P7" s="309">
        <v>1.37</v>
      </c>
      <c r="Q7" s="309">
        <v>1.75</v>
      </c>
    </row>
    <row r="8" spans="2:17">
      <c r="B8" s="65" t="s">
        <v>436</v>
      </c>
      <c r="C8" s="350">
        <f>AVERAGE(J7:Q11)</f>
        <v>1.7742499999999999</v>
      </c>
      <c r="G8" s="65">
        <f>(E14^2)/(2*(C10-1))</f>
        <v>4.761835184717211E-4</v>
      </c>
      <c r="H8" s="65">
        <f>1/(9*C10)</f>
        <v>2.7777777777777779E-3</v>
      </c>
      <c r="J8" s="309">
        <v>1.92</v>
      </c>
      <c r="K8" s="309">
        <v>1.47</v>
      </c>
      <c r="L8" s="309">
        <v>2.0299999999999998</v>
      </c>
      <c r="M8" s="309">
        <v>1.86</v>
      </c>
      <c r="N8" s="309">
        <v>0.72</v>
      </c>
      <c r="O8" s="309">
        <v>2.46</v>
      </c>
      <c r="P8" s="309">
        <v>1.93</v>
      </c>
      <c r="Q8" s="309">
        <v>1.63</v>
      </c>
    </row>
    <row r="9" spans="2:17">
      <c r="B9" s="65" t="s">
        <v>778</v>
      </c>
      <c r="C9" s="350">
        <v>1.96</v>
      </c>
      <c r="J9" s="309">
        <v>2.31</v>
      </c>
      <c r="K9" s="309">
        <v>1.97</v>
      </c>
      <c r="L9" s="309">
        <v>1.7</v>
      </c>
      <c r="M9" s="309">
        <v>1.9</v>
      </c>
      <c r="N9" s="309">
        <v>1.69</v>
      </c>
      <c r="O9" s="309">
        <v>1.88</v>
      </c>
      <c r="P9" s="309">
        <v>1.4</v>
      </c>
      <c r="Q9" s="309">
        <v>2.37</v>
      </c>
    </row>
    <row r="10" spans="2:17">
      <c r="B10" s="65" t="s">
        <v>101</v>
      </c>
      <c r="C10" s="65">
        <f>COUNT(J7:Q11)</f>
        <v>40</v>
      </c>
      <c r="J10" s="309">
        <v>1.79</v>
      </c>
      <c r="K10" s="309">
        <v>0.85</v>
      </c>
      <c r="L10" s="309">
        <v>2.17</v>
      </c>
      <c r="M10" s="309">
        <v>1.68</v>
      </c>
      <c r="N10" s="309">
        <v>1.85</v>
      </c>
      <c r="O10" s="309">
        <v>2.08</v>
      </c>
      <c r="P10" s="309">
        <v>1.64</v>
      </c>
      <c r="Q10" s="309">
        <v>1.75</v>
      </c>
    </row>
    <row r="11" spans="2:17" ht="17" thickBot="1">
      <c r="G11" s="537" t="s">
        <v>779</v>
      </c>
      <c r="H11" s="537"/>
      <c r="J11" s="309">
        <v>2.2799999999999998</v>
      </c>
      <c r="K11" s="309">
        <v>1.24</v>
      </c>
      <c r="L11" s="309">
        <v>2.5499999999999998</v>
      </c>
      <c r="M11" s="309">
        <v>1.51</v>
      </c>
      <c r="N11" s="309">
        <v>1.82</v>
      </c>
      <c r="O11" s="309">
        <v>1.67</v>
      </c>
      <c r="P11" s="309">
        <v>2.09</v>
      </c>
      <c r="Q11" s="309">
        <v>1.69</v>
      </c>
    </row>
    <row r="12" spans="2:17" ht="17" thickBot="1">
      <c r="B12" s="352" t="s">
        <v>780</v>
      </c>
      <c r="C12" s="541" t="s">
        <v>781</v>
      </c>
      <c r="D12" s="541"/>
      <c r="E12" s="353" t="s">
        <v>782</v>
      </c>
      <c r="G12" s="65" t="s">
        <v>783</v>
      </c>
      <c r="H12" s="65">
        <f>(1/2)+(((C8-C4)^2)/$C$7^2)</f>
        <v>0.99334329067981242</v>
      </c>
    </row>
    <row r="13" spans="2:17">
      <c r="B13" s="354" t="s">
        <v>331</v>
      </c>
      <c r="C13" s="130"/>
      <c r="D13" s="283"/>
      <c r="E13" s="355">
        <f>(C3-C5)/(6*C7)</f>
        <v>0.42685141606949428</v>
      </c>
      <c r="G13" s="65" t="s">
        <v>784</v>
      </c>
      <c r="H13" s="65">
        <f>(1+(((C8-C4)^2)/($C$7^2)))^2</f>
        <v>2.2300741838184113</v>
      </c>
    </row>
    <row r="14" spans="2:17">
      <c r="B14" s="356" t="s">
        <v>330</v>
      </c>
      <c r="C14" s="357">
        <f>(C8-C5)/(3*C7)</f>
        <v>0.6609794177836118</v>
      </c>
      <c r="D14" s="357">
        <f>(C3-C8)/(3*C7)</f>
        <v>0.19272341435537677</v>
      </c>
      <c r="E14" s="358">
        <f>MIN(C14:D14)</f>
        <v>0.19272341435537677</v>
      </c>
    </row>
    <row r="15" spans="2:17" ht="17" thickBot="1">
      <c r="B15" s="359" t="s">
        <v>329</v>
      </c>
      <c r="C15" s="284" t="s">
        <v>443</v>
      </c>
      <c r="D15" s="360">
        <f>6*SQRT((C7^2)+((C8-C4)^2))</f>
        <v>2.8628797128066727</v>
      </c>
      <c r="E15" s="361">
        <f>(C3-C5)/D15</f>
        <v>0.34929864343466704</v>
      </c>
    </row>
    <row r="16" spans="2:17" ht="17" thickBot="1">
      <c r="B16" s="534" t="s">
        <v>785</v>
      </c>
      <c r="C16" s="535"/>
      <c r="D16" s="535"/>
      <c r="E16" s="536"/>
    </row>
    <row r="17" spans="2:5">
      <c r="B17" s="551" t="s">
        <v>331</v>
      </c>
      <c r="C17" s="552" t="s">
        <v>334</v>
      </c>
      <c r="D17" s="495"/>
      <c r="E17" s="355">
        <f>$E$13-($C$9*($E$13/SQRT((2*($C$10-1)))))</f>
        <v>0.33212186120960707</v>
      </c>
    </row>
    <row r="18" spans="2:5" ht="17" thickBot="1">
      <c r="B18" s="543"/>
      <c r="C18" s="546" t="s">
        <v>336</v>
      </c>
      <c r="D18" s="489"/>
      <c r="E18" s="361">
        <f>$E$13+($C$9*($E$13/SQRT((2*($C$10-1)))))</f>
        <v>0.52158097092938149</v>
      </c>
    </row>
    <row r="19" spans="2:5">
      <c r="B19" s="551" t="s">
        <v>330</v>
      </c>
      <c r="C19" s="552" t="s">
        <v>334</v>
      </c>
      <c r="D19" s="495"/>
      <c r="E19" s="355">
        <f>$E$14-($C$9*SQRT($G$8+$H$8))</f>
        <v>8.0918147414717506E-2</v>
      </c>
    </row>
    <row r="20" spans="2:5" ht="17" thickBot="1">
      <c r="B20" s="543"/>
      <c r="C20" s="546" t="s">
        <v>336</v>
      </c>
      <c r="D20" s="489"/>
      <c r="E20" s="361">
        <f>$E$14+$C$9*SQRT($G$8+$H$8)</f>
        <v>0.30452868129603605</v>
      </c>
    </row>
    <row r="21" spans="2:5">
      <c r="B21" s="542" t="s">
        <v>329</v>
      </c>
      <c r="C21" s="544" t="s">
        <v>334</v>
      </c>
      <c r="D21" s="545"/>
      <c r="E21" s="362">
        <f>$E$15-($C$9*($E$15/SQRT($C$10))*SQRT($H$12/$H$13))</f>
        <v>0.27705277748205315</v>
      </c>
    </row>
    <row r="22" spans="2:5" ht="17" thickBot="1">
      <c r="B22" s="543"/>
      <c r="C22" s="546" t="s">
        <v>336</v>
      </c>
      <c r="D22" s="489"/>
      <c r="E22" s="361">
        <f>$E$15+($C$9*($E$15/SQRT($C$10))*SQRT($H$12/$H$13))</f>
        <v>0.42154450938728094</v>
      </c>
    </row>
    <row r="23" spans="2:5">
      <c r="B23" s="64"/>
      <c r="C23" s="64"/>
      <c r="D23" s="64"/>
      <c r="E23" s="64"/>
    </row>
    <row r="24" spans="2:5">
      <c r="B24" s="553" t="s">
        <v>786</v>
      </c>
      <c r="C24" s="553"/>
      <c r="D24" s="553"/>
      <c r="E24" s="553"/>
    </row>
    <row r="25" spans="2:5">
      <c r="B25" s="553"/>
      <c r="C25" s="553"/>
      <c r="D25" s="553"/>
      <c r="E25" s="553"/>
    </row>
    <row r="26" spans="2:5">
      <c r="B26" s="553"/>
      <c r="C26" s="553"/>
      <c r="D26" s="553"/>
      <c r="E26" s="553"/>
    </row>
  </sheetData>
  <mergeCells count="16">
    <mergeCell ref="B21:B22"/>
    <mergeCell ref="C21:D21"/>
    <mergeCell ref="C22:D22"/>
    <mergeCell ref="B24:E26"/>
    <mergeCell ref="B17:B18"/>
    <mergeCell ref="C17:D17"/>
    <mergeCell ref="C18:D18"/>
    <mergeCell ref="B19:B20"/>
    <mergeCell ref="C19:D19"/>
    <mergeCell ref="C20:D20"/>
    <mergeCell ref="B16:E16"/>
    <mergeCell ref="B2:C2"/>
    <mergeCell ref="J5:Q5"/>
    <mergeCell ref="G7:H7"/>
    <mergeCell ref="G11:H11"/>
    <mergeCell ref="C12:D1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240BD-0ED8-D643-956B-7F1CB20F7917}">
  <dimension ref="B1:K36"/>
  <sheetViews>
    <sheetView zoomScale="110" zoomScaleNormal="110" zoomScalePageLayoutView="150" workbookViewId="0">
      <selection activeCell="C6" sqref="C6"/>
    </sheetView>
  </sheetViews>
  <sheetFormatPr baseColWidth="10" defaultColWidth="8.6640625" defaultRowHeight="14"/>
  <cols>
    <col min="1" max="1" width="8.6640625" style="265"/>
    <col min="2" max="2" width="12.6640625" style="265" bestFit="1" customWidth="1"/>
    <col min="3" max="3" width="10" style="265" customWidth="1"/>
    <col min="4" max="4" width="8.6640625" style="266"/>
    <col min="5" max="5" width="8.33203125" style="265" customWidth="1"/>
    <col min="6" max="1999" width="8.6640625" style="265"/>
    <col min="2000" max="2000" width="2.33203125" style="265" customWidth="1"/>
    <col min="2001" max="16384" width="8.6640625" style="265"/>
  </cols>
  <sheetData>
    <row r="1" spans="2:11">
      <c r="B1" s="264" t="s">
        <v>490</v>
      </c>
      <c r="G1" s="264" t="s">
        <v>491</v>
      </c>
    </row>
    <row r="2" spans="2:11" ht="20">
      <c r="B2" s="267" t="s">
        <v>422</v>
      </c>
      <c r="C2" s="265">
        <v>0.2</v>
      </c>
      <c r="I2" s="268"/>
    </row>
    <row r="3" spans="2:11">
      <c r="B3" s="269" t="s">
        <v>492</v>
      </c>
      <c r="C3" s="265">
        <v>5.4</v>
      </c>
      <c r="G3" s="265" t="s">
        <v>493</v>
      </c>
    </row>
    <row r="4" spans="2:11">
      <c r="B4" s="269" t="s">
        <v>494</v>
      </c>
      <c r="C4" s="265">
        <v>4.9000000000000004</v>
      </c>
      <c r="G4" s="270">
        <v>0.95</v>
      </c>
      <c r="H4" s="265" t="s">
        <v>495</v>
      </c>
    </row>
    <row r="5" spans="2:11">
      <c r="B5" s="269" t="s">
        <v>496</v>
      </c>
      <c r="C5" s="265">
        <v>4.4000000000000004</v>
      </c>
      <c r="G5" s="265">
        <v>1.96</v>
      </c>
      <c r="H5" s="271" t="s">
        <v>497</v>
      </c>
    </row>
    <row r="6" spans="2:11">
      <c r="B6" s="269" t="s">
        <v>498</v>
      </c>
      <c r="C6" s="265">
        <v>4.8</v>
      </c>
    </row>
    <row r="7" spans="2:11" ht="15" thickBot="1"/>
    <row r="8" spans="2:11" ht="17" thickBot="1">
      <c r="B8" s="310" t="s">
        <v>499</v>
      </c>
      <c r="C8" s="311" t="s">
        <v>500</v>
      </c>
      <c r="D8" s="312">
        <f>(C3-C5)/(6*C2)</f>
        <v>0.83333333333333326</v>
      </c>
      <c r="E8" s="554" t="s">
        <v>741</v>
      </c>
      <c r="F8" s="311" t="s">
        <v>499</v>
      </c>
      <c r="G8" s="313">
        <f>G5*((D8/((2*(40-1))^0.5)))</f>
        <v>0.18493858224361726</v>
      </c>
      <c r="H8" s="313"/>
      <c r="I8" s="313" t="s">
        <v>334</v>
      </c>
      <c r="J8" s="314">
        <f>D8-G8</f>
        <v>0.648394751089716</v>
      </c>
      <c r="K8" s="556" t="s">
        <v>741</v>
      </c>
    </row>
    <row r="9" spans="2:11" ht="17" thickTop="1">
      <c r="B9" s="315"/>
      <c r="C9" s="272" t="s">
        <v>501</v>
      </c>
      <c r="E9" s="555"/>
      <c r="F9" s="316"/>
      <c r="G9" s="264"/>
      <c r="H9" s="264"/>
      <c r="I9" s="264" t="s">
        <v>336</v>
      </c>
      <c r="J9" s="317">
        <f>D8+G8</f>
        <v>1.0182719155769506</v>
      </c>
      <c r="K9" s="557"/>
    </row>
    <row r="10" spans="2:11">
      <c r="B10" s="318"/>
      <c r="E10" s="555"/>
      <c r="G10" s="264"/>
      <c r="H10" s="264"/>
      <c r="I10" s="264"/>
      <c r="J10" s="264"/>
      <c r="K10" s="557"/>
    </row>
    <row r="11" spans="2:11">
      <c r="B11" s="318"/>
      <c r="E11" s="555"/>
      <c r="K11" s="557"/>
    </row>
    <row r="12" spans="2:11" ht="17" thickBot="1">
      <c r="B12" s="315" t="s">
        <v>502</v>
      </c>
      <c r="C12" s="316" t="s">
        <v>503</v>
      </c>
      <c r="D12" s="319">
        <f>(C3-C6)/(C2*3)</f>
        <v>1.0000000000000007</v>
      </c>
      <c r="E12" s="555"/>
      <c r="F12" s="316" t="s">
        <v>502</v>
      </c>
      <c r="G12" s="264">
        <f>G5*(((D15^2)/(2*39))+((1/(9*40))))^0.5</f>
        <v>0.18044547597701011</v>
      </c>
      <c r="H12" s="264"/>
      <c r="I12" s="264" t="s">
        <v>334</v>
      </c>
      <c r="J12" s="317">
        <f>D15-G12</f>
        <v>0.48622119068965552</v>
      </c>
      <c r="K12" s="557"/>
    </row>
    <row r="13" spans="2:11" ht="17" thickTop="1">
      <c r="B13" s="315"/>
      <c r="C13" s="272" t="s">
        <v>504</v>
      </c>
      <c r="D13" s="320"/>
      <c r="E13" s="555"/>
      <c r="F13" s="316"/>
      <c r="G13" s="264"/>
      <c r="H13" s="264"/>
      <c r="I13" s="264" t="s">
        <v>336</v>
      </c>
      <c r="J13" s="317">
        <f>D15+G12</f>
        <v>0.84711214264367574</v>
      </c>
      <c r="K13" s="557"/>
    </row>
    <row r="14" spans="2:11">
      <c r="B14" s="318"/>
      <c r="D14" s="320"/>
      <c r="E14" s="555"/>
      <c r="G14" s="264"/>
      <c r="H14" s="264"/>
      <c r="I14" s="264"/>
      <c r="J14" s="264"/>
      <c r="K14" s="557"/>
    </row>
    <row r="15" spans="2:11" ht="17" thickBot="1">
      <c r="B15" s="315" t="s">
        <v>502</v>
      </c>
      <c r="C15" s="316" t="s">
        <v>505</v>
      </c>
      <c r="D15" s="319">
        <f>(C6-C5)/(C2*3)</f>
        <v>0.66666666666666563</v>
      </c>
      <c r="E15" s="555"/>
      <c r="K15" s="557"/>
    </row>
    <row r="16" spans="2:11" ht="17" thickTop="1">
      <c r="B16" s="315"/>
      <c r="C16" s="272" t="s">
        <v>504</v>
      </c>
      <c r="E16" s="555"/>
      <c r="K16" s="557"/>
    </row>
    <row r="17" spans="2:11" ht="19" customHeight="1">
      <c r="B17" s="318"/>
      <c r="E17" s="555"/>
      <c r="K17" s="557"/>
    </row>
    <row r="18" spans="2:11" ht="24">
      <c r="B18" s="321" t="s">
        <v>506</v>
      </c>
      <c r="C18" s="322" t="s">
        <v>507</v>
      </c>
      <c r="D18" s="323"/>
      <c r="E18" s="555"/>
      <c r="K18" s="557"/>
    </row>
    <row r="19" spans="2:11" ht="24">
      <c r="B19" s="321" t="s">
        <v>506</v>
      </c>
      <c r="C19" s="324">
        <f>(C2^2)+((C6-C4)^2)</f>
        <v>5.0000000000000114E-2</v>
      </c>
      <c r="D19" s="323"/>
      <c r="E19" s="555"/>
      <c r="K19" s="557"/>
    </row>
    <row r="20" spans="2:11">
      <c r="B20" s="325"/>
      <c r="C20" s="323"/>
      <c r="D20" s="323"/>
      <c r="E20" s="555"/>
      <c r="K20" s="557"/>
    </row>
    <row r="21" spans="2:11" ht="15">
      <c r="B21" s="326" t="s">
        <v>442</v>
      </c>
      <c r="C21" s="265" t="s">
        <v>508</v>
      </c>
      <c r="D21" s="323"/>
      <c r="E21" s="555"/>
      <c r="K21" s="557"/>
    </row>
    <row r="22" spans="2:11" ht="16">
      <c r="B22" s="327" t="s">
        <v>442</v>
      </c>
      <c r="C22" s="328">
        <f>(C3-C5)/(6*(C19^(1/2)))</f>
        <v>0.74535599249992901</v>
      </c>
      <c r="D22" s="323"/>
      <c r="E22" s="555"/>
      <c r="F22" s="329" t="s">
        <v>442</v>
      </c>
      <c r="G22" s="264">
        <f>G5*(C22/(40^0.5))*((0.5+((C6-C4)^2)/(C2^2))/((1+((C6-C4)^2)/(C2^2))^2)^0.5)</f>
        <v>0.13859292911256332</v>
      </c>
      <c r="H22" s="264"/>
      <c r="I22" s="264" t="s">
        <v>334</v>
      </c>
      <c r="J22" s="330">
        <f>C22-G22</f>
        <v>0.60676306338736574</v>
      </c>
      <c r="K22" s="557"/>
    </row>
    <row r="23" spans="2:11" ht="15" thickBot="1">
      <c r="B23" s="331"/>
      <c r="C23" s="332"/>
      <c r="D23" s="332"/>
      <c r="E23" s="332"/>
      <c r="F23" s="333"/>
      <c r="G23" s="334"/>
      <c r="H23" s="334"/>
      <c r="I23" s="334" t="s">
        <v>336</v>
      </c>
      <c r="J23" s="335">
        <f>C22+G22</f>
        <v>0.88394892161249228</v>
      </c>
      <c r="K23" s="558"/>
    </row>
    <row r="33" spans="2:2">
      <c r="B33" s="265" t="s">
        <v>509</v>
      </c>
    </row>
    <row r="35" spans="2:2" ht="16.5" customHeight="1"/>
    <row r="36" spans="2:2" ht="17.25" customHeight="1"/>
  </sheetData>
  <mergeCells count="2">
    <mergeCell ref="E8:E22"/>
    <mergeCell ref="K8:K23"/>
  </mergeCells>
  <pageMargins left="0.7" right="0.7" top="0.75" bottom="0.75" header="0.3" footer="0.3"/>
  <pageSetup orientation="portrait" horizontalDpi="360" verticalDpi="36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2A478-0FA6-B741-B543-9D9FBB666E39}">
  <dimension ref="C3:J29"/>
  <sheetViews>
    <sheetView zoomScale="125" zoomScaleNormal="125" zoomScalePageLayoutView="125" workbookViewId="0">
      <selection activeCell="D9" sqref="D9"/>
    </sheetView>
  </sheetViews>
  <sheetFormatPr baseColWidth="10" defaultRowHeight="16"/>
  <sheetData>
    <row r="3" spans="3:5">
      <c r="C3" t="s">
        <v>510</v>
      </c>
      <c r="D3">
        <v>251</v>
      </c>
    </row>
    <row r="4" spans="3:5">
      <c r="C4" t="s">
        <v>511</v>
      </c>
      <c r="D4">
        <v>250</v>
      </c>
    </row>
    <row r="5" spans="3:5">
      <c r="C5" t="s">
        <v>512</v>
      </c>
      <c r="D5">
        <v>249</v>
      </c>
    </row>
    <row r="7" spans="3:5">
      <c r="C7" t="s">
        <v>101</v>
      </c>
      <c r="D7">
        <v>40</v>
      </c>
      <c r="E7" t="s">
        <v>513</v>
      </c>
    </row>
    <row r="8" spans="3:5">
      <c r="C8" t="s">
        <v>192</v>
      </c>
      <c r="D8">
        <v>249.77</v>
      </c>
    </row>
    <row r="9" spans="3:5">
      <c r="C9" t="s">
        <v>193</v>
      </c>
      <c r="D9">
        <v>2.5</v>
      </c>
    </row>
    <row r="10" spans="3:5" ht="17" thickBot="1"/>
    <row r="11" spans="3:5">
      <c r="C11" s="337" t="s">
        <v>331</v>
      </c>
      <c r="D11" s="338">
        <f>(D3-D5)/(6*D9)</f>
        <v>0.13333333333333333</v>
      </c>
      <c r="E11" s="559" t="s">
        <v>741</v>
      </c>
    </row>
    <row r="12" spans="3:5">
      <c r="C12" s="274" t="s">
        <v>514</v>
      </c>
      <c r="D12" s="273">
        <f>(D8-D5)/(3*D9)</f>
        <v>0.10266666666666803</v>
      </c>
      <c r="E12" s="560"/>
    </row>
    <row r="13" spans="3:5">
      <c r="C13" s="89" t="s">
        <v>515</v>
      </c>
      <c r="D13">
        <f>(D3-D8)/(3*D9)</f>
        <v>0.16399999999999865</v>
      </c>
      <c r="E13" s="560"/>
    </row>
    <row r="14" spans="3:5">
      <c r="C14" s="274" t="s">
        <v>329</v>
      </c>
      <c r="D14" s="273">
        <f>(D3-D5)/(6*(SQRT((D9^2)+(D8-D4)^2)))</f>
        <v>0.13277262355237168</v>
      </c>
      <c r="E14" s="560"/>
    </row>
    <row r="15" spans="3:5">
      <c r="C15" s="89"/>
      <c r="E15" s="94"/>
    </row>
    <row r="16" spans="3:5">
      <c r="C16" s="89" t="s">
        <v>516</v>
      </c>
      <c r="E16" s="94"/>
    </row>
    <row r="17" spans="3:10">
      <c r="C17" s="89"/>
      <c r="E17" s="94"/>
    </row>
    <row r="18" spans="3:10">
      <c r="C18" s="274" t="s">
        <v>331</v>
      </c>
      <c r="D18" s="273">
        <f>D11+(1.96*D11/SQRT(2*39))</f>
        <v>0.1629235064923121</v>
      </c>
      <c r="E18" s="560" t="s">
        <v>741</v>
      </c>
    </row>
    <row r="19" spans="3:10">
      <c r="C19" s="274"/>
      <c r="D19" s="273">
        <f>D11-(1.96*D11/SQRT(2*39))</f>
        <v>0.10374316017435457</v>
      </c>
      <c r="E19" s="560"/>
    </row>
    <row r="20" spans="3:10">
      <c r="C20" s="274"/>
      <c r="D20" s="107"/>
      <c r="E20" s="560"/>
    </row>
    <row r="21" spans="3:10">
      <c r="C21" s="274" t="s">
        <v>330</v>
      </c>
      <c r="D21" s="273">
        <f>D12+(1.96*SQRT((D12^2/78)+(1/360)))</f>
        <v>0.20845060454662373</v>
      </c>
      <c r="E21" s="560"/>
    </row>
    <row r="22" spans="3:10">
      <c r="C22" s="274"/>
      <c r="D22" s="273">
        <f>D12-(1.96*SQRT((D12^2/78)+(1/360)))</f>
        <v>-3.1172712132876701E-3</v>
      </c>
      <c r="E22" s="560"/>
    </row>
    <row r="23" spans="3:10">
      <c r="C23" s="274"/>
      <c r="D23" s="107"/>
      <c r="E23" s="560"/>
    </row>
    <row r="24" spans="3:10">
      <c r="C24" s="274" t="s">
        <v>329</v>
      </c>
      <c r="D24" s="273">
        <f>D14+1.96*(D14/SQRT(40))*SQRT((0.5+(D8-D4)^2/D9^2)/(1+(D8-D4)^2/D9^2)^2)</f>
        <v>0.16186668273690855</v>
      </c>
      <c r="E24" s="560"/>
    </row>
    <row r="25" spans="3:10" ht="17" thickBot="1">
      <c r="C25" s="339"/>
      <c r="D25" s="340">
        <f>D14-1.96*(D14/SQRT(40))*SQRT((0.5+(D8-D4)^2/D9^2)/(1+(D8-D4)^2/D9^2)^2)</f>
        <v>0.10367856436783482</v>
      </c>
      <c r="E25" s="561"/>
    </row>
    <row r="27" spans="3:10">
      <c r="C27" t="s">
        <v>517</v>
      </c>
    </row>
    <row r="28" spans="3:10">
      <c r="C28" s="562" t="s">
        <v>518</v>
      </c>
      <c r="D28" s="562"/>
      <c r="E28" s="562"/>
      <c r="F28" s="562"/>
      <c r="G28" s="562"/>
      <c r="H28" s="562"/>
      <c r="I28" s="562"/>
      <c r="J28" s="562"/>
    </row>
    <row r="29" spans="3:10">
      <c r="C29" s="562"/>
      <c r="D29" s="562"/>
      <c r="E29" s="562"/>
      <c r="F29" s="562"/>
      <c r="G29" s="562"/>
      <c r="H29" s="562"/>
      <c r="I29" s="562"/>
      <c r="J29" s="562"/>
    </row>
  </sheetData>
  <mergeCells count="3">
    <mergeCell ref="E11:E14"/>
    <mergeCell ref="E18:E25"/>
    <mergeCell ref="C28:J29"/>
  </mergeCells>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441D9-74BF-7042-BC33-5D76E58AEC59}">
  <dimension ref="B1:R61"/>
  <sheetViews>
    <sheetView zoomScale="125" zoomScaleNormal="100" workbookViewId="0">
      <selection activeCell="G34" sqref="G34"/>
    </sheetView>
  </sheetViews>
  <sheetFormatPr baseColWidth="10" defaultRowHeight="13"/>
  <cols>
    <col min="1" max="1" width="4" style="1" customWidth="1"/>
    <col min="2" max="2" width="13.83203125" style="1" customWidth="1"/>
    <col min="3" max="16384" width="10.83203125" style="1"/>
  </cols>
  <sheetData>
    <row r="1" spans="2:13" ht="14" thickBot="1"/>
    <row r="2" spans="2:13">
      <c r="B2" s="372" t="s">
        <v>69</v>
      </c>
      <c r="C2" s="387" t="s">
        <v>70</v>
      </c>
      <c r="D2" s="387"/>
      <c r="E2" s="387"/>
      <c r="F2" s="387"/>
      <c r="G2" s="387"/>
      <c r="H2" s="387"/>
      <c r="I2" s="387"/>
      <c r="J2" s="387"/>
      <c r="K2" s="387"/>
      <c r="L2" s="387"/>
      <c r="M2" s="386"/>
    </row>
    <row r="3" spans="2:13">
      <c r="B3" s="398" t="s">
        <v>798</v>
      </c>
      <c r="C3" s="1" t="s">
        <v>71</v>
      </c>
      <c r="M3" s="383"/>
    </row>
    <row r="4" spans="2:13">
      <c r="B4" s="373"/>
      <c r="C4" s="451" t="s">
        <v>72</v>
      </c>
      <c r="D4" s="451"/>
      <c r="E4" s="451" t="s">
        <v>73</v>
      </c>
      <c r="F4" s="451"/>
      <c r="G4" s="451" t="s">
        <v>74</v>
      </c>
      <c r="H4" s="451"/>
      <c r="M4" s="383"/>
    </row>
    <row r="5" spans="2:13">
      <c r="B5" s="373"/>
      <c r="C5" s="4" t="s">
        <v>75</v>
      </c>
      <c r="D5" s="4">
        <v>80</v>
      </c>
      <c r="E5" s="4" t="s">
        <v>75</v>
      </c>
      <c r="F5" s="4">
        <v>80</v>
      </c>
      <c r="G5" s="4" t="s">
        <v>75</v>
      </c>
      <c r="H5" s="4">
        <v>32</v>
      </c>
      <c r="M5" s="383"/>
    </row>
    <row r="6" spans="2:13">
      <c r="B6" s="373"/>
      <c r="C6" s="4" t="s">
        <v>76</v>
      </c>
      <c r="D6" s="4">
        <v>7</v>
      </c>
      <c r="E6" s="4" t="s">
        <v>76</v>
      </c>
      <c r="F6" s="4">
        <v>5</v>
      </c>
      <c r="G6" s="4" t="s">
        <v>76</v>
      </c>
      <c r="H6" s="4">
        <v>3</v>
      </c>
      <c r="M6" s="383"/>
    </row>
    <row r="7" spans="2:13">
      <c r="B7" s="373"/>
      <c r="C7" s="4" t="s">
        <v>77</v>
      </c>
      <c r="D7" s="4">
        <v>8</v>
      </c>
      <c r="E7" s="4" t="s">
        <v>77</v>
      </c>
      <c r="F7" s="4">
        <v>6</v>
      </c>
      <c r="G7" s="4" t="s">
        <v>77</v>
      </c>
      <c r="H7" s="4">
        <v>6</v>
      </c>
      <c r="M7" s="383"/>
    </row>
    <row r="8" spans="2:13">
      <c r="B8" s="373" t="s">
        <v>78</v>
      </c>
      <c r="M8" s="383"/>
    </row>
    <row r="9" spans="2:13">
      <c r="B9" s="373" t="s">
        <v>79</v>
      </c>
      <c r="M9" s="383"/>
    </row>
    <row r="10" spans="2:13">
      <c r="B10" s="373" t="s">
        <v>80</v>
      </c>
      <c r="M10" s="383"/>
    </row>
    <row r="11" spans="2:13" ht="14" thickBot="1">
      <c r="B11" s="375" t="s">
        <v>81</v>
      </c>
      <c r="C11" s="376"/>
      <c r="D11" s="376"/>
      <c r="E11" s="376"/>
      <c r="F11" s="376"/>
      <c r="G11" s="376"/>
      <c r="H11" s="376"/>
      <c r="I11" s="376"/>
      <c r="J11" s="376"/>
      <c r="K11" s="376"/>
      <c r="L11" s="376"/>
      <c r="M11" s="377"/>
    </row>
    <row r="12" spans="2:13" ht="14" thickBot="1"/>
    <row r="13" spans="2:13">
      <c r="B13" s="372" t="s">
        <v>82</v>
      </c>
      <c r="C13" s="452" t="s">
        <v>72</v>
      </c>
      <c r="D13" s="452"/>
      <c r="E13" s="387"/>
      <c r="F13" s="386"/>
    </row>
    <row r="14" spans="2:13" ht="15">
      <c r="B14" s="398" t="s">
        <v>741</v>
      </c>
      <c r="C14" s="4" t="s">
        <v>75</v>
      </c>
      <c r="D14" s="4">
        <f>D5</f>
        <v>80</v>
      </c>
      <c r="E14" s="4" t="s">
        <v>83</v>
      </c>
      <c r="F14" s="374" t="s">
        <v>84</v>
      </c>
    </row>
    <row r="15" spans="2:13">
      <c r="B15" s="373"/>
      <c r="C15" s="4" t="s">
        <v>76</v>
      </c>
      <c r="D15" s="4">
        <f>D6</f>
        <v>7</v>
      </c>
      <c r="E15" s="4" t="s">
        <v>85</v>
      </c>
      <c r="F15" s="374" t="s">
        <v>86</v>
      </c>
    </row>
    <row r="16" spans="2:13" ht="14" thickBot="1">
      <c r="B16" s="375"/>
      <c r="C16" s="390" t="s">
        <v>77</v>
      </c>
      <c r="D16" s="390">
        <f>D7</f>
        <v>8</v>
      </c>
      <c r="E16" s="390" t="s">
        <v>87</v>
      </c>
      <c r="F16" s="391">
        <f>11.8/80</f>
        <v>0.14750000000000002</v>
      </c>
    </row>
    <row r="17" spans="2:17" ht="14" thickBot="1"/>
    <row r="18" spans="2:17">
      <c r="B18" s="372" t="s">
        <v>88</v>
      </c>
      <c r="C18" s="453" t="s">
        <v>89</v>
      </c>
      <c r="D18" s="453"/>
      <c r="E18" s="392">
        <v>2</v>
      </c>
    </row>
    <row r="19" spans="2:17">
      <c r="B19" s="398" t="s">
        <v>741</v>
      </c>
      <c r="C19" s="454" t="s">
        <v>90</v>
      </c>
      <c r="D19" s="454"/>
      <c r="E19" s="393">
        <v>20</v>
      </c>
    </row>
    <row r="20" spans="2:17">
      <c r="B20" s="373"/>
      <c r="C20" s="454" t="s">
        <v>91</v>
      </c>
      <c r="D20" s="454"/>
      <c r="E20" s="374">
        <v>1000</v>
      </c>
    </row>
    <row r="21" spans="2:17" ht="56">
      <c r="B21" s="373"/>
      <c r="C21" s="394" t="s">
        <v>89</v>
      </c>
      <c r="D21" s="394" t="s">
        <v>90</v>
      </c>
      <c r="E21" s="374" t="s">
        <v>92</v>
      </c>
    </row>
    <row r="22" spans="2:17" ht="14" thickBot="1">
      <c r="B22" s="375"/>
      <c r="C22" s="395">
        <f>E18*D14</f>
        <v>160</v>
      </c>
      <c r="D22" s="396">
        <f>E19*E20*Q35</f>
        <v>1115.8000000000002</v>
      </c>
      <c r="E22" s="397">
        <f>C22+D22</f>
        <v>1275.8000000000002</v>
      </c>
    </row>
    <row r="23" spans="2:17" ht="14" thickBot="1"/>
    <row r="24" spans="2:17">
      <c r="B24" s="372" t="s">
        <v>98</v>
      </c>
      <c r="C24" s="455" t="s">
        <v>742</v>
      </c>
      <c r="D24" s="455"/>
      <c r="E24" s="456"/>
    </row>
    <row r="25" spans="2:17">
      <c r="B25" s="398" t="s">
        <v>741</v>
      </c>
      <c r="C25" s="457"/>
      <c r="D25" s="457"/>
      <c r="E25" s="458"/>
    </row>
    <row r="26" spans="2:17">
      <c r="B26" s="373"/>
      <c r="C26" s="457"/>
      <c r="D26" s="457"/>
      <c r="E26" s="458"/>
    </row>
    <row r="27" spans="2:17">
      <c r="B27" s="373"/>
      <c r="C27" s="457"/>
      <c r="D27" s="457"/>
      <c r="E27" s="458"/>
    </row>
    <row r="28" spans="2:17">
      <c r="B28" s="373"/>
      <c r="C28" s="457"/>
      <c r="D28" s="457"/>
      <c r="E28" s="458"/>
      <c r="N28" s="4" t="s">
        <v>93</v>
      </c>
      <c r="O28" s="4" t="s">
        <v>94</v>
      </c>
      <c r="P28" s="4" t="s">
        <v>95</v>
      </c>
      <c r="Q28" s="4" t="s">
        <v>96</v>
      </c>
    </row>
    <row r="29" spans="2:17" ht="14" thickBot="1">
      <c r="B29" s="375"/>
      <c r="C29" s="459"/>
      <c r="D29" s="459"/>
      <c r="E29" s="460"/>
      <c r="N29" s="4">
        <v>0.01</v>
      </c>
      <c r="O29" s="5">
        <f>$D$14*N29</f>
        <v>0.8</v>
      </c>
      <c r="P29" s="11">
        <v>1</v>
      </c>
      <c r="Q29" s="18">
        <f>N29*P29</f>
        <v>0.01</v>
      </c>
    </row>
    <row r="30" spans="2:17">
      <c r="N30" s="4">
        <v>0.02</v>
      </c>
      <c r="O30" s="5">
        <f t="shared" ref="O30:O50" si="0">$D$14*N30</f>
        <v>1.6</v>
      </c>
      <c r="P30" s="11">
        <v>1</v>
      </c>
      <c r="Q30" s="18">
        <f t="shared" ref="Q30:Q52" si="1">N30*P30</f>
        <v>0.02</v>
      </c>
    </row>
    <row r="31" spans="2:17">
      <c r="N31" s="4">
        <v>0.03</v>
      </c>
      <c r="O31" s="5">
        <f t="shared" si="0"/>
        <v>2.4</v>
      </c>
      <c r="P31" s="11">
        <v>0.997</v>
      </c>
      <c r="Q31" s="18">
        <f t="shared" si="1"/>
        <v>2.9909999999999999E-2</v>
      </c>
    </row>
    <row r="32" spans="2:17">
      <c r="N32" s="4">
        <v>0.04</v>
      </c>
      <c r="O32" s="5">
        <f t="shared" si="0"/>
        <v>3.2</v>
      </c>
      <c r="P32" s="11">
        <v>0.98299999999999998</v>
      </c>
      <c r="Q32" s="18">
        <f t="shared" si="1"/>
        <v>3.9320000000000001E-2</v>
      </c>
    </row>
    <row r="33" spans="14:18">
      <c r="N33" s="4">
        <v>0.05</v>
      </c>
      <c r="O33" s="5">
        <f t="shared" si="0"/>
        <v>4</v>
      </c>
      <c r="P33" s="11">
        <v>0.94899999999999995</v>
      </c>
      <c r="Q33" s="18">
        <f t="shared" si="1"/>
        <v>4.7449999999999999E-2</v>
      </c>
    </row>
    <row r="34" spans="14:18">
      <c r="N34" s="4">
        <v>0.06</v>
      </c>
      <c r="O34" s="5">
        <f t="shared" si="0"/>
        <v>4.8</v>
      </c>
      <c r="P34" s="11">
        <v>0.88700000000000001</v>
      </c>
      <c r="Q34" s="18">
        <f t="shared" si="1"/>
        <v>5.3219999999999996E-2</v>
      </c>
    </row>
    <row r="35" spans="14:18">
      <c r="N35" s="4">
        <v>7.0000000000000007E-2</v>
      </c>
      <c r="O35" s="5">
        <f t="shared" si="0"/>
        <v>5.6000000000000005</v>
      </c>
      <c r="P35" s="11">
        <v>0.79700000000000004</v>
      </c>
      <c r="Q35" s="22">
        <f t="shared" si="1"/>
        <v>5.5790000000000006E-2</v>
      </c>
      <c r="R35" s="6" t="s">
        <v>97</v>
      </c>
    </row>
    <row r="36" spans="14:18">
      <c r="N36" s="4">
        <v>0.08</v>
      </c>
      <c r="O36" s="5">
        <f t="shared" si="0"/>
        <v>6.4</v>
      </c>
      <c r="P36" s="11">
        <v>0.68700000000000006</v>
      </c>
      <c r="Q36" s="18">
        <f t="shared" si="1"/>
        <v>5.4960000000000009E-2</v>
      </c>
    </row>
    <row r="37" spans="14:18">
      <c r="N37" s="4">
        <v>0.09</v>
      </c>
      <c r="O37" s="5">
        <f t="shared" si="0"/>
        <v>7.1999999999999993</v>
      </c>
      <c r="P37" s="11">
        <v>0.56899999999999995</v>
      </c>
      <c r="Q37" s="18">
        <f t="shared" si="1"/>
        <v>5.1209999999999992E-2</v>
      </c>
    </row>
    <row r="38" spans="14:18">
      <c r="N38" s="4">
        <v>0.1</v>
      </c>
      <c r="O38" s="5">
        <f t="shared" si="0"/>
        <v>8</v>
      </c>
      <c r="P38" s="11">
        <v>0.45300000000000001</v>
      </c>
      <c r="Q38" s="18">
        <f t="shared" si="1"/>
        <v>4.5300000000000007E-2</v>
      </c>
    </row>
    <row r="39" spans="14:18">
      <c r="N39" s="4">
        <v>0.11</v>
      </c>
      <c r="O39" s="5">
        <f t="shared" si="0"/>
        <v>8.8000000000000007</v>
      </c>
      <c r="P39" s="11">
        <v>0.34799999999999998</v>
      </c>
      <c r="Q39" s="18">
        <f t="shared" si="1"/>
        <v>3.8279999999999995E-2</v>
      </c>
    </row>
    <row r="40" spans="14:18">
      <c r="N40" s="4">
        <v>0.12</v>
      </c>
      <c r="O40" s="5">
        <f t="shared" si="0"/>
        <v>9.6</v>
      </c>
      <c r="P40" s="11">
        <v>0.25800000000000001</v>
      </c>
      <c r="Q40" s="18">
        <f t="shared" si="1"/>
        <v>3.0960000000000001E-2</v>
      </c>
    </row>
    <row r="41" spans="14:18">
      <c r="N41" s="4">
        <v>0.13</v>
      </c>
      <c r="O41" s="5">
        <f t="shared" si="0"/>
        <v>10.4</v>
      </c>
      <c r="P41" s="11">
        <v>0.186</v>
      </c>
      <c r="Q41" s="18">
        <f t="shared" si="1"/>
        <v>2.418E-2</v>
      </c>
    </row>
    <row r="42" spans="14:18">
      <c r="N42" s="4">
        <v>0.14000000000000001</v>
      </c>
      <c r="O42" s="5">
        <f t="shared" si="0"/>
        <v>11.200000000000001</v>
      </c>
      <c r="P42" s="11">
        <v>0.13100000000000001</v>
      </c>
      <c r="Q42" s="18">
        <f t="shared" si="1"/>
        <v>1.8340000000000002E-2</v>
      </c>
    </row>
    <row r="43" spans="14:18">
      <c r="N43" s="4">
        <v>0.15</v>
      </c>
      <c r="O43" s="5">
        <f t="shared" si="0"/>
        <v>12</v>
      </c>
      <c r="P43" s="11">
        <v>0.09</v>
      </c>
      <c r="Q43" s="18">
        <f t="shared" si="1"/>
        <v>1.35E-2</v>
      </c>
    </row>
    <row r="44" spans="14:18">
      <c r="N44" s="4">
        <v>0.16</v>
      </c>
      <c r="O44" s="5">
        <f t="shared" si="0"/>
        <v>12.8</v>
      </c>
      <c r="P44" s="11">
        <v>0.06</v>
      </c>
      <c r="Q44" s="18">
        <f t="shared" si="1"/>
        <v>9.5999999999999992E-3</v>
      </c>
    </row>
    <row r="45" spans="14:18">
      <c r="N45" s="4">
        <v>0.17</v>
      </c>
      <c r="O45" s="5">
        <f t="shared" si="0"/>
        <v>13.600000000000001</v>
      </c>
      <c r="P45" s="11">
        <v>0.04</v>
      </c>
      <c r="Q45" s="18">
        <f t="shared" si="1"/>
        <v>6.8000000000000005E-3</v>
      </c>
    </row>
    <row r="46" spans="14:18">
      <c r="N46" s="4">
        <v>0.18</v>
      </c>
      <c r="O46" s="5">
        <f t="shared" si="0"/>
        <v>14.399999999999999</v>
      </c>
      <c r="P46" s="11">
        <v>2.5000000000000001E-2</v>
      </c>
      <c r="Q46" s="18">
        <f t="shared" si="1"/>
        <v>4.4999999999999997E-3</v>
      </c>
    </row>
    <row r="47" spans="14:18">
      <c r="N47" s="4">
        <v>0.19</v>
      </c>
      <c r="O47" s="5">
        <f t="shared" si="0"/>
        <v>15.2</v>
      </c>
      <c r="P47" s="11">
        <v>1.6E-2</v>
      </c>
      <c r="Q47" s="18">
        <f t="shared" si="1"/>
        <v>3.0400000000000002E-3</v>
      </c>
    </row>
    <row r="48" spans="14:18">
      <c r="N48" s="4">
        <v>0.2</v>
      </c>
      <c r="O48" s="5">
        <f t="shared" si="0"/>
        <v>16</v>
      </c>
      <c r="P48" s="11">
        <v>0.01</v>
      </c>
      <c r="Q48" s="18">
        <f t="shared" si="1"/>
        <v>2E-3</v>
      </c>
    </row>
    <row r="49" spans="3:17">
      <c r="N49" s="4">
        <v>0.21</v>
      </c>
      <c r="O49" s="4">
        <f t="shared" si="0"/>
        <v>16.8</v>
      </c>
      <c r="P49" s="11">
        <v>6.0000000000000001E-3</v>
      </c>
      <c r="Q49" s="18">
        <f t="shared" si="1"/>
        <v>1.2600000000000001E-3</v>
      </c>
    </row>
    <row r="50" spans="3:17">
      <c r="E50" s="23"/>
      <c r="N50" s="4">
        <v>0.22</v>
      </c>
      <c r="O50" s="4">
        <f t="shared" si="0"/>
        <v>17.600000000000001</v>
      </c>
      <c r="P50" s="11">
        <v>3.0000000000000001E-3</v>
      </c>
      <c r="Q50" s="18">
        <f t="shared" si="1"/>
        <v>6.6E-4</v>
      </c>
    </row>
    <row r="51" spans="3:17">
      <c r="C51" s="4"/>
      <c r="D51" s="5"/>
      <c r="E51" s="23"/>
      <c r="N51" s="4">
        <v>0.25</v>
      </c>
      <c r="O51" s="5">
        <f>$D$14*N51</f>
        <v>20</v>
      </c>
      <c r="P51" s="11">
        <v>1E-3</v>
      </c>
      <c r="Q51" s="18">
        <f t="shared" si="1"/>
        <v>2.5000000000000001E-4</v>
      </c>
    </row>
    <row r="52" spans="3:17">
      <c r="N52" s="4">
        <v>0.28000000000000003</v>
      </c>
      <c r="O52" s="5">
        <f>$D$14*N52</f>
        <v>22.400000000000002</v>
      </c>
      <c r="P52" s="11">
        <v>1E-3</v>
      </c>
      <c r="Q52" s="18">
        <f t="shared" si="1"/>
        <v>2.8000000000000003E-4</v>
      </c>
    </row>
    <row r="60" spans="3:17">
      <c r="C60" s="4"/>
    </row>
    <row r="61" spans="3:17">
      <c r="C61" s="4"/>
    </row>
  </sheetData>
  <mergeCells count="8">
    <mergeCell ref="G4:H4"/>
    <mergeCell ref="C13:D13"/>
    <mergeCell ref="C18:D18"/>
    <mergeCell ref="C20:D20"/>
    <mergeCell ref="C24:E29"/>
    <mergeCell ref="C19:D19"/>
    <mergeCell ref="C4:D4"/>
    <mergeCell ref="E4:F4"/>
  </mergeCells>
  <pageMargins left="0.75" right="0.75" top="1" bottom="1" header="0.5" footer="0.5"/>
  <pageSetup paperSize="0" orientation="portrait" horizontalDpi="4294967292" verticalDpi="4294967292"/>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26A75-54FB-694E-9ED6-3A7998A29E9D}">
  <dimension ref="B2:Q25"/>
  <sheetViews>
    <sheetView zoomScale="120" zoomScaleNormal="120" workbookViewId="0">
      <selection activeCell="B24" sqref="B24:B25"/>
    </sheetView>
  </sheetViews>
  <sheetFormatPr baseColWidth="10" defaultRowHeight="16"/>
  <cols>
    <col min="6" max="6" width="3.5" customWidth="1"/>
  </cols>
  <sheetData>
    <row r="2" spans="2:17">
      <c r="B2" s="537" t="s">
        <v>159</v>
      </c>
      <c r="C2" s="537"/>
    </row>
    <row r="3" spans="2:17">
      <c r="B3" s="65" t="s">
        <v>413</v>
      </c>
      <c r="C3" s="65">
        <f>C4+0.5</f>
        <v>2</v>
      </c>
    </row>
    <row r="4" spans="2:17" ht="17" thickBot="1">
      <c r="B4" s="65" t="s">
        <v>412</v>
      </c>
      <c r="C4" s="65">
        <v>1.5</v>
      </c>
    </row>
    <row r="5" spans="2:17" ht="17" thickBot="1">
      <c r="B5" s="65" t="s">
        <v>411</v>
      </c>
      <c r="C5" s="65">
        <f>C4-0.5</f>
        <v>1</v>
      </c>
      <c r="J5" s="538" t="s">
        <v>776</v>
      </c>
      <c r="K5" s="539"/>
      <c r="L5" s="539"/>
      <c r="M5" s="539"/>
      <c r="N5" s="539"/>
      <c r="O5" s="539"/>
      <c r="P5" s="539"/>
      <c r="Q5" s="540"/>
    </row>
    <row r="7" spans="2:17">
      <c r="B7" s="65" t="s">
        <v>437</v>
      </c>
      <c r="C7" s="350">
        <f>_xlfn.STDEV.S(J7:Q11)</f>
        <v>0.39045593007833013</v>
      </c>
      <c r="G7" s="537" t="s">
        <v>777</v>
      </c>
      <c r="H7" s="537"/>
      <c r="J7" s="371">
        <v>1.0900000000000001</v>
      </c>
      <c r="K7" s="371">
        <v>1.74</v>
      </c>
      <c r="L7" s="371">
        <v>1.58</v>
      </c>
      <c r="M7" s="371">
        <v>2.11</v>
      </c>
      <c r="N7" s="371">
        <v>1.64</v>
      </c>
      <c r="O7" s="371">
        <v>1.79</v>
      </c>
      <c r="P7" s="371">
        <v>1.37</v>
      </c>
      <c r="Q7" s="371">
        <v>1.75</v>
      </c>
    </row>
    <row r="8" spans="2:17">
      <c r="B8" s="65" t="s">
        <v>436</v>
      </c>
      <c r="C8" s="350">
        <f>AVERAGE(J7:Q11)</f>
        <v>1.7742499999999999</v>
      </c>
      <c r="G8" s="65">
        <f>(E14^2)/(2*(C10-1))</f>
        <v>4.761835184717211E-4</v>
      </c>
      <c r="H8" s="65">
        <f>1/(9*C10)</f>
        <v>2.7777777777777779E-3</v>
      </c>
      <c r="J8" s="371">
        <v>1.92</v>
      </c>
      <c r="K8" s="371">
        <v>1.47</v>
      </c>
      <c r="L8" s="371">
        <v>2.0299999999999998</v>
      </c>
      <c r="M8" s="371">
        <v>1.86</v>
      </c>
      <c r="N8" s="371">
        <v>0.72</v>
      </c>
      <c r="O8" s="371">
        <v>2.46</v>
      </c>
      <c r="P8" s="371">
        <v>1.93</v>
      </c>
      <c r="Q8" s="371">
        <v>1.63</v>
      </c>
    </row>
    <row r="9" spans="2:17">
      <c r="B9" s="65" t="s">
        <v>778</v>
      </c>
      <c r="C9" s="350">
        <v>1.96</v>
      </c>
      <c r="J9" s="371">
        <v>2.31</v>
      </c>
      <c r="K9" s="371">
        <v>1.97</v>
      </c>
      <c r="L9" s="371">
        <v>1.7</v>
      </c>
      <c r="M9" s="371">
        <v>1.9</v>
      </c>
      <c r="N9" s="371">
        <v>1.69</v>
      </c>
      <c r="O9" s="371">
        <v>1.88</v>
      </c>
      <c r="P9" s="371">
        <v>1.4</v>
      </c>
      <c r="Q9" s="371">
        <v>2.37</v>
      </c>
    </row>
    <row r="10" spans="2:17">
      <c r="B10" s="65" t="s">
        <v>101</v>
      </c>
      <c r="C10" s="65">
        <f>COUNT(J7:Q11)</f>
        <v>40</v>
      </c>
      <c r="J10" s="371">
        <v>1.79</v>
      </c>
      <c r="K10" s="371">
        <v>0.85</v>
      </c>
      <c r="L10" s="371">
        <v>2.17</v>
      </c>
      <c r="M10" s="371">
        <v>1.68</v>
      </c>
      <c r="N10" s="371">
        <v>1.85</v>
      </c>
      <c r="O10" s="371">
        <v>2.08</v>
      </c>
      <c r="P10" s="371">
        <v>1.64</v>
      </c>
      <c r="Q10" s="371">
        <v>1.75</v>
      </c>
    </row>
    <row r="11" spans="2:17" ht="17" thickBot="1">
      <c r="G11" s="537" t="s">
        <v>779</v>
      </c>
      <c r="H11" s="537"/>
      <c r="J11" s="371">
        <v>2.2799999999999998</v>
      </c>
      <c r="K11" s="371">
        <v>1.24</v>
      </c>
      <c r="L11" s="371">
        <v>2.5499999999999998</v>
      </c>
      <c r="M11" s="371">
        <v>1.51</v>
      </c>
      <c r="N11" s="371">
        <v>1.82</v>
      </c>
      <c r="O11" s="371">
        <v>1.67</v>
      </c>
      <c r="P11" s="371">
        <v>2.09</v>
      </c>
      <c r="Q11" s="371">
        <v>1.69</v>
      </c>
    </row>
    <row r="12" spans="2:17" ht="17" thickBot="1">
      <c r="B12" s="352" t="s">
        <v>780</v>
      </c>
      <c r="C12" s="541" t="s">
        <v>781</v>
      </c>
      <c r="D12" s="541"/>
      <c r="E12" s="353" t="s">
        <v>782</v>
      </c>
      <c r="G12" s="65" t="s">
        <v>783</v>
      </c>
      <c r="H12" s="65">
        <f>(1/2)+(((C8-C4)^2)/$C$7^2)</f>
        <v>0.99334329067981242</v>
      </c>
    </row>
    <row r="13" spans="2:17">
      <c r="B13" s="354" t="s">
        <v>331</v>
      </c>
      <c r="C13" s="130"/>
      <c r="D13" s="283"/>
      <c r="E13" s="355">
        <f>(C3-C5)/(6*C7)</f>
        <v>0.42685141606949428</v>
      </c>
      <c r="G13" s="65" t="s">
        <v>784</v>
      </c>
      <c r="H13" s="65">
        <f>(1+(((C8-C4)^2)/($C$7^2)))^2</f>
        <v>2.2300741838184113</v>
      </c>
    </row>
    <row r="14" spans="2:17">
      <c r="B14" s="356" t="s">
        <v>330</v>
      </c>
      <c r="C14" s="357">
        <f>(C8-C5)/(3*C7)</f>
        <v>0.6609794177836118</v>
      </c>
      <c r="D14" s="357">
        <f>(C3-C8)/(3*C7)</f>
        <v>0.19272341435537677</v>
      </c>
      <c r="E14" s="358">
        <f>MIN(C14:D14)</f>
        <v>0.19272341435537677</v>
      </c>
    </row>
    <row r="15" spans="2:17" ht="17" thickBot="1">
      <c r="B15" s="359" t="s">
        <v>329</v>
      </c>
      <c r="C15" s="284" t="s">
        <v>443</v>
      </c>
      <c r="D15" s="360">
        <f>6*SQRT((C7^2)+((C8-C4)^2))</f>
        <v>2.8628797128066727</v>
      </c>
      <c r="E15" s="361">
        <f>(C3-C5)/D15</f>
        <v>0.34929864343466704</v>
      </c>
    </row>
    <row r="16" spans="2:17" ht="17" thickBot="1">
      <c r="B16" s="534" t="s">
        <v>785</v>
      </c>
      <c r="C16" s="535"/>
      <c r="D16" s="535"/>
      <c r="E16" s="536"/>
    </row>
    <row r="17" spans="2:5">
      <c r="B17" s="551" t="s">
        <v>331</v>
      </c>
      <c r="C17" s="552" t="s">
        <v>334</v>
      </c>
      <c r="D17" s="495"/>
      <c r="E17" s="355">
        <f>$E$13-($C$9*($E$13/SQRT((2*($C$10-1)))))</f>
        <v>0.33212186120960707</v>
      </c>
    </row>
    <row r="18" spans="2:5" ht="17" thickBot="1">
      <c r="B18" s="543"/>
      <c r="C18" s="546" t="s">
        <v>336</v>
      </c>
      <c r="D18" s="489"/>
      <c r="E18" s="361">
        <f>$E$13+($C$9*($E$13/SQRT((2*($C$10-1)))))</f>
        <v>0.52158097092938149</v>
      </c>
    </row>
    <row r="19" spans="2:5">
      <c r="B19" s="551" t="s">
        <v>330</v>
      </c>
      <c r="C19" s="552" t="s">
        <v>334</v>
      </c>
      <c r="D19" s="495"/>
      <c r="E19" s="355">
        <f>$E$14-($C$9*SQRT($G$8+$H$8))</f>
        <v>8.0918147414717506E-2</v>
      </c>
    </row>
    <row r="20" spans="2:5" ht="17" thickBot="1">
      <c r="B20" s="543"/>
      <c r="C20" s="546" t="s">
        <v>336</v>
      </c>
      <c r="D20" s="489"/>
      <c r="E20" s="361">
        <f>$E$14+$C$9*SQRT($G$8+$H$8)</f>
        <v>0.30452868129603605</v>
      </c>
    </row>
    <row r="21" spans="2:5">
      <c r="B21" s="542" t="s">
        <v>329</v>
      </c>
      <c r="C21" s="544" t="s">
        <v>334</v>
      </c>
      <c r="D21" s="545"/>
      <c r="E21" s="362">
        <f>$E$15-($C$9*($E$15/SQRT($C$10))*SQRT($H$12/$H$13))</f>
        <v>0.27705277748205315</v>
      </c>
    </row>
    <row r="22" spans="2:5" ht="17" thickBot="1">
      <c r="B22" s="543"/>
      <c r="C22" s="546" t="s">
        <v>336</v>
      </c>
      <c r="D22" s="489"/>
      <c r="E22" s="361">
        <f>$E$15+($C$9*($E$15/SQRT($C$10))*SQRT($H$12/$H$13))</f>
        <v>0.42154450938728094</v>
      </c>
    </row>
    <row r="23" spans="2:5">
      <c r="B23" s="64"/>
      <c r="C23" s="64"/>
      <c r="D23" s="64"/>
      <c r="E23" s="64"/>
    </row>
    <row r="24" spans="2:5">
      <c r="B24" s="107" t="s">
        <v>517</v>
      </c>
      <c r="C24" s="64"/>
      <c r="D24" s="64"/>
      <c r="E24" s="64"/>
    </row>
    <row r="25" spans="2:5">
      <c r="B25" s="107" t="s">
        <v>518</v>
      </c>
    </row>
  </sheetData>
  <mergeCells count="15">
    <mergeCell ref="B21:B22"/>
    <mergeCell ref="C21:D21"/>
    <mergeCell ref="C22:D22"/>
    <mergeCell ref="B17:B18"/>
    <mergeCell ref="C17:D17"/>
    <mergeCell ref="C18:D18"/>
    <mergeCell ref="B19:B20"/>
    <mergeCell ref="C19:D19"/>
    <mergeCell ref="C20:D20"/>
    <mergeCell ref="B16:E16"/>
    <mergeCell ref="B2:C2"/>
    <mergeCell ref="J5:Q5"/>
    <mergeCell ref="G7:H7"/>
    <mergeCell ref="G11:H11"/>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49AC2-414D-DB43-B7D3-2AB8F1F2AFFB}">
  <dimension ref="A1:I25"/>
  <sheetViews>
    <sheetView zoomScale="150" zoomScaleNormal="150" zoomScalePageLayoutView="125" workbookViewId="0">
      <selection activeCell="L22" sqref="L22"/>
    </sheetView>
  </sheetViews>
  <sheetFormatPr baseColWidth="10" defaultRowHeight="16"/>
  <cols>
    <col min="2" max="2" width="12.6640625" bestFit="1" customWidth="1"/>
    <col min="6" max="6" width="12.33203125" customWidth="1"/>
  </cols>
  <sheetData>
    <row r="1" spans="1:9" ht="17" thickBot="1"/>
    <row r="2" spans="1:9">
      <c r="B2" s="563" t="s">
        <v>519</v>
      </c>
      <c r="C2" s="564"/>
      <c r="D2" s="565"/>
      <c r="F2" s="563" t="s">
        <v>520</v>
      </c>
      <c r="G2" s="564"/>
      <c r="H2" s="565"/>
    </row>
    <row r="3" spans="1:9">
      <c r="B3" s="566" t="s">
        <v>159</v>
      </c>
      <c r="C3">
        <f>C4+10</f>
        <v>110</v>
      </c>
      <c r="D3" s="94"/>
      <c r="F3" s="566" t="s">
        <v>159</v>
      </c>
      <c r="G3">
        <f>G4+10</f>
        <v>110</v>
      </c>
      <c r="H3" s="94"/>
    </row>
    <row r="4" spans="1:9">
      <c r="B4" s="566"/>
      <c r="C4">
        <v>100</v>
      </c>
      <c r="D4" s="94"/>
      <c r="F4" s="566"/>
      <c r="G4">
        <v>100</v>
      </c>
      <c r="H4" s="94"/>
    </row>
    <row r="5" spans="1:9">
      <c r="B5" s="566"/>
      <c r="C5">
        <f>C4-10</f>
        <v>90</v>
      </c>
      <c r="D5" s="94"/>
      <c r="F5" s="566"/>
      <c r="G5">
        <f>G4-10</f>
        <v>90</v>
      </c>
      <c r="H5" s="94"/>
    </row>
    <row r="6" spans="1:9">
      <c r="B6" s="89" t="s">
        <v>101</v>
      </c>
      <c r="C6">
        <v>40</v>
      </c>
      <c r="D6" s="94"/>
      <c r="F6" s="89" t="s">
        <v>101</v>
      </c>
      <c r="G6">
        <v>40</v>
      </c>
      <c r="H6" s="94"/>
    </row>
    <row r="7" spans="1:9">
      <c r="B7" s="89" t="s">
        <v>192</v>
      </c>
      <c r="C7">
        <v>99.88</v>
      </c>
      <c r="D7" s="94"/>
      <c r="F7" s="89" t="s">
        <v>192</v>
      </c>
      <c r="G7">
        <v>102.02</v>
      </c>
      <c r="H7" s="94"/>
    </row>
    <row r="8" spans="1:9">
      <c r="B8" s="89" t="s">
        <v>193</v>
      </c>
      <c r="C8">
        <v>3</v>
      </c>
      <c r="D8" s="94"/>
      <c r="F8" s="89" t="s">
        <v>193</v>
      </c>
      <c r="G8">
        <v>2</v>
      </c>
      <c r="H8" s="94"/>
    </row>
    <row r="9" spans="1:9">
      <c r="A9" s="341" t="s">
        <v>741</v>
      </c>
      <c r="B9" s="89"/>
      <c r="D9" s="94"/>
      <c r="F9" s="89"/>
      <c r="H9" s="94"/>
      <c r="I9" s="341" t="s">
        <v>741</v>
      </c>
    </row>
    <row r="10" spans="1:9">
      <c r="B10" s="89"/>
      <c r="D10" s="94"/>
      <c r="F10" s="89"/>
      <c r="H10" s="94"/>
    </row>
    <row r="11" spans="1:9">
      <c r="A11" s="107"/>
      <c r="B11" s="89" t="s">
        <v>331</v>
      </c>
      <c r="C11" s="273">
        <f>(C3-C5)/(6*C8)</f>
        <v>1.1111111111111112</v>
      </c>
      <c r="D11" s="94"/>
      <c r="F11" s="89" t="s">
        <v>331</v>
      </c>
      <c r="G11" s="273">
        <f>(G3-G5)/(6*G8)</f>
        <v>1.6666666666666667</v>
      </c>
      <c r="H11" s="94"/>
    </row>
    <row r="12" spans="1:9">
      <c r="B12" s="89" t="s">
        <v>514</v>
      </c>
      <c r="C12" s="273">
        <f>(C7-C5)/(3*C8)</f>
        <v>1.0977777777777773</v>
      </c>
      <c r="D12" s="94" t="s">
        <v>521</v>
      </c>
      <c r="F12" s="89" t="s">
        <v>514</v>
      </c>
      <c r="G12" s="80">
        <f>(G7-G5)/(3*G8)</f>
        <v>2.0033333333333325</v>
      </c>
      <c r="H12" s="94"/>
    </row>
    <row r="13" spans="1:9">
      <c r="B13" s="89" t="s">
        <v>515</v>
      </c>
      <c r="C13" s="80">
        <f>(C3-C7)/(3*C8)</f>
        <v>1.124444444444445</v>
      </c>
      <c r="D13" s="94"/>
      <c r="F13" s="89" t="s">
        <v>515</v>
      </c>
      <c r="G13" s="273">
        <f>(G3-G7)/(3*G8)</f>
        <v>1.3300000000000007</v>
      </c>
      <c r="H13" s="94" t="s">
        <v>521</v>
      </c>
    </row>
    <row r="14" spans="1:9">
      <c r="B14" s="89" t="s">
        <v>329</v>
      </c>
      <c r="C14" s="80">
        <f>(C3-C5)/(6*SQRT((C8^2+(C7-C4)^2)))</f>
        <v>1.1102232874686548</v>
      </c>
      <c r="D14" s="94"/>
      <c r="F14" s="89" t="s">
        <v>329</v>
      </c>
      <c r="G14" s="80">
        <f>(G3-G5)/(6*SQRT((G8^2+(G7-G4)^2)))</f>
        <v>1.1726335493268021</v>
      </c>
      <c r="H14" s="94"/>
    </row>
    <row r="15" spans="1:9">
      <c r="B15" s="89"/>
      <c r="C15" s="80"/>
      <c r="D15" s="94"/>
      <c r="F15" s="89"/>
      <c r="G15" s="80"/>
      <c r="H15" s="94"/>
    </row>
    <row r="16" spans="1:9">
      <c r="B16" s="89"/>
      <c r="D16" s="94"/>
      <c r="F16" s="89"/>
      <c r="H16" s="94"/>
    </row>
    <row r="17" spans="2:8">
      <c r="B17" s="274" t="s">
        <v>432</v>
      </c>
      <c r="D17" s="94"/>
      <c r="F17" s="274" t="s">
        <v>432</v>
      </c>
      <c r="H17" s="94"/>
    </row>
    <row r="18" spans="2:8">
      <c r="B18" s="89" t="s">
        <v>331</v>
      </c>
      <c r="C18" s="80">
        <f>C11-1.96*(C11/SQRT(2*(C6-1)))</f>
        <v>0.86452633478628815</v>
      </c>
      <c r="D18" s="275">
        <f>C11+1.96*(C11/SQRT(2*(C6-1)))</f>
        <v>1.3576958874359342</v>
      </c>
      <c r="F18" s="89" t="s">
        <v>331</v>
      </c>
      <c r="G18" s="80">
        <f>G11-1.96*(G11/SQRT(2*(G6-1)))</f>
        <v>1.2967895021794322</v>
      </c>
      <c r="H18" s="275">
        <f>G11+1.96*(G11/SQRT(2*(G6-1)))</f>
        <v>2.0365438311539013</v>
      </c>
    </row>
    <row r="19" spans="2:8">
      <c r="B19" s="89" t="s">
        <v>330</v>
      </c>
      <c r="C19" s="80">
        <f>C12-1.96*(SQRT((C12^2/(2*(C6-1))+1/(9*C6))))</f>
        <v>0.83315612038030362</v>
      </c>
      <c r="D19" s="275">
        <f>C12+1.96*(SQRT((C12^2/(2*(C6-1))+1/(9*C6))))</f>
        <v>1.3623994351752509</v>
      </c>
      <c r="F19" s="89" t="s">
        <v>330</v>
      </c>
      <c r="G19" s="80">
        <f>G13-1.96*(SQRT((G13^2/(2*(G6-1))+1/(9*G6))))</f>
        <v>1.0172833488097834</v>
      </c>
      <c r="H19" s="275">
        <f>G13+1.96*(SQRT((G13^2/(2*(G6-1))+1/(9*G6))))</f>
        <v>1.642716651190218</v>
      </c>
    </row>
    <row r="20" spans="2:8" ht="17" thickBot="1">
      <c r="B20" s="99" t="s">
        <v>329</v>
      </c>
      <c r="C20" s="276">
        <f>C14-1.96*(C14/SQRT(C6))*SQRT((0.5+((C7-60)^2/C8^2))/(1+(C7-60)^2/C8^2)^2)</f>
        <v>1.0844502650902657</v>
      </c>
      <c r="D20" s="277">
        <f>C14+1.96*(C14/SQRT(C6))*SQRT((0.5+((C7-60)^2/C8^2))/(1+(C7-60)^2/C8^2)^2)</f>
        <v>1.135996309847044</v>
      </c>
      <c r="F20" s="99" t="s">
        <v>329</v>
      </c>
      <c r="G20" s="276">
        <f>G14-1.96*(G14/SQRT(G6))*SQRT((0.5+((G7-G4)^2/G8^2))/(1+(G7-G4)^2/G8^2)^2)</f>
        <v>0.95083862573975897</v>
      </c>
      <c r="H20" s="277">
        <f>G14+1.96*(G14/SQRT(G6))*SQRT((0.5+((G7-G4)^2/G8^2))/(1+(G7-G4)^2/G8^2)^2)</f>
        <v>1.3944284729138452</v>
      </c>
    </row>
    <row r="22" spans="2:8">
      <c r="B22" s="567" t="s">
        <v>522</v>
      </c>
      <c r="C22" s="567"/>
      <c r="D22" s="567"/>
      <c r="E22" s="567"/>
      <c r="F22" s="567"/>
      <c r="G22" s="567"/>
      <c r="H22" s="567"/>
    </row>
    <row r="23" spans="2:8">
      <c r="B23" s="567"/>
      <c r="C23" s="567"/>
      <c r="D23" s="567"/>
      <c r="E23" s="567"/>
      <c r="F23" s="567"/>
      <c r="G23" s="567"/>
      <c r="H23" s="567"/>
    </row>
    <row r="24" spans="2:8">
      <c r="B24" s="567"/>
      <c r="C24" s="567"/>
      <c r="D24" s="567"/>
      <c r="E24" s="567"/>
      <c r="F24" s="567"/>
      <c r="G24" s="567"/>
      <c r="H24" s="567"/>
    </row>
    <row r="25" spans="2:8">
      <c r="B25" s="567"/>
      <c r="C25" s="567"/>
      <c r="D25" s="567"/>
      <c r="E25" s="567"/>
      <c r="F25" s="567"/>
      <c r="G25" s="567"/>
      <c r="H25" s="567"/>
    </row>
  </sheetData>
  <mergeCells count="5">
    <mergeCell ref="B2:D2"/>
    <mergeCell ref="F2:H2"/>
    <mergeCell ref="B3:B5"/>
    <mergeCell ref="F3:F5"/>
    <mergeCell ref="B22:H25"/>
  </mergeCells>
  <pageMargins left="0.75" right="0.75" top="1" bottom="1" header="0.5" footer="0.5"/>
  <pageSetup orientation="portrait" horizontalDpi="4294967292" verticalDpi="429496729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C66C4-4DCF-D04E-AEEF-CE2E51CB2B08}">
  <dimension ref="A1:V46"/>
  <sheetViews>
    <sheetView topLeftCell="A5" zoomScale="90" zoomScaleNormal="90" workbookViewId="0">
      <selection activeCell="O26" sqref="O26:V30"/>
    </sheetView>
  </sheetViews>
  <sheetFormatPr baseColWidth="10" defaultRowHeight="15"/>
  <cols>
    <col min="1" max="16384" width="10.83203125" style="278"/>
  </cols>
  <sheetData>
    <row r="1" spans="1:16" ht="100.5" customHeight="1">
      <c r="A1" s="574" t="s">
        <v>523</v>
      </c>
      <c r="B1" s="574"/>
      <c r="C1" s="574"/>
      <c r="D1" s="574"/>
      <c r="E1" s="574"/>
      <c r="F1" s="574"/>
      <c r="G1" s="574"/>
      <c r="H1" s="574"/>
    </row>
    <row r="3" spans="1:16">
      <c r="A3" s="575" t="s">
        <v>524</v>
      </c>
      <c r="B3" s="575"/>
      <c r="C3" s="575"/>
      <c r="D3" s="575"/>
    </row>
    <row r="8" spans="1:16">
      <c r="A8" s="278" t="s">
        <v>525</v>
      </c>
      <c r="B8" s="278" t="s">
        <v>526</v>
      </c>
      <c r="C8" s="278" t="s">
        <v>527</v>
      </c>
      <c r="D8" s="278" t="s">
        <v>528</v>
      </c>
    </row>
    <row r="9" spans="1:16">
      <c r="A9" s="278" t="s">
        <v>529</v>
      </c>
      <c r="B9" s="278">
        <v>14.9</v>
      </c>
      <c r="C9" s="278">
        <v>30.3</v>
      </c>
      <c r="D9" s="278">
        <v>1</v>
      </c>
    </row>
    <row r="10" spans="1:16">
      <c r="A10" s="278" t="s">
        <v>530</v>
      </c>
      <c r="B10" s="278">
        <v>13</v>
      </c>
      <c r="C10" s="278">
        <v>30.9</v>
      </c>
      <c r="D10" s="278">
        <v>2</v>
      </c>
    </row>
    <row r="11" spans="1:16">
      <c r="A11" s="278" t="s">
        <v>531</v>
      </c>
      <c r="B11" s="278">
        <v>15</v>
      </c>
      <c r="C11" s="278">
        <v>30.5</v>
      </c>
      <c r="D11" s="278">
        <v>2</v>
      </c>
    </row>
    <row r="12" spans="1:16">
      <c r="A12" s="278" t="s">
        <v>532</v>
      </c>
      <c r="B12" s="278">
        <v>17</v>
      </c>
      <c r="C12" s="278">
        <v>29.4</v>
      </c>
      <c r="D12" s="278">
        <v>3</v>
      </c>
    </row>
    <row r="13" spans="1:16">
      <c r="A13" s="278" t="s">
        <v>532</v>
      </c>
      <c r="B13" s="278">
        <v>13.9</v>
      </c>
      <c r="C13" s="278">
        <v>30</v>
      </c>
      <c r="D13" s="278">
        <v>3</v>
      </c>
    </row>
    <row r="14" spans="1:16">
      <c r="A14" s="278" t="s">
        <v>530</v>
      </c>
      <c r="B14" s="278">
        <v>16.399999999999999</v>
      </c>
      <c r="C14" s="278">
        <v>29.6</v>
      </c>
      <c r="D14" s="278">
        <v>1</v>
      </c>
    </row>
    <row r="15" spans="1:16" ht="16" thickBot="1">
      <c r="A15" s="278" t="s">
        <v>532</v>
      </c>
      <c r="B15" s="278">
        <v>10.4</v>
      </c>
      <c r="C15" s="278">
        <v>29.6</v>
      </c>
      <c r="D15" s="278">
        <v>2</v>
      </c>
    </row>
    <row r="16" spans="1:16" ht="16.5" customHeight="1">
      <c r="A16" s="278" t="s">
        <v>529</v>
      </c>
      <c r="B16" s="278">
        <v>3.2</v>
      </c>
      <c r="C16" s="278">
        <v>29.9</v>
      </c>
      <c r="D16" s="278">
        <v>2</v>
      </c>
      <c r="J16" s="576" t="s">
        <v>533</v>
      </c>
      <c r="K16" s="577"/>
      <c r="L16" s="577"/>
      <c r="M16" s="577"/>
      <c r="N16" s="577"/>
      <c r="O16" s="577"/>
      <c r="P16" s="578"/>
    </row>
    <row r="17" spans="1:22">
      <c r="A17" s="278" t="s">
        <v>529</v>
      </c>
      <c r="B17" s="278">
        <v>1.9</v>
      </c>
      <c r="C17" s="278">
        <v>28.9</v>
      </c>
      <c r="D17" s="278">
        <v>2</v>
      </c>
      <c r="J17" s="579"/>
      <c r="K17" s="580"/>
      <c r="L17" s="580"/>
      <c r="M17" s="580"/>
      <c r="N17" s="580"/>
      <c r="O17" s="580"/>
      <c r="P17" s="581"/>
    </row>
    <row r="18" spans="1:22">
      <c r="A18" s="278" t="s">
        <v>529</v>
      </c>
      <c r="B18" s="278">
        <v>7.3</v>
      </c>
      <c r="C18" s="278">
        <v>28.6</v>
      </c>
      <c r="D18" s="278">
        <v>1</v>
      </c>
      <c r="J18" s="579"/>
      <c r="K18" s="580"/>
      <c r="L18" s="580"/>
      <c r="M18" s="580"/>
      <c r="N18" s="580"/>
      <c r="O18" s="580"/>
      <c r="P18" s="581"/>
    </row>
    <row r="19" spans="1:22">
      <c r="A19" s="278" t="s">
        <v>531</v>
      </c>
      <c r="B19" s="278">
        <v>17.8</v>
      </c>
      <c r="C19" s="278">
        <v>30.8</v>
      </c>
      <c r="D19" s="278">
        <v>3</v>
      </c>
      <c r="J19" s="579"/>
      <c r="K19" s="580"/>
      <c r="L19" s="580"/>
      <c r="M19" s="580"/>
      <c r="N19" s="580"/>
      <c r="O19" s="580"/>
      <c r="P19" s="581"/>
    </row>
    <row r="20" spans="1:22" ht="16" thickBot="1">
      <c r="A20" s="278" t="s">
        <v>529</v>
      </c>
      <c r="B20" s="278">
        <v>9.6</v>
      </c>
      <c r="C20" s="278">
        <v>30.8</v>
      </c>
      <c r="D20" s="278">
        <v>3</v>
      </c>
      <c r="J20" s="582"/>
      <c r="K20" s="583"/>
      <c r="L20" s="583"/>
      <c r="M20" s="583"/>
      <c r="N20" s="583"/>
      <c r="O20" s="583"/>
      <c r="P20" s="584"/>
    </row>
    <row r="21" spans="1:22">
      <c r="A21" s="278" t="s">
        <v>531</v>
      </c>
      <c r="B21" s="278">
        <v>22.9</v>
      </c>
      <c r="C21" s="278">
        <v>28.9</v>
      </c>
      <c r="D21" s="278">
        <v>1</v>
      </c>
    </row>
    <row r="22" spans="1:22">
      <c r="A22" s="278" t="s">
        <v>531</v>
      </c>
      <c r="B22" s="278">
        <v>17.399999999999999</v>
      </c>
      <c r="C22" s="278">
        <v>30.6</v>
      </c>
      <c r="D22" s="278">
        <v>3</v>
      </c>
    </row>
    <row r="23" spans="1:22">
      <c r="A23" s="278" t="s">
        <v>530</v>
      </c>
      <c r="B23" s="278">
        <v>13.3</v>
      </c>
      <c r="C23" s="278">
        <v>29.8</v>
      </c>
      <c r="D23" s="278">
        <v>3</v>
      </c>
    </row>
    <row r="24" spans="1:22" ht="34">
      <c r="A24" s="278" t="s">
        <v>532</v>
      </c>
      <c r="B24" s="278">
        <v>19.3</v>
      </c>
      <c r="C24" s="278">
        <v>30</v>
      </c>
      <c r="D24" s="278">
        <v>1</v>
      </c>
      <c r="O24" s="345"/>
    </row>
    <row r="25" spans="1:22" ht="16" thickBot="1">
      <c r="A25" s="278" t="s">
        <v>532</v>
      </c>
      <c r="B25" s="278">
        <v>16.100000000000001</v>
      </c>
      <c r="C25" s="278">
        <v>29.9</v>
      </c>
      <c r="D25" s="278">
        <v>3</v>
      </c>
    </row>
    <row r="26" spans="1:22" ht="37" customHeight="1">
      <c r="A26" s="278" t="s">
        <v>530</v>
      </c>
      <c r="B26" s="278">
        <v>6.5</v>
      </c>
      <c r="C26" s="278">
        <v>30.6</v>
      </c>
      <c r="D26" s="278">
        <v>2</v>
      </c>
      <c r="O26" s="585" t="s">
        <v>751</v>
      </c>
      <c r="P26" s="586"/>
      <c r="Q26" s="586"/>
      <c r="R26" s="586"/>
      <c r="S26" s="586"/>
      <c r="T26" s="587"/>
      <c r="U26" s="342"/>
      <c r="V26" s="343" t="s">
        <v>741</v>
      </c>
    </row>
    <row r="27" spans="1:22" ht="34">
      <c r="A27" s="278" t="s">
        <v>532</v>
      </c>
      <c r="B27" s="278">
        <v>11.7</v>
      </c>
      <c r="C27" s="278">
        <v>30.1</v>
      </c>
      <c r="D27" s="278">
        <v>3</v>
      </c>
      <c r="O27" s="588"/>
      <c r="P27" s="589"/>
      <c r="Q27" s="589"/>
      <c r="R27" s="589"/>
      <c r="S27" s="589"/>
      <c r="T27" s="590"/>
      <c r="U27" s="342"/>
      <c r="V27"/>
    </row>
    <row r="28" spans="1:22" ht="34">
      <c r="A28" s="278" t="s">
        <v>531</v>
      </c>
      <c r="B28" s="278">
        <v>16.899999999999999</v>
      </c>
      <c r="C28" s="278">
        <v>30.7</v>
      </c>
      <c r="D28" s="278">
        <v>3</v>
      </c>
      <c r="O28" s="588"/>
      <c r="P28" s="589"/>
      <c r="Q28" s="589"/>
      <c r="R28" s="589"/>
      <c r="S28" s="589"/>
      <c r="T28" s="590"/>
      <c r="U28" s="342"/>
      <c r="V28"/>
    </row>
    <row r="29" spans="1:22" ht="34">
      <c r="A29" s="278" t="s">
        <v>531</v>
      </c>
      <c r="B29" s="278">
        <v>18.399999999999999</v>
      </c>
      <c r="C29" s="278">
        <v>29.9</v>
      </c>
      <c r="D29" s="278">
        <v>1</v>
      </c>
      <c r="O29" s="588"/>
      <c r="P29" s="589"/>
      <c r="Q29" s="589"/>
      <c r="R29" s="589"/>
      <c r="S29" s="589"/>
      <c r="T29" s="590"/>
      <c r="U29" s="342"/>
      <c r="V29"/>
    </row>
    <row r="30" spans="1:22" ht="35" thickBot="1">
      <c r="A30" s="278" t="s">
        <v>530</v>
      </c>
      <c r="B30" s="278">
        <v>11.9</v>
      </c>
      <c r="C30" s="278">
        <v>29.5</v>
      </c>
      <c r="D30" s="278">
        <v>2</v>
      </c>
      <c r="O30" s="591"/>
      <c r="P30" s="592"/>
      <c r="Q30" s="592"/>
      <c r="R30" s="592"/>
      <c r="S30" s="592"/>
      <c r="T30" s="593"/>
      <c r="U30" s="342"/>
      <c r="V30"/>
    </row>
    <row r="31" spans="1:22" ht="35" thickBot="1">
      <c r="A31" s="278" t="s">
        <v>529</v>
      </c>
      <c r="B31" s="278">
        <v>14.5</v>
      </c>
      <c r="C31" s="278">
        <v>29.9</v>
      </c>
      <c r="D31" s="278">
        <v>1</v>
      </c>
      <c r="O31" s="347"/>
      <c r="P31" s="347"/>
      <c r="Q31" s="347"/>
      <c r="R31" s="347"/>
      <c r="S31" s="347"/>
      <c r="T31" s="347"/>
      <c r="U31" s="342"/>
      <c r="V31"/>
    </row>
    <row r="32" spans="1:22" ht="43" customHeight="1">
      <c r="A32" s="278" t="s">
        <v>530</v>
      </c>
      <c r="B32" s="278">
        <v>16.8</v>
      </c>
      <c r="C32" s="278">
        <v>29.9</v>
      </c>
      <c r="D32" s="278">
        <v>3</v>
      </c>
      <c r="O32" s="568" t="s">
        <v>534</v>
      </c>
      <c r="P32" s="569"/>
      <c r="Q32" s="569"/>
      <c r="R32" s="569"/>
      <c r="S32" s="569"/>
      <c r="T32" s="570"/>
      <c r="U32" s="342"/>
      <c r="V32"/>
    </row>
    <row r="33" spans="15:22" ht="35" thickBot="1">
      <c r="O33" s="571"/>
      <c r="P33" s="572"/>
      <c r="Q33" s="572"/>
      <c r="R33" s="572"/>
      <c r="S33" s="572"/>
      <c r="T33" s="573"/>
      <c r="U33" s="342"/>
      <c r="V33"/>
    </row>
    <row r="34" spans="15:22" ht="34">
      <c r="O34" s="347"/>
      <c r="P34" s="347"/>
      <c r="Q34" s="347"/>
      <c r="R34" s="347"/>
      <c r="S34" s="347"/>
      <c r="T34" s="347"/>
      <c r="U34" s="342"/>
      <c r="V34"/>
    </row>
    <row r="35" spans="15:22" ht="34">
      <c r="O35" s="347"/>
      <c r="P35" s="347"/>
      <c r="Q35" s="347"/>
      <c r="R35" s="347"/>
      <c r="S35" s="347"/>
      <c r="T35" s="347"/>
      <c r="U35" s="342"/>
      <c r="V35"/>
    </row>
    <row r="36" spans="15:22" ht="34">
      <c r="O36" s="347"/>
      <c r="P36" s="347"/>
      <c r="Q36" s="347"/>
      <c r="R36" s="347"/>
      <c r="S36" s="347"/>
      <c r="T36" s="347"/>
      <c r="U36" s="342"/>
      <c r="V36"/>
    </row>
    <row r="37" spans="15:22" ht="34">
      <c r="O37" s="347"/>
      <c r="P37" s="347"/>
      <c r="Q37" s="347"/>
      <c r="R37" s="347"/>
      <c r="S37" s="347"/>
      <c r="T37" s="347"/>
      <c r="U37" s="342"/>
      <c r="V37"/>
    </row>
    <row r="39" spans="15:22" ht="16.5" customHeight="1">
      <c r="O39"/>
      <c r="P39"/>
      <c r="Q39"/>
      <c r="R39"/>
      <c r="S39"/>
      <c r="T39"/>
    </row>
    <row r="40" spans="15:22" ht="15" customHeight="1">
      <c r="O40"/>
      <c r="P40"/>
      <c r="Q40"/>
      <c r="R40"/>
      <c r="S40"/>
      <c r="T40"/>
    </row>
    <row r="41" spans="15:22" ht="15" customHeight="1">
      <c r="O41"/>
      <c r="P41"/>
      <c r="Q41"/>
      <c r="R41"/>
      <c r="S41"/>
      <c r="T41"/>
    </row>
    <row r="42" spans="15:22" ht="15" customHeight="1">
      <c r="O42"/>
      <c r="P42"/>
      <c r="Q42"/>
      <c r="R42"/>
      <c r="S42"/>
      <c r="T42"/>
    </row>
    <row r="43" spans="15:22" ht="15" customHeight="1">
      <c r="O43"/>
      <c r="P43"/>
      <c r="Q43"/>
      <c r="R43"/>
      <c r="S43"/>
      <c r="T43"/>
    </row>
    <row r="44" spans="15:22" ht="16">
      <c r="O44"/>
      <c r="P44"/>
      <c r="Q44"/>
      <c r="R44"/>
      <c r="S44"/>
      <c r="T44"/>
    </row>
    <row r="45" spans="15:22" ht="16">
      <c r="O45"/>
      <c r="P45"/>
      <c r="Q45"/>
      <c r="R45"/>
      <c r="S45"/>
      <c r="T45"/>
    </row>
    <row r="46" spans="15:22" ht="16">
      <c r="O46"/>
      <c r="P46"/>
      <c r="Q46"/>
      <c r="R46"/>
      <c r="S46"/>
      <c r="T46"/>
    </row>
  </sheetData>
  <mergeCells count="5">
    <mergeCell ref="O32:T33"/>
    <mergeCell ref="A1:H1"/>
    <mergeCell ref="A3:D3"/>
    <mergeCell ref="J16:P20"/>
    <mergeCell ref="O26:T30"/>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BE7E-F560-E145-A58E-879F15536859}">
  <dimension ref="A1:W49"/>
  <sheetViews>
    <sheetView workbookViewId="0">
      <selection activeCell="P31" sqref="P31:W34"/>
    </sheetView>
  </sheetViews>
  <sheetFormatPr baseColWidth="10" defaultRowHeight="15"/>
  <cols>
    <col min="1" max="9" width="10.83203125" style="278"/>
    <col min="10" max="10" width="9" style="278" hidden="1" customWidth="1"/>
    <col min="11" max="16384" width="10.83203125" style="278"/>
  </cols>
  <sheetData>
    <row r="1" spans="1:14" ht="16.5" customHeight="1">
      <c r="A1" s="574" t="s">
        <v>535</v>
      </c>
      <c r="B1" s="574"/>
      <c r="C1" s="574"/>
      <c r="D1" s="574"/>
      <c r="E1" s="574"/>
      <c r="F1" s="574"/>
      <c r="G1" s="574"/>
      <c r="H1" s="574"/>
      <c r="J1" s="278">
        <v>0.87652300000000005</v>
      </c>
    </row>
    <row r="2" spans="1:14">
      <c r="A2" s="574"/>
      <c r="B2" s="574"/>
      <c r="C2" s="574"/>
      <c r="D2" s="574"/>
      <c r="E2" s="574"/>
      <c r="F2" s="574"/>
      <c r="G2" s="574"/>
      <c r="H2" s="574"/>
    </row>
    <row r="3" spans="1:14">
      <c r="A3" s="574"/>
      <c r="B3" s="574"/>
      <c r="C3" s="574"/>
      <c r="D3" s="574"/>
      <c r="E3" s="574"/>
      <c r="F3" s="574"/>
      <c r="G3" s="574"/>
      <c r="H3" s="574"/>
      <c r="K3" s="575" t="s">
        <v>524</v>
      </c>
      <c r="L3" s="575"/>
      <c r="M3" s="575"/>
      <c r="N3" s="575"/>
    </row>
    <row r="4" spans="1:14">
      <c r="A4" s="574"/>
      <c r="B4" s="574"/>
      <c r="C4" s="574"/>
      <c r="D4" s="574"/>
      <c r="E4" s="574"/>
      <c r="F4" s="574"/>
      <c r="G4" s="574"/>
      <c r="H4" s="574"/>
    </row>
    <row r="5" spans="1:14">
      <c r="A5" s="574"/>
      <c r="B5" s="574"/>
      <c r="C5" s="574"/>
      <c r="D5" s="574"/>
      <c r="E5" s="574"/>
      <c r="F5" s="574"/>
      <c r="G5" s="574"/>
      <c r="H5" s="574"/>
    </row>
    <row r="6" spans="1:14">
      <c r="A6" s="574"/>
      <c r="B6" s="574"/>
      <c r="C6" s="574"/>
      <c r="D6" s="574"/>
      <c r="E6" s="574"/>
      <c r="F6" s="574"/>
      <c r="G6" s="574"/>
      <c r="H6" s="574"/>
    </row>
    <row r="8" spans="1:14">
      <c r="A8" s="279" t="s">
        <v>536</v>
      </c>
      <c r="B8" s="279" t="s">
        <v>537</v>
      </c>
      <c r="C8" s="279" t="s">
        <v>527</v>
      </c>
      <c r="D8" s="279" t="s">
        <v>538</v>
      </c>
    </row>
    <row r="9" spans="1:14">
      <c r="A9" s="278" t="s">
        <v>529</v>
      </c>
      <c r="B9" s="279">
        <v>22.343129179999998</v>
      </c>
      <c r="C9" s="278">
        <v>85</v>
      </c>
      <c r="D9" s="278">
        <v>1</v>
      </c>
      <c r="H9" s="280"/>
    </row>
    <row r="10" spans="1:14">
      <c r="A10" s="278" t="s">
        <v>530</v>
      </c>
      <c r="B10" s="279">
        <v>32.851435029999998</v>
      </c>
      <c r="C10" s="278">
        <v>85</v>
      </c>
      <c r="D10" s="278">
        <v>2</v>
      </c>
      <c r="H10" s="280"/>
    </row>
    <row r="11" spans="1:14">
      <c r="A11" s="278" t="s">
        <v>531</v>
      </c>
      <c r="B11" s="279">
        <v>30.084157439999998</v>
      </c>
      <c r="C11" s="278">
        <v>85</v>
      </c>
      <c r="D11" s="278">
        <v>2</v>
      </c>
      <c r="H11" s="280"/>
    </row>
    <row r="12" spans="1:14">
      <c r="A12" s="278" t="s">
        <v>532</v>
      </c>
      <c r="B12" s="279">
        <v>36.125416880000003</v>
      </c>
      <c r="C12" s="278">
        <v>85</v>
      </c>
      <c r="D12" s="278">
        <v>3</v>
      </c>
      <c r="H12" s="280"/>
    </row>
    <row r="13" spans="1:14">
      <c r="A13" s="278" t="s">
        <v>532</v>
      </c>
      <c r="B13" s="279">
        <v>25.953007679999999</v>
      </c>
      <c r="C13" s="278">
        <v>100</v>
      </c>
      <c r="D13" s="278">
        <v>3</v>
      </c>
      <c r="H13" s="280"/>
    </row>
    <row r="14" spans="1:14">
      <c r="A14" s="278" t="s">
        <v>530</v>
      </c>
      <c r="B14" s="279">
        <v>34.807798849999998</v>
      </c>
      <c r="C14" s="278">
        <v>100</v>
      </c>
      <c r="D14" s="278">
        <v>1</v>
      </c>
      <c r="H14" s="280"/>
    </row>
    <row r="15" spans="1:14">
      <c r="A15" s="278" t="s">
        <v>532</v>
      </c>
      <c r="B15" s="279">
        <v>32.39469029</v>
      </c>
      <c r="C15" s="278">
        <v>100</v>
      </c>
      <c r="D15" s="278">
        <v>2</v>
      </c>
      <c r="H15" s="280"/>
    </row>
    <row r="16" spans="1:14">
      <c r="A16" s="278" t="s">
        <v>529</v>
      </c>
      <c r="B16" s="279">
        <v>38.182139069999998</v>
      </c>
      <c r="C16" s="278">
        <v>100</v>
      </c>
      <c r="D16" s="278">
        <v>2</v>
      </c>
      <c r="H16" s="280"/>
    </row>
    <row r="17" spans="1:23">
      <c r="A17" s="278" t="s">
        <v>529</v>
      </c>
      <c r="B17" s="279">
        <v>19.218936289999998</v>
      </c>
      <c r="C17" s="278">
        <v>85</v>
      </c>
      <c r="D17" s="278">
        <v>2</v>
      </c>
      <c r="H17" s="280"/>
    </row>
    <row r="18" spans="1:23">
      <c r="A18" s="278" t="s">
        <v>529</v>
      </c>
      <c r="B18" s="279">
        <v>24.966585349999999</v>
      </c>
      <c r="C18" s="278">
        <v>85</v>
      </c>
      <c r="D18" s="278">
        <v>1</v>
      </c>
      <c r="H18" s="280"/>
    </row>
    <row r="19" spans="1:23">
      <c r="A19" s="278" t="s">
        <v>531</v>
      </c>
      <c r="B19" s="279">
        <v>23.96038347</v>
      </c>
      <c r="C19" s="278">
        <v>85</v>
      </c>
      <c r="D19" s="278">
        <v>3</v>
      </c>
      <c r="H19" s="280"/>
    </row>
    <row r="20" spans="1:23" ht="16" thickBot="1">
      <c r="A20" s="278" t="s">
        <v>529</v>
      </c>
      <c r="B20" s="279">
        <v>30.345864670000001</v>
      </c>
      <c r="C20" s="278">
        <v>85</v>
      </c>
      <c r="D20" s="278">
        <v>3</v>
      </c>
      <c r="H20" s="280"/>
    </row>
    <row r="21" spans="1:23">
      <c r="A21" s="278" t="s">
        <v>531</v>
      </c>
      <c r="B21" s="279">
        <v>26.361381869999999</v>
      </c>
      <c r="C21" s="278">
        <v>100</v>
      </c>
      <c r="D21" s="278">
        <v>1</v>
      </c>
      <c r="H21" s="280"/>
      <c r="K21" s="568" t="s">
        <v>569</v>
      </c>
      <c r="L21" s="569"/>
      <c r="M21" s="569"/>
      <c r="N21" s="569"/>
      <c r="O21" s="569"/>
      <c r="P21" s="569"/>
      <c r="Q21" s="570"/>
    </row>
    <row r="22" spans="1:23">
      <c r="A22" s="278" t="s">
        <v>531</v>
      </c>
      <c r="B22" s="279">
        <v>29.339095789999998</v>
      </c>
      <c r="C22" s="278">
        <v>100</v>
      </c>
      <c r="D22" s="278">
        <v>3</v>
      </c>
      <c r="H22" s="280"/>
      <c r="K22" s="594"/>
      <c r="L22" s="574"/>
      <c r="M22" s="574"/>
      <c r="N22" s="574"/>
      <c r="O22" s="574"/>
      <c r="P22" s="574"/>
      <c r="Q22" s="595"/>
    </row>
    <row r="23" spans="1:23">
      <c r="A23" s="278" t="s">
        <v>530</v>
      </c>
      <c r="B23" s="279">
        <v>29.834376639999999</v>
      </c>
      <c r="C23" s="278">
        <v>100</v>
      </c>
      <c r="D23" s="278">
        <v>3</v>
      </c>
      <c r="H23" s="280"/>
      <c r="K23" s="594"/>
      <c r="L23" s="574"/>
      <c r="M23" s="574"/>
      <c r="N23" s="574"/>
      <c r="O23" s="574"/>
      <c r="P23" s="574"/>
      <c r="Q23" s="595"/>
    </row>
    <row r="24" spans="1:23">
      <c r="A24" s="278" t="s">
        <v>532</v>
      </c>
      <c r="B24" s="279">
        <v>37.368730890000002</v>
      </c>
      <c r="C24" s="278">
        <v>100</v>
      </c>
      <c r="D24" s="278">
        <v>1</v>
      </c>
      <c r="H24" s="280"/>
      <c r="K24" s="594"/>
      <c r="L24" s="574"/>
      <c r="M24" s="574"/>
      <c r="N24" s="574"/>
      <c r="O24" s="574"/>
      <c r="P24" s="574"/>
      <c r="Q24" s="595"/>
    </row>
    <row r="25" spans="1:23" ht="16" thickBot="1">
      <c r="A25" s="278" t="s">
        <v>532</v>
      </c>
      <c r="B25" s="279">
        <v>32.39469029</v>
      </c>
      <c r="C25" s="278">
        <v>100</v>
      </c>
      <c r="D25" s="278">
        <v>3</v>
      </c>
      <c r="H25" s="280"/>
      <c r="K25" s="571"/>
      <c r="L25" s="572"/>
      <c r="M25" s="572"/>
      <c r="N25" s="572"/>
      <c r="O25" s="572"/>
      <c r="P25" s="572"/>
      <c r="Q25" s="573"/>
    </row>
    <row r="26" spans="1:23">
      <c r="A26" s="278" t="s">
        <v>530</v>
      </c>
      <c r="B26" s="279">
        <v>38.182139069999998</v>
      </c>
      <c r="C26" s="278">
        <v>100</v>
      </c>
      <c r="D26" s="278">
        <v>2</v>
      </c>
      <c r="H26" s="280"/>
    </row>
    <row r="27" spans="1:23">
      <c r="A27" s="278" t="s">
        <v>532</v>
      </c>
      <c r="B27" s="279">
        <v>19.218936289999998</v>
      </c>
      <c r="C27" s="278">
        <v>85</v>
      </c>
      <c r="D27" s="278">
        <v>3</v>
      </c>
      <c r="H27" s="280"/>
    </row>
    <row r="28" spans="1:23">
      <c r="A28" s="278" t="s">
        <v>531</v>
      </c>
      <c r="B28" s="279">
        <v>24.966585349999999</v>
      </c>
      <c r="C28" s="278">
        <v>85</v>
      </c>
      <c r="D28" s="278">
        <v>3</v>
      </c>
      <c r="H28" s="280"/>
    </row>
    <row r="29" spans="1:23">
      <c r="A29" s="278" t="s">
        <v>531</v>
      </c>
      <c r="B29" s="279">
        <v>23.96038347</v>
      </c>
      <c r="C29" s="278">
        <v>85</v>
      </c>
      <c r="D29" s="278">
        <v>1</v>
      </c>
      <c r="H29" s="280"/>
    </row>
    <row r="30" spans="1:23" ht="16" thickBot="1">
      <c r="A30" s="278" t="s">
        <v>530</v>
      </c>
      <c r="B30" s="279">
        <v>30.345864670000001</v>
      </c>
      <c r="C30" s="278">
        <v>100</v>
      </c>
      <c r="D30" s="278">
        <v>2</v>
      </c>
      <c r="H30" s="280"/>
    </row>
    <row r="31" spans="1:23" ht="37" customHeight="1">
      <c r="A31" s="278" t="s">
        <v>529</v>
      </c>
      <c r="B31" s="279">
        <v>26.361381869999999</v>
      </c>
      <c r="C31" s="278">
        <v>100</v>
      </c>
      <c r="D31" s="278">
        <v>1</v>
      </c>
      <c r="H31" s="280"/>
      <c r="P31" s="585" t="s">
        <v>752</v>
      </c>
      <c r="Q31" s="586"/>
      <c r="R31" s="586"/>
      <c r="S31" s="586"/>
      <c r="T31" s="586"/>
      <c r="U31" s="587"/>
      <c r="V31" s="342"/>
      <c r="W31" s="343" t="s">
        <v>741</v>
      </c>
    </row>
    <row r="32" spans="1:23" ht="34">
      <c r="A32" s="278" t="s">
        <v>530</v>
      </c>
      <c r="B32" s="279">
        <v>29.339095789999998</v>
      </c>
      <c r="C32" s="278">
        <v>100</v>
      </c>
      <c r="D32" s="278">
        <v>3</v>
      </c>
      <c r="H32" s="280"/>
      <c r="P32" s="588"/>
      <c r="Q32" s="589"/>
      <c r="R32" s="589"/>
      <c r="S32" s="589"/>
      <c r="T32" s="589"/>
      <c r="U32" s="590"/>
      <c r="V32" s="342"/>
      <c r="W32"/>
    </row>
    <row r="33" spans="16:23" ht="34">
      <c r="P33" s="588"/>
      <c r="Q33" s="589"/>
      <c r="R33" s="589"/>
      <c r="S33" s="589"/>
      <c r="T33" s="589"/>
      <c r="U33" s="590"/>
      <c r="V33" s="342"/>
      <c r="W33"/>
    </row>
    <row r="34" spans="16:23" ht="35" thickBot="1">
      <c r="P34" s="591"/>
      <c r="Q34" s="592"/>
      <c r="R34" s="592"/>
      <c r="S34" s="592"/>
      <c r="T34" s="592"/>
      <c r="U34" s="593"/>
      <c r="V34" s="342"/>
      <c r="W34"/>
    </row>
    <row r="35" spans="16:23" ht="34">
      <c r="P35" s="347"/>
      <c r="Q35" s="347"/>
      <c r="R35" s="347"/>
      <c r="S35" s="347"/>
      <c r="T35" s="347"/>
      <c r="U35" s="347"/>
      <c r="V35" s="342"/>
      <c r="W35"/>
    </row>
    <row r="43" spans="16:23" ht="16" thickBot="1"/>
    <row r="44" spans="16:23">
      <c r="P44" s="568" t="s">
        <v>539</v>
      </c>
      <c r="Q44" s="569"/>
      <c r="R44" s="569"/>
      <c r="S44" s="569"/>
      <c r="T44" s="569"/>
      <c r="U44" s="570"/>
    </row>
    <row r="45" spans="16:23">
      <c r="P45" s="594"/>
      <c r="Q45" s="574"/>
      <c r="R45" s="574"/>
      <c r="S45" s="574"/>
      <c r="T45" s="574"/>
      <c r="U45" s="595"/>
    </row>
    <row r="46" spans="16:23">
      <c r="P46" s="594"/>
      <c r="Q46" s="574"/>
      <c r="R46" s="574"/>
      <c r="S46" s="574"/>
      <c r="T46" s="574"/>
      <c r="U46" s="595"/>
    </row>
    <row r="47" spans="16:23">
      <c r="P47" s="594"/>
      <c r="Q47" s="574"/>
      <c r="R47" s="574"/>
      <c r="S47" s="574"/>
      <c r="T47" s="574"/>
      <c r="U47" s="595"/>
    </row>
    <row r="48" spans="16:23">
      <c r="P48" s="594"/>
      <c r="Q48" s="574"/>
      <c r="R48" s="574"/>
      <c r="S48" s="574"/>
      <c r="T48" s="574"/>
      <c r="U48" s="595"/>
    </row>
    <row r="49" spans="16:21" ht="16" thickBot="1">
      <c r="P49" s="571"/>
      <c r="Q49" s="572"/>
      <c r="R49" s="572"/>
      <c r="S49" s="572"/>
      <c r="T49" s="572"/>
      <c r="U49" s="573"/>
    </row>
  </sheetData>
  <mergeCells count="5">
    <mergeCell ref="A1:H6"/>
    <mergeCell ref="K3:N3"/>
    <mergeCell ref="K21:Q25"/>
    <mergeCell ref="P44:U49"/>
    <mergeCell ref="P31:U34"/>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B054B-CF5E-C947-9E24-658D50A89E0B}">
  <dimension ref="A1:P35"/>
  <sheetViews>
    <sheetView zoomScale="80" zoomScaleNormal="80" workbookViewId="0">
      <selection activeCell="P25" sqref="P25"/>
    </sheetView>
  </sheetViews>
  <sheetFormatPr baseColWidth="10" defaultRowHeight="15"/>
  <cols>
    <col min="1" max="1" width="10.83203125" style="278"/>
    <col min="2" max="2" width="12.5" style="278" bestFit="1" customWidth="1"/>
    <col min="3" max="19" width="10.83203125" style="278"/>
    <col min="20" max="20" width="10.83203125" style="278" customWidth="1"/>
    <col min="21" max="16384" width="10.83203125" style="278"/>
  </cols>
  <sheetData>
    <row r="1" spans="1:16" ht="16.5" customHeight="1">
      <c r="A1" s="580" t="s">
        <v>540</v>
      </c>
      <c r="B1" s="580"/>
      <c r="C1" s="580"/>
      <c r="D1" s="580"/>
      <c r="E1" s="580"/>
      <c r="F1" s="580"/>
      <c r="G1" s="580"/>
      <c r="H1" s="580"/>
      <c r="J1" s="575" t="s">
        <v>541</v>
      </c>
      <c r="K1" s="575"/>
      <c r="L1" s="575"/>
      <c r="M1" s="575"/>
    </row>
    <row r="2" spans="1:16">
      <c r="A2" s="580"/>
      <c r="B2" s="580"/>
      <c r="C2" s="580"/>
      <c r="D2" s="580"/>
      <c r="E2" s="580"/>
      <c r="F2" s="580"/>
      <c r="G2" s="580"/>
      <c r="H2" s="580"/>
    </row>
    <row r="3" spans="1:16">
      <c r="A3" s="580"/>
      <c r="B3" s="580"/>
      <c r="C3" s="580"/>
      <c r="D3" s="580"/>
      <c r="E3" s="580"/>
      <c r="F3" s="580"/>
      <c r="G3" s="580"/>
      <c r="H3" s="580"/>
    </row>
    <row r="4" spans="1:16" ht="16.5" customHeight="1">
      <c r="A4" s="580" t="s">
        <v>542</v>
      </c>
      <c r="B4" s="580"/>
      <c r="C4" s="580"/>
      <c r="D4" s="580"/>
      <c r="E4" s="580"/>
      <c r="F4" s="580"/>
      <c r="G4" s="580"/>
      <c r="H4" s="580"/>
    </row>
    <row r="5" spans="1:16">
      <c r="A5" s="580"/>
      <c r="B5" s="580"/>
      <c r="C5" s="580"/>
      <c r="D5" s="580"/>
      <c r="E5" s="580"/>
      <c r="F5" s="580"/>
      <c r="G5" s="580"/>
      <c r="H5" s="580"/>
    </row>
    <row r="6" spans="1:16">
      <c r="A6" s="580"/>
      <c r="B6" s="580"/>
      <c r="C6" s="580"/>
      <c r="D6" s="580"/>
      <c r="E6" s="580"/>
      <c r="F6" s="580"/>
      <c r="G6" s="580"/>
      <c r="H6" s="580"/>
    </row>
    <row r="8" spans="1:16">
      <c r="A8" s="278" t="s">
        <v>543</v>
      </c>
      <c r="B8" s="278" t="s">
        <v>544</v>
      </c>
      <c r="C8" s="278" t="s">
        <v>545</v>
      </c>
    </row>
    <row r="9" spans="1:16">
      <c r="A9" s="278">
        <v>580</v>
      </c>
      <c r="B9" s="278">
        <v>100</v>
      </c>
      <c r="C9" s="278">
        <v>1</v>
      </c>
    </row>
    <row r="10" spans="1:16" ht="16" thickBot="1">
      <c r="A10" s="278">
        <v>1090</v>
      </c>
      <c r="B10" s="278">
        <v>125</v>
      </c>
      <c r="C10" s="278">
        <v>1</v>
      </c>
    </row>
    <row r="11" spans="1:16" ht="16.5" customHeight="1">
      <c r="A11" s="278">
        <v>1392</v>
      </c>
      <c r="B11" s="278">
        <v>150</v>
      </c>
      <c r="C11" s="278">
        <v>1</v>
      </c>
      <c r="L11" s="596" t="s">
        <v>546</v>
      </c>
      <c r="M11" s="597"/>
      <c r="N11" s="597"/>
      <c r="O11" s="597"/>
      <c r="P11" s="598"/>
    </row>
    <row r="12" spans="1:16" ht="15" customHeight="1">
      <c r="A12" s="278">
        <v>568</v>
      </c>
      <c r="B12" s="278">
        <v>100</v>
      </c>
      <c r="C12" s="278">
        <v>1</v>
      </c>
      <c r="L12" s="599"/>
      <c r="M12" s="600"/>
      <c r="N12" s="600"/>
      <c r="O12" s="600"/>
      <c r="P12" s="601"/>
    </row>
    <row r="13" spans="1:16" ht="15" customHeight="1">
      <c r="A13" s="278">
        <v>1087</v>
      </c>
      <c r="B13" s="278">
        <v>125</v>
      </c>
      <c r="C13" s="278">
        <v>1</v>
      </c>
      <c r="L13" s="599"/>
      <c r="M13" s="600"/>
      <c r="N13" s="600"/>
      <c r="O13" s="600"/>
      <c r="P13" s="601"/>
    </row>
    <row r="14" spans="1:16" ht="15" customHeight="1">
      <c r="A14" s="278">
        <v>1380</v>
      </c>
      <c r="B14" s="278">
        <v>150</v>
      </c>
      <c r="C14" s="278">
        <v>1</v>
      </c>
      <c r="L14" s="599"/>
      <c r="M14" s="600"/>
      <c r="N14" s="600"/>
      <c r="O14" s="600"/>
      <c r="P14" s="601"/>
    </row>
    <row r="15" spans="1:16" ht="15" customHeight="1">
      <c r="A15" s="278">
        <v>570</v>
      </c>
      <c r="B15" s="278">
        <v>100</v>
      </c>
      <c r="C15" s="278">
        <v>1</v>
      </c>
      <c r="L15" s="599"/>
      <c r="M15" s="600"/>
      <c r="N15" s="600"/>
      <c r="O15" s="600"/>
      <c r="P15" s="601"/>
    </row>
    <row r="16" spans="1:16" ht="16" thickBot="1">
      <c r="A16" s="278">
        <v>1085</v>
      </c>
      <c r="B16" s="278">
        <v>125</v>
      </c>
      <c r="C16" s="278">
        <v>1</v>
      </c>
      <c r="L16" s="602"/>
      <c r="M16" s="603"/>
      <c r="N16" s="603"/>
      <c r="O16" s="603"/>
      <c r="P16" s="604"/>
    </row>
    <row r="17" spans="1:14">
      <c r="A17" s="278">
        <v>1386</v>
      </c>
      <c r="B17" s="278">
        <v>150</v>
      </c>
      <c r="C17" s="278">
        <v>1</v>
      </c>
    </row>
    <row r="18" spans="1:14">
      <c r="A18" s="278">
        <v>550</v>
      </c>
      <c r="B18" s="278">
        <v>100</v>
      </c>
      <c r="C18" s="278">
        <v>2</v>
      </c>
    </row>
    <row r="19" spans="1:14" ht="37" customHeight="1">
      <c r="A19" s="278">
        <v>1070</v>
      </c>
      <c r="B19" s="278">
        <v>125</v>
      </c>
      <c r="C19" s="278">
        <v>2</v>
      </c>
      <c r="N19" s="345" t="s">
        <v>741</v>
      </c>
    </row>
    <row r="20" spans="1:14">
      <c r="A20" s="278">
        <v>1328</v>
      </c>
      <c r="B20" s="278">
        <v>150</v>
      </c>
      <c r="C20" s="278">
        <v>2</v>
      </c>
    </row>
    <row r="21" spans="1:14">
      <c r="A21" s="278">
        <v>530</v>
      </c>
      <c r="B21" s="278">
        <v>100</v>
      </c>
      <c r="C21" s="278">
        <v>2</v>
      </c>
    </row>
    <row r="22" spans="1:14">
      <c r="A22" s="278">
        <v>1035</v>
      </c>
      <c r="B22" s="278">
        <v>125</v>
      </c>
      <c r="C22" s="278">
        <v>2</v>
      </c>
    </row>
    <row r="23" spans="1:14">
      <c r="A23" s="278">
        <v>1312</v>
      </c>
      <c r="B23" s="278">
        <v>150</v>
      </c>
      <c r="C23" s="278">
        <v>2</v>
      </c>
    </row>
    <row r="24" spans="1:14">
      <c r="A24" s="278">
        <v>579</v>
      </c>
      <c r="B24" s="278">
        <v>100</v>
      </c>
      <c r="C24" s="278">
        <v>2</v>
      </c>
    </row>
    <row r="25" spans="1:14">
      <c r="A25" s="278">
        <v>1000</v>
      </c>
      <c r="B25" s="278">
        <v>125</v>
      </c>
      <c r="C25" s="278">
        <v>2</v>
      </c>
    </row>
    <row r="26" spans="1:14">
      <c r="A26" s="278">
        <v>1299</v>
      </c>
      <c r="B26" s="278">
        <v>150</v>
      </c>
      <c r="C26" s="278">
        <v>2</v>
      </c>
    </row>
    <row r="27" spans="1:14">
      <c r="A27" s="278">
        <v>546</v>
      </c>
      <c r="B27" s="278">
        <v>100</v>
      </c>
      <c r="C27" s="278">
        <v>3</v>
      </c>
    </row>
    <row r="28" spans="1:14">
      <c r="A28" s="278">
        <v>1045</v>
      </c>
      <c r="B28" s="278">
        <v>125</v>
      </c>
      <c r="C28" s="278">
        <v>3</v>
      </c>
    </row>
    <row r="29" spans="1:14">
      <c r="A29" s="278">
        <v>867</v>
      </c>
      <c r="B29" s="278">
        <v>150</v>
      </c>
      <c r="C29" s="278">
        <v>3</v>
      </c>
    </row>
    <row r="30" spans="1:14">
      <c r="A30" s="278">
        <v>575</v>
      </c>
      <c r="B30" s="278">
        <v>100</v>
      </c>
      <c r="C30" s="278">
        <v>3</v>
      </c>
    </row>
    <row r="31" spans="1:14">
      <c r="A31" s="278">
        <v>1053</v>
      </c>
      <c r="B31" s="278">
        <v>125</v>
      </c>
      <c r="C31" s="278">
        <v>3</v>
      </c>
    </row>
    <row r="32" spans="1:14">
      <c r="A32" s="278">
        <v>904</v>
      </c>
      <c r="B32" s="278">
        <v>150</v>
      </c>
      <c r="C32" s="278">
        <v>3</v>
      </c>
    </row>
    <row r="33" spans="1:3">
      <c r="A33" s="278">
        <v>599</v>
      </c>
      <c r="B33" s="278">
        <v>100</v>
      </c>
      <c r="C33" s="278">
        <v>3</v>
      </c>
    </row>
    <row r="34" spans="1:3">
      <c r="A34" s="278">
        <v>1066</v>
      </c>
      <c r="B34" s="278">
        <v>125</v>
      </c>
      <c r="C34" s="278">
        <v>3</v>
      </c>
    </row>
    <row r="35" spans="1:3">
      <c r="A35" s="278">
        <v>889</v>
      </c>
      <c r="B35" s="278">
        <v>150</v>
      </c>
      <c r="C35" s="278">
        <v>3</v>
      </c>
    </row>
  </sheetData>
  <mergeCells count="4">
    <mergeCell ref="A1:H3"/>
    <mergeCell ref="J1:M1"/>
    <mergeCell ref="A4:H6"/>
    <mergeCell ref="L11:P1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1BE69-5E48-FD4C-9CB7-D29662A330F8}">
  <dimension ref="A1:S35"/>
  <sheetViews>
    <sheetView topLeftCell="A2" zoomScale="90" zoomScaleNormal="90" workbookViewId="0">
      <selection activeCell="Q31" sqref="Q31"/>
    </sheetView>
  </sheetViews>
  <sheetFormatPr baseColWidth="10" defaultRowHeight="15"/>
  <cols>
    <col min="1" max="1" width="14.5" style="278" bestFit="1" customWidth="1"/>
    <col min="2" max="2" width="12.5" style="278" bestFit="1" customWidth="1"/>
    <col min="3" max="3" width="17.6640625" style="278" bestFit="1" customWidth="1"/>
    <col min="4" max="14" width="10.83203125" style="278"/>
    <col min="15" max="15" width="0" style="278" hidden="1" customWidth="1"/>
    <col min="16" max="1999" width="10.83203125" style="278"/>
    <col min="2000" max="2000" width="2.33203125" style="278" customWidth="1"/>
    <col min="2001" max="16384" width="10.83203125" style="278"/>
  </cols>
  <sheetData>
    <row r="1" spans="1:19" ht="16.5" customHeight="1">
      <c r="A1" s="580" t="s">
        <v>547</v>
      </c>
      <c r="B1" s="580"/>
      <c r="C1" s="580"/>
      <c r="D1" s="580"/>
      <c r="E1" s="580"/>
      <c r="F1" s="580"/>
      <c r="G1" s="580"/>
      <c r="H1" s="580"/>
      <c r="J1" s="575" t="s">
        <v>541</v>
      </c>
      <c r="K1" s="575"/>
      <c r="L1" s="575"/>
      <c r="M1" s="575"/>
      <c r="O1" s="278">
        <v>0.8236</v>
      </c>
    </row>
    <row r="2" spans="1:19">
      <c r="A2" s="580"/>
      <c r="B2" s="580"/>
      <c r="C2" s="580"/>
      <c r="D2" s="580"/>
      <c r="E2" s="580"/>
      <c r="F2" s="580"/>
      <c r="G2" s="580"/>
      <c r="H2" s="580"/>
    </row>
    <row r="3" spans="1:19">
      <c r="A3" s="580"/>
      <c r="B3" s="580"/>
      <c r="C3" s="580"/>
      <c r="D3" s="580"/>
      <c r="E3" s="580"/>
      <c r="F3" s="580"/>
      <c r="G3" s="580"/>
      <c r="H3" s="580"/>
    </row>
    <row r="4" spans="1:19" ht="16.5" customHeight="1">
      <c r="A4" s="580" t="s">
        <v>548</v>
      </c>
      <c r="B4" s="580"/>
      <c r="C4" s="580"/>
      <c r="D4" s="580"/>
      <c r="E4" s="580"/>
      <c r="F4" s="580"/>
      <c r="G4" s="580"/>
      <c r="H4" s="580"/>
    </row>
    <row r="5" spans="1:19">
      <c r="A5" s="580"/>
      <c r="B5" s="580"/>
      <c r="C5" s="580"/>
      <c r="D5" s="580"/>
      <c r="E5" s="580"/>
      <c r="F5" s="580"/>
      <c r="G5" s="580"/>
      <c r="H5" s="580"/>
    </row>
    <row r="6" spans="1:19">
      <c r="A6" s="580"/>
      <c r="B6" s="580"/>
      <c r="C6" s="580"/>
      <c r="D6" s="580"/>
      <c r="E6" s="580"/>
      <c r="F6" s="580"/>
      <c r="G6" s="580"/>
      <c r="H6" s="580"/>
    </row>
    <row r="8" spans="1:19">
      <c r="A8" s="278" t="s">
        <v>549</v>
      </c>
      <c r="B8" s="278" t="s">
        <v>550</v>
      </c>
      <c r="C8" s="278" t="s">
        <v>551</v>
      </c>
    </row>
    <row r="9" spans="1:19">
      <c r="A9" s="281">
        <v>9.6877652209999994</v>
      </c>
      <c r="B9" s="282">
        <v>82.36</v>
      </c>
      <c r="C9" s="278">
        <v>1</v>
      </c>
      <c r="S9" s="282"/>
    </row>
    <row r="10" spans="1:19" ht="16" thickBot="1">
      <c r="A10" s="281">
        <v>9.3769656070000007</v>
      </c>
      <c r="B10" s="282">
        <v>102.95</v>
      </c>
      <c r="C10" s="278">
        <v>1</v>
      </c>
      <c r="S10" s="282"/>
    </row>
    <row r="11" spans="1:19" ht="16.5" customHeight="1">
      <c r="A11" s="281">
        <v>10.825350179999999</v>
      </c>
      <c r="B11" s="282">
        <v>123.54</v>
      </c>
      <c r="C11" s="278">
        <v>1</v>
      </c>
      <c r="L11" s="568" t="s">
        <v>552</v>
      </c>
      <c r="M11" s="569"/>
      <c r="N11" s="569"/>
      <c r="O11" s="569"/>
      <c r="P11" s="569"/>
      <c r="Q11" s="570"/>
      <c r="S11" s="282"/>
    </row>
    <row r="12" spans="1:19" ht="15" customHeight="1">
      <c r="A12" s="281">
        <v>9.6368384220000003</v>
      </c>
      <c r="B12" s="282">
        <v>82.36</v>
      </c>
      <c r="C12" s="278">
        <v>1</v>
      </c>
      <c r="L12" s="594"/>
      <c r="M12" s="574"/>
      <c r="N12" s="574"/>
      <c r="O12" s="574"/>
      <c r="P12" s="574"/>
      <c r="Q12" s="595"/>
      <c r="S12" s="282"/>
    </row>
    <row r="13" spans="1:19" ht="15" customHeight="1">
      <c r="A13" s="281">
        <v>10.40493918</v>
      </c>
      <c r="B13" s="282">
        <v>102.95</v>
      </c>
      <c r="C13" s="278">
        <v>1</v>
      </c>
      <c r="L13" s="594"/>
      <c r="M13" s="574"/>
      <c r="N13" s="574"/>
      <c r="O13" s="574"/>
      <c r="P13" s="574"/>
      <c r="Q13" s="595"/>
      <c r="S13" s="282"/>
    </row>
    <row r="14" spans="1:19" ht="15" customHeight="1">
      <c r="A14" s="281">
        <v>9.2103018379999995</v>
      </c>
      <c r="B14" s="282">
        <v>123.54</v>
      </c>
      <c r="C14" s="278">
        <v>1</v>
      </c>
      <c r="L14" s="594"/>
      <c r="M14" s="574"/>
      <c r="N14" s="574"/>
      <c r="O14" s="574"/>
      <c r="P14" s="574"/>
      <c r="Q14" s="595"/>
      <c r="S14" s="282"/>
    </row>
    <row r="15" spans="1:19" ht="15" customHeight="1">
      <c r="A15" s="281">
        <v>10.7450633</v>
      </c>
      <c r="B15" s="282">
        <v>82.36</v>
      </c>
      <c r="C15" s="278">
        <v>1</v>
      </c>
      <c r="L15" s="594"/>
      <c r="M15" s="574"/>
      <c r="N15" s="574"/>
      <c r="O15" s="574"/>
      <c r="P15" s="574"/>
      <c r="Q15" s="595"/>
      <c r="S15" s="282"/>
    </row>
    <row r="16" spans="1:19" ht="15.75" customHeight="1" thickBot="1">
      <c r="A16" s="281">
        <v>10.35468689</v>
      </c>
      <c r="B16" s="282">
        <v>102.95</v>
      </c>
      <c r="C16" s="278">
        <v>1</v>
      </c>
      <c r="L16" s="571"/>
      <c r="M16" s="572"/>
      <c r="N16" s="572"/>
      <c r="O16" s="572"/>
      <c r="P16" s="572"/>
      <c r="Q16" s="573"/>
      <c r="S16" s="282"/>
    </row>
    <row r="17" spans="1:19">
      <c r="A17" s="281">
        <v>10.09609676</v>
      </c>
      <c r="B17" s="282">
        <v>123.54</v>
      </c>
      <c r="C17" s="278">
        <v>1</v>
      </c>
      <c r="S17" s="282"/>
    </row>
    <row r="18" spans="1:19" ht="34">
      <c r="A18" s="281">
        <v>9.6255917140000005</v>
      </c>
      <c r="B18" s="282">
        <v>82.36</v>
      </c>
      <c r="C18" s="278">
        <v>2</v>
      </c>
      <c r="M18" s="344" t="s">
        <v>741</v>
      </c>
      <c r="S18" s="282"/>
    </row>
    <row r="19" spans="1:19">
      <c r="A19" s="281">
        <v>10.314637619999999</v>
      </c>
      <c r="B19" s="282">
        <v>102.95</v>
      </c>
      <c r="C19" s="278">
        <v>2</v>
      </c>
      <c r="S19" s="282"/>
    </row>
    <row r="20" spans="1:19">
      <c r="A20" s="281">
        <v>10.403908530000001</v>
      </c>
      <c r="B20" s="282">
        <v>123.54</v>
      </c>
      <c r="C20" s="278">
        <v>2</v>
      </c>
      <c r="S20" s="282"/>
    </row>
    <row r="21" spans="1:19">
      <c r="A21" s="281">
        <v>11.01761469</v>
      </c>
      <c r="B21" s="282">
        <v>82.36</v>
      </c>
      <c r="C21" s="278">
        <v>2</v>
      </c>
      <c r="S21" s="282"/>
    </row>
    <row r="22" spans="1:19">
      <c r="A22" s="281">
        <v>9.8522541110000006</v>
      </c>
      <c r="B22" s="282">
        <v>102.95</v>
      </c>
      <c r="C22" s="278">
        <v>2</v>
      </c>
      <c r="S22" s="282"/>
    </row>
    <row r="23" spans="1:19">
      <c r="A23" s="281">
        <v>9.7484155650000002</v>
      </c>
      <c r="B23" s="282">
        <v>123.54</v>
      </c>
      <c r="C23" s="278">
        <v>2</v>
      </c>
      <c r="S23" s="282"/>
    </row>
    <row r="24" spans="1:19">
      <c r="A24" s="281">
        <v>10.71510003</v>
      </c>
      <c r="B24" s="282">
        <v>82.36</v>
      </c>
      <c r="C24" s="278">
        <v>2</v>
      </c>
      <c r="S24" s="282"/>
    </row>
    <row r="25" spans="1:19">
      <c r="A25" s="281">
        <v>9.7811923689999993</v>
      </c>
      <c r="B25" s="282">
        <v>102.95</v>
      </c>
      <c r="C25" s="278">
        <v>2</v>
      </c>
      <c r="S25" s="282"/>
    </row>
    <row r="26" spans="1:19">
      <c r="A26" s="281">
        <v>10.040833620000001</v>
      </c>
      <c r="B26" s="282">
        <v>123.54</v>
      </c>
      <c r="C26" s="278">
        <v>2</v>
      </c>
      <c r="S26" s="282"/>
    </row>
    <row r="27" spans="1:19">
      <c r="A27" s="281">
        <v>9.4858136739999992</v>
      </c>
      <c r="B27" s="282">
        <v>82.36</v>
      </c>
      <c r="C27" s="278">
        <v>3</v>
      </c>
      <c r="S27" s="282"/>
    </row>
    <row r="28" spans="1:19">
      <c r="A28" s="281">
        <v>8.7150051529999999</v>
      </c>
      <c r="B28" s="282">
        <v>102.95</v>
      </c>
      <c r="C28" s="278">
        <v>3</v>
      </c>
      <c r="S28" s="282"/>
    </row>
    <row r="29" spans="1:19">
      <c r="A29" s="281">
        <v>9.9077058069999993</v>
      </c>
      <c r="B29" s="282">
        <v>123.54</v>
      </c>
      <c r="C29" s="278">
        <v>3</v>
      </c>
      <c r="S29" s="282"/>
    </row>
    <row r="30" spans="1:19">
      <c r="A30" s="281">
        <v>8.3069114640000006</v>
      </c>
      <c r="B30" s="282">
        <v>82.36</v>
      </c>
      <c r="C30" s="278">
        <v>3</v>
      </c>
      <c r="S30" s="282"/>
    </row>
    <row r="31" spans="1:19">
      <c r="A31" s="281">
        <v>10.49958488</v>
      </c>
      <c r="B31" s="282">
        <v>102.95</v>
      </c>
      <c r="C31" s="278">
        <v>3</v>
      </c>
      <c r="S31" s="282"/>
    </row>
    <row r="32" spans="1:19">
      <c r="A32" s="281">
        <v>9.6165185970000007</v>
      </c>
      <c r="B32" s="282">
        <v>123.54</v>
      </c>
      <c r="C32" s="278">
        <v>3</v>
      </c>
      <c r="S32" s="282"/>
    </row>
    <row r="33" spans="1:19">
      <c r="A33" s="281">
        <v>9.5427038520000007</v>
      </c>
      <c r="B33" s="282">
        <v>82.36</v>
      </c>
      <c r="C33" s="278">
        <v>3</v>
      </c>
      <c r="S33" s="282"/>
    </row>
    <row r="34" spans="1:19">
      <c r="A34" s="281">
        <v>14.109738269999999</v>
      </c>
      <c r="B34" s="282">
        <v>102.95</v>
      </c>
      <c r="C34" s="278">
        <v>3</v>
      </c>
      <c r="S34" s="282"/>
    </row>
    <row r="35" spans="1:19">
      <c r="A35" s="281">
        <v>10.284209969999999</v>
      </c>
      <c r="B35" s="282">
        <v>123.54</v>
      </c>
      <c r="C35" s="278">
        <v>3</v>
      </c>
      <c r="S35" s="282"/>
    </row>
  </sheetData>
  <mergeCells count="4">
    <mergeCell ref="A1:H3"/>
    <mergeCell ref="J1:M1"/>
    <mergeCell ref="A4:H6"/>
    <mergeCell ref="L11:Q16"/>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05C8-DB40-7244-A5D8-D59544E271EF}">
  <dimension ref="B2:W20"/>
  <sheetViews>
    <sheetView zoomScale="75" zoomScaleNormal="75" workbookViewId="0">
      <selection activeCell="P25" sqref="P25"/>
    </sheetView>
  </sheetViews>
  <sheetFormatPr baseColWidth="10" defaultRowHeight="16"/>
  <cols>
    <col min="1" max="1" width="4.83203125" customWidth="1"/>
  </cols>
  <sheetData>
    <row r="2" spans="2:23">
      <c r="B2" s="73" t="s">
        <v>553</v>
      </c>
      <c r="C2" s="73" t="s">
        <v>554</v>
      </c>
      <c r="D2" s="73" t="s">
        <v>555</v>
      </c>
    </row>
    <row r="3" spans="2:23">
      <c r="B3" s="64">
        <v>4</v>
      </c>
      <c r="C3" s="64">
        <v>7</v>
      </c>
      <c r="D3" s="64">
        <v>4</v>
      </c>
    </row>
    <row r="4" spans="2:23" ht="15" customHeight="1">
      <c r="B4" s="64">
        <v>3</v>
      </c>
      <c r="C4" s="64">
        <v>6</v>
      </c>
      <c r="D4" s="64">
        <v>3</v>
      </c>
    </row>
    <row r="5" spans="2:23" ht="21" customHeight="1">
      <c r="B5" s="64">
        <v>5</v>
      </c>
      <c r="C5" s="64">
        <v>9</v>
      </c>
      <c r="D5" s="64">
        <v>4</v>
      </c>
    </row>
    <row r="6" spans="2:23" ht="17" thickBot="1">
      <c r="B6" s="64">
        <v>3</v>
      </c>
      <c r="C6" s="64">
        <v>11</v>
      </c>
      <c r="D6" s="64">
        <v>5</v>
      </c>
    </row>
    <row r="7" spans="2:23" ht="34" customHeight="1">
      <c r="P7" s="605" t="s">
        <v>743</v>
      </c>
      <c r="Q7" s="606"/>
      <c r="R7" s="606"/>
      <c r="S7" s="606"/>
      <c r="T7" s="606"/>
      <c r="U7" s="607"/>
      <c r="V7" s="342"/>
      <c r="W7" s="343" t="s">
        <v>741</v>
      </c>
    </row>
    <row r="8" spans="2:23" ht="16" customHeight="1">
      <c r="P8" s="608"/>
      <c r="Q8" s="609"/>
      <c r="R8" s="609"/>
      <c r="S8" s="609"/>
      <c r="T8" s="609"/>
      <c r="U8" s="610"/>
      <c r="V8" s="342"/>
    </row>
    <row r="9" spans="2:23" ht="21" customHeight="1">
      <c r="P9" s="608"/>
      <c r="Q9" s="609"/>
      <c r="R9" s="609"/>
      <c r="S9" s="609"/>
      <c r="T9" s="609"/>
      <c r="U9" s="610"/>
      <c r="V9" s="342"/>
    </row>
    <row r="10" spans="2:23" ht="16" customHeight="1">
      <c r="P10" s="608"/>
      <c r="Q10" s="609"/>
      <c r="R10" s="609"/>
      <c r="S10" s="609"/>
      <c r="T10" s="609"/>
      <c r="U10" s="610"/>
      <c r="V10" s="342"/>
    </row>
    <row r="11" spans="2:23" ht="16" customHeight="1">
      <c r="P11" s="608"/>
      <c r="Q11" s="609"/>
      <c r="R11" s="609"/>
      <c r="S11" s="609"/>
      <c r="T11" s="609"/>
      <c r="U11" s="610"/>
      <c r="V11" s="342"/>
    </row>
    <row r="12" spans="2:23" ht="23" customHeight="1">
      <c r="P12" s="608"/>
      <c r="Q12" s="609"/>
      <c r="R12" s="609"/>
      <c r="S12" s="609"/>
      <c r="T12" s="609"/>
      <c r="U12" s="610"/>
      <c r="V12" s="342"/>
    </row>
    <row r="13" spans="2:23" ht="16" customHeight="1">
      <c r="P13" s="608"/>
      <c r="Q13" s="609"/>
      <c r="R13" s="609"/>
      <c r="S13" s="609"/>
      <c r="T13" s="609"/>
      <c r="U13" s="610"/>
      <c r="V13" s="342"/>
    </row>
    <row r="14" spans="2:23" ht="16" customHeight="1">
      <c r="P14" s="608"/>
      <c r="Q14" s="609"/>
      <c r="R14" s="609"/>
      <c r="S14" s="609"/>
      <c r="T14" s="609"/>
      <c r="U14" s="610"/>
      <c r="V14" s="342"/>
    </row>
    <row r="15" spans="2:23" ht="16" customHeight="1">
      <c r="P15" s="608"/>
      <c r="Q15" s="609"/>
      <c r="R15" s="609"/>
      <c r="S15" s="609"/>
      <c r="T15" s="609"/>
      <c r="U15" s="610"/>
      <c r="V15" s="342"/>
    </row>
    <row r="16" spans="2:23" ht="16" customHeight="1">
      <c r="P16" s="608"/>
      <c r="Q16" s="609"/>
      <c r="R16" s="609"/>
      <c r="S16" s="609"/>
      <c r="T16" s="609"/>
      <c r="U16" s="610"/>
      <c r="V16" s="342"/>
    </row>
    <row r="17" spans="16:22" ht="25" customHeight="1">
      <c r="P17" s="608"/>
      <c r="Q17" s="609"/>
      <c r="R17" s="609"/>
      <c r="S17" s="609"/>
      <c r="T17" s="609"/>
      <c r="U17" s="610"/>
      <c r="V17" s="342"/>
    </row>
    <row r="18" spans="16:22" ht="16" customHeight="1" thickBot="1">
      <c r="P18" s="611"/>
      <c r="Q18" s="612"/>
      <c r="R18" s="612"/>
      <c r="S18" s="612"/>
      <c r="T18" s="612"/>
      <c r="U18" s="613"/>
      <c r="V18" s="342"/>
    </row>
    <row r="19" spans="16:22" ht="16" customHeight="1">
      <c r="P19" s="342"/>
      <c r="Q19" s="342"/>
      <c r="R19" s="342"/>
      <c r="S19" s="342"/>
      <c r="T19" s="342"/>
      <c r="U19" s="342"/>
      <c r="V19" s="342"/>
    </row>
    <row r="20" spans="16:22" ht="17" customHeight="1">
      <c r="P20" s="342"/>
      <c r="Q20" s="342"/>
      <c r="R20" s="342"/>
      <c r="S20" s="342"/>
      <c r="T20" s="342"/>
      <c r="U20" s="342"/>
      <c r="V20" s="342"/>
    </row>
  </sheetData>
  <mergeCells count="1">
    <mergeCell ref="P7:U18"/>
  </mergeCells>
  <pageMargins left="0.75" right="0.75" top="1" bottom="1" header="0.5" footer="0.5"/>
  <pageSetup orientation="portrait" horizontalDpi="4294967292" verticalDpi="4294967292"/>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E64B0-F25C-384A-8B70-4BDF2ACFD4B8}">
  <dimension ref="B2:V23"/>
  <sheetViews>
    <sheetView zoomScale="90" zoomScaleNormal="90" zoomScalePageLayoutView="150" workbookViewId="0">
      <selection activeCell="S54" sqref="S54"/>
    </sheetView>
  </sheetViews>
  <sheetFormatPr baseColWidth="10" defaultRowHeight="16"/>
  <cols>
    <col min="1" max="1" width="5.1640625" customWidth="1"/>
  </cols>
  <sheetData>
    <row r="2" spans="2:22">
      <c r="B2" s="73" t="s">
        <v>556</v>
      </c>
      <c r="C2" s="73" t="s">
        <v>557</v>
      </c>
      <c r="D2" s="73" t="s">
        <v>558</v>
      </c>
      <c r="E2" s="73" t="s">
        <v>559</v>
      </c>
      <c r="F2" s="64"/>
      <c r="G2" s="64"/>
      <c r="H2" s="64"/>
      <c r="I2" s="64"/>
      <c r="J2" s="64"/>
    </row>
    <row r="3" spans="2:22">
      <c r="B3" s="64">
        <v>37</v>
      </c>
      <c r="C3" s="64">
        <v>27</v>
      </c>
      <c r="D3" s="64">
        <v>32</v>
      </c>
      <c r="E3" s="64">
        <v>35</v>
      </c>
      <c r="F3" s="64"/>
      <c r="G3" s="64"/>
      <c r="H3" s="64"/>
      <c r="I3" s="64"/>
      <c r="J3" s="64"/>
    </row>
    <row r="4" spans="2:22">
      <c r="B4" s="64">
        <v>35</v>
      </c>
      <c r="C4" s="64">
        <v>32</v>
      </c>
      <c r="D4" s="64">
        <v>36</v>
      </c>
      <c r="E4" s="64">
        <v>27</v>
      </c>
      <c r="F4" s="64"/>
      <c r="G4" s="64"/>
      <c r="H4" s="64"/>
      <c r="I4" s="64"/>
      <c r="J4" s="64"/>
    </row>
    <row r="5" spans="2:22">
      <c r="B5" s="64">
        <v>38</v>
      </c>
      <c r="C5" s="64">
        <v>32</v>
      </c>
      <c r="D5" s="64">
        <v>33</v>
      </c>
      <c r="E5" s="64">
        <v>33</v>
      </c>
      <c r="F5" s="64"/>
      <c r="G5" s="64"/>
      <c r="H5" s="64"/>
      <c r="I5" s="64"/>
      <c r="J5" s="64"/>
    </row>
    <row r="6" spans="2:22">
      <c r="B6" s="64">
        <v>36</v>
      </c>
      <c r="C6" s="64">
        <v>34</v>
      </c>
      <c r="D6" s="64">
        <v>34</v>
      </c>
      <c r="E6" s="64">
        <v>31</v>
      </c>
      <c r="F6" s="64"/>
      <c r="G6" s="64"/>
      <c r="H6" s="64"/>
      <c r="I6" s="64"/>
      <c r="J6" s="64"/>
    </row>
    <row r="7" spans="2:22">
      <c r="B7" s="64">
        <v>34</v>
      </c>
      <c r="C7" s="64">
        <v>30</v>
      </c>
      <c r="D7" s="64">
        <v>40</v>
      </c>
      <c r="E7" s="64">
        <v>29</v>
      </c>
      <c r="F7" s="64"/>
      <c r="G7" s="64"/>
      <c r="H7" s="64"/>
      <c r="I7" s="64"/>
      <c r="J7" s="64"/>
    </row>
    <row r="8" spans="2:22" ht="17" thickBot="1">
      <c r="B8" s="64"/>
      <c r="C8" s="64"/>
      <c r="D8" s="64"/>
      <c r="E8" s="64"/>
      <c r="F8" s="64"/>
      <c r="G8" s="64"/>
      <c r="H8" s="64"/>
      <c r="I8" s="64"/>
      <c r="J8" s="64"/>
    </row>
    <row r="9" spans="2:22">
      <c r="B9" s="64"/>
      <c r="C9" s="64"/>
      <c r="D9" s="64"/>
      <c r="E9" s="64"/>
      <c r="F9" s="64"/>
      <c r="G9" s="64"/>
      <c r="H9" s="64"/>
      <c r="I9" s="64"/>
      <c r="J9" s="64"/>
      <c r="Q9" s="605" t="s">
        <v>744</v>
      </c>
      <c r="R9" s="606"/>
      <c r="S9" s="606"/>
      <c r="T9" s="606"/>
      <c r="U9" s="606"/>
      <c r="V9" s="607"/>
    </row>
    <row r="10" spans="2:22">
      <c r="B10" s="64"/>
      <c r="C10" s="64"/>
      <c r="D10" s="64"/>
      <c r="E10" s="64"/>
      <c r="F10" s="64"/>
      <c r="G10" s="64"/>
      <c r="H10" s="64"/>
      <c r="I10" s="64"/>
      <c r="J10" s="64"/>
      <c r="Q10" s="608"/>
      <c r="R10" s="609"/>
      <c r="S10" s="609"/>
      <c r="T10" s="609"/>
      <c r="U10" s="609"/>
      <c r="V10" s="610"/>
    </row>
    <row r="11" spans="2:22">
      <c r="B11" s="64"/>
      <c r="C11" s="64"/>
      <c r="D11" s="64"/>
      <c r="E11" s="64"/>
      <c r="F11" s="64"/>
      <c r="G11" s="64"/>
      <c r="H11" s="64"/>
      <c r="I11" s="64"/>
      <c r="J11" s="64"/>
      <c r="Q11" s="608"/>
      <c r="R11" s="609"/>
      <c r="S11" s="609"/>
      <c r="T11" s="609"/>
      <c r="U11" s="609"/>
      <c r="V11" s="610"/>
    </row>
    <row r="12" spans="2:22">
      <c r="Q12" s="608"/>
      <c r="R12" s="609"/>
      <c r="S12" s="609"/>
      <c r="T12" s="609"/>
      <c r="U12" s="609"/>
      <c r="V12" s="610"/>
    </row>
    <row r="13" spans="2:22">
      <c r="Q13" s="608"/>
      <c r="R13" s="609"/>
      <c r="S13" s="609"/>
      <c r="T13" s="609"/>
      <c r="U13" s="609"/>
      <c r="V13" s="610"/>
    </row>
    <row r="14" spans="2:22">
      <c r="Q14" s="608"/>
      <c r="R14" s="609"/>
      <c r="S14" s="609"/>
      <c r="T14" s="609"/>
      <c r="U14" s="609"/>
      <c r="V14" s="610"/>
    </row>
    <row r="15" spans="2:22">
      <c r="Q15" s="608"/>
      <c r="R15" s="609"/>
      <c r="S15" s="609"/>
      <c r="T15" s="609"/>
      <c r="U15" s="609"/>
      <c r="V15" s="610"/>
    </row>
    <row r="16" spans="2:22">
      <c r="Q16" s="608"/>
      <c r="R16" s="609"/>
      <c r="S16" s="609"/>
      <c r="T16" s="609"/>
      <c r="U16" s="609"/>
      <c r="V16" s="610"/>
    </row>
    <row r="17" spans="17:22">
      <c r="Q17" s="608"/>
      <c r="R17" s="609"/>
      <c r="S17" s="609"/>
      <c r="T17" s="609"/>
      <c r="U17" s="609"/>
      <c r="V17" s="610"/>
    </row>
    <row r="18" spans="17:22">
      <c r="Q18" s="608"/>
      <c r="R18" s="609"/>
      <c r="S18" s="609"/>
      <c r="T18" s="609"/>
      <c r="U18" s="609"/>
      <c r="V18" s="610"/>
    </row>
    <row r="19" spans="17:22">
      <c r="Q19" s="608"/>
      <c r="R19" s="609"/>
      <c r="S19" s="609"/>
      <c r="T19" s="609"/>
      <c r="U19" s="609"/>
      <c r="V19" s="610"/>
    </row>
    <row r="20" spans="17:22" ht="17" thickBot="1">
      <c r="Q20" s="611"/>
      <c r="R20" s="612"/>
      <c r="S20" s="612"/>
      <c r="T20" s="612"/>
      <c r="U20" s="612"/>
      <c r="V20" s="613"/>
    </row>
    <row r="23" spans="17:22" ht="37">
      <c r="Q23" s="343" t="s">
        <v>741</v>
      </c>
    </row>
  </sheetData>
  <mergeCells count="1">
    <mergeCell ref="Q9:V20"/>
  </mergeCells>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1B03-1F3E-A446-9777-6C92B6A57D6C}">
  <dimension ref="B3:U25"/>
  <sheetViews>
    <sheetView zoomScale="90" zoomScaleNormal="90" workbookViewId="0">
      <selection activeCell="U58" sqref="U58"/>
    </sheetView>
  </sheetViews>
  <sheetFormatPr baseColWidth="10" defaultRowHeight="13"/>
  <cols>
    <col min="1" max="1" width="4.5" style="44" customWidth="1"/>
    <col min="2" max="256" width="10.83203125" style="44"/>
    <col min="257" max="257" width="14.83203125" style="44" customWidth="1"/>
    <col min="258" max="512" width="10.83203125" style="44"/>
    <col min="513" max="513" width="14.83203125" style="44" customWidth="1"/>
    <col min="514" max="768" width="10.83203125" style="44"/>
    <col min="769" max="769" width="14.83203125" style="44" customWidth="1"/>
    <col min="770" max="1024" width="10.83203125" style="44"/>
    <col min="1025" max="1025" width="14.83203125" style="44" customWidth="1"/>
    <col min="1026" max="1280" width="10.83203125" style="44"/>
    <col min="1281" max="1281" width="14.83203125" style="44" customWidth="1"/>
    <col min="1282" max="1536" width="10.83203125" style="44"/>
    <col min="1537" max="1537" width="14.83203125" style="44" customWidth="1"/>
    <col min="1538" max="1792" width="10.83203125" style="44"/>
    <col min="1793" max="1793" width="14.83203125" style="44" customWidth="1"/>
    <col min="1794" max="2048" width="10.83203125" style="44"/>
    <col min="2049" max="2049" width="14.83203125" style="44" customWidth="1"/>
    <col min="2050" max="2304" width="10.83203125" style="44"/>
    <col min="2305" max="2305" width="14.83203125" style="44" customWidth="1"/>
    <col min="2306" max="2560" width="10.83203125" style="44"/>
    <col min="2561" max="2561" width="14.83203125" style="44" customWidth="1"/>
    <col min="2562" max="2816" width="10.83203125" style="44"/>
    <col min="2817" max="2817" width="14.83203125" style="44" customWidth="1"/>
    <col min="2818" max="3072" width="10.83203125" style="44"/>
    <col min="3073" max="3073" width="14.83203125" style="44" customWidth="1"/>
    <col min="3074" max="3328" width="10.83203125" style="44"/>
    <col min="3329" max="3329" width="14.83203125" style="44" customWidth="1"/>
    <col min="3330" max="3584" width="10.83203125" style="44"/>
    <col min="3585" max="3585" width="14.83203125" style="44" customWidth="1"/>
    <col min="3586" max="3840" width="10.83203125" style="44"/>
    <col min="3841" max="3841" width="14.83203125" style="44" customWidth="1"/>
    <col min="3842" max="4096" width="10.83203125" style="44"/>
    <col min="4097" max="4097" width="14.83203125" style="44" customWidth="1"/>
    <col min="4098" max="4352" width="10.83203125" style="44"/>
    <col min="4353" max="4353" width="14.83203125" style="44" customWidth="1"/>
    <col min="4354" max="4608" width="10.83203125" style="44"/>
    <col min="4609" max="4609" width="14.83203125" style="44" customWidth="1"/>
    <col min="4610" max="4864" width="10.83203125" style="44"/>
    <col min="4865" max="4865" width="14.83203125" style="44" customWidth="1"/>
    <col min="4866" max="5120" width="10.83203125" style="44"/>
    <col min="5121" max="5121" width="14.83203125" style="44" customWidth="1"/>
    <col min="5122" max="5376" width="10.83203125" style="44"/>
    <col min="5377" max="5377" width="14.83203125" style="44" customWidth="1"/>
    <col min="5378" max="5632" width="10.83203125" style="44"/>
    <col min="5633" max="5633" width="14.83203125" style="44" customWidth="1"/>
    <col min="5634" max="5888" width="10.83203125" style="44"/>
    <col min="5889" max="5889" width="14.83203125" style="44" customWidth="1"/>
    <col min="5890" max="6144" width="10.83203125" style="44"/>
    <col min="6145" max="6145" width="14.83203125" style="44" customWidth="1"/>
    <col min="6146" max="6400" width="10.83203125" style="44"/>
    <col min="6401" max="6401" width="14.83203125" style="44" customWidth="1"/>
    <col min="6402" max="6656" width="10.83203125" style="44"/>
    <col min="6657" max="6657" width="14.83203125" style="44" customWidth="1"/>
    <col min="6658" max="6912" width="10.83203125" style="44"/>
    <col min="6913" max="6913" width="14.83203125" style="44" customWidth="1"/>
    <col min="6914" max="7168" width="10.83203125" style="44"/>
    <col min="7169" max="7169" width="14.83203125" style="44" customWidth="1"/>
    <col min="7170" max="7424" width="10.83203125" style="44"/>
    <col min="7425" max="7425" width="14.83203125" style="44" customWidth="1"/>
    <col min="7426" max="7680" width="10.83203125" style="44"/>
    <col min="7681" max="7681" width="14.83203125" style="44" customWidth="1"/>
    <col min="7682" max="7936" width="10.83203125" style="44"/>
    <col min="7937" max="7937" width="14.83203125" style="44" customWidth="1"/>
    <col min="7938" max="8192" width="10.83203125" style="44"/>
    <col min="8193" max="8193" width="14.83203125" style="44" customWidth="1"/>
    <col min="8194" max="8448" width="10.83203125" style="44"/>
    <col min="8449" max="8449" width="14.83203125" style="44" customWidth="1"/>
    <col min="8450" max="8704" width="10.83203125" style="44"/>
    <col min="8705" max="8705" width="14.83203125" style="44" customWidth="1"/>
    <col min="8706" max="8960" width="10.83203125" style="44"/>
    <col min="8961" max="8961" width="14.83203125" style="44" customWidth="1"/>
    <col min="8962" max="9216" width="10.83203125" style="44"/>
    <col min="9217" max="9217" width="14.83203125" style="44" customWidth="1"/>
    <col min="9218" max="9472" width="10.83203125" style="44"/>
    <col min="9473" max="9473" width="14.83203125" style="44" customWidth="1"/>
    <col min="9474" max="9728" width="10.83203125" style="44"/>
    <col min="9729" max="9729" width="14.83203125" style="44" customWidth="1"/>
    <col min="9730" max="9984" width="10.83203125" style="44"/>
    <col min="9985" max="9985" width="14.83203125" style="44" customWidth="1"/>
    <col min="9986" max="10240" width="10.83203125" style="44"/>
    <col min="10241" max="10241" width="14.83203125" style="44" customWidth="1"/>
    <col min="10242" max="10496" width="10.83203125" style="44"/>
    <col min="10497" max="10497" width="14.83203125" style="44" customWidth="1"/>
    <col min="10498" max="10752" width="10.83203125" style="44"/>
    <col min="10753" max="10753" width="14.83203125" style="44" customWidth="1"/>
    <col min="10754" max="11008" width="10.83203125" style="44"/>
    <col min="11009" max="11009" width="14.83203125" style="44" customWidth="1"/>
    <col min="11010" max="11264" width="10.83203125" style="44"/>
    <col min="11265" max="11265" width="14.83203125" style="44" customWidth="1"/>
    <col min="11266" max="11520" width="10.83203125" style="44"/>
    <col min="11521" max="11521" width="14.83203125" style="44" customWidth="1"/>
    <col min="11522" max="11776" width="10.83203125" style="44"/>
    <col min="11777" max="11777" width="14.83203125" style="44" customWidth="1"/>
    <col min="11778" max="12032" width="10.83203125" style="44"/>
    <col min="12033" max="12033" width="14.83203125" style="44" customWidth="1"/>
    <col min="12034" max="12288" width="10.83203125" style="44"/>
    <col min="12289" max="12289" width="14.83203125" style="44" customWidth="1"/>
    <col min="12290" max="12544" width="10.83203125" style="44"/>
    <col min="12545" max="12545" width="14.83203125" style="44" customWidth="1"/>
    <col min="12546" max="12800" width="10.83203125" style="44"/>
    <col min="12801" max="12801" width="14.83203125" style="44" customWidth="1"/>
    <col min="12802" max="13056" width="10.83203125" style="44"/>
    <col min="13057" max="13057" width="14.83203125" style="44" customWidth="1"/>
    <col min="13058" max="13312" width="10.83203125" style="44"/>
    <col min="13313" max="13313" width="14.83203125" style="44" customWidth="1"/>
    <col min="13314" max="13568" width="10.83203125" style="44"/>
    <col min="13569" max="13569" width="14.83203125" style="44" customWidth="1"/>
    <col min="13570" max="13824" width="10.83203125" style="44"/>
    <col min="13825" max="13825" width="14.83203125" style="44" customWidth="1"/>
    <col min="13826" max="14080" width="10.83203125" style="44"/>
    <col min="14081" max="14081" width="14.83203125" style="44" customWidth="1"/>
    <col min="14082" max="14336" width="10.83203125" style="44"/>
    <col min="14337" max="14337" width="14.83203125" style="44" customWidth="1"/>
    <col min="14338" max="14592" width="10.83203125" style="44"/>
    <col min="14593" max="14593" width="14.83203125" style="44" customWidth="1"/>
    <col min="14594" max="14848" width="10.83203125" style="44"/>
    <col min="14849" max="14849" width="14.83203125" style="44" customWidth="1"/>
    <col min="14850" max="15104" width="10.83203125" style="44"/>
    <col min="15105" max="15105" width="14.83203125" style="44" customWidth="1"/>
    <col min="15106" max="15360" width="10.83203125" style="44"/>
    <col min="15361" max="15361" width="14.83203125" style="44" customWidth="1"/>
    <col min="15362" max="15616" width="10.83203125" style="44"/>
    <col min="15617" max="15617" width="14.83203125" style="44" customWidth="1"/>
    <col min="15618" max="15872" width="10.83203125" style="44"/>
    <col min="15873" max="15873" width="14.83203125" style="44" customWidth="1"/>
    <col min="15874" max="16128" width="10.83203125" style="44"/>
    <col min="16129" max="16129" width="14.83203125" style="44" customWidth="1"/>
    <col min="16130" max="16384" width="10.83203125" style="44"/>
  </cols>
  <sheetData>
    <row r="3" spans="2:21">
      <c r="B3" s="346" t="s">
        <v>560</v>
      </c>
      <c r="C3" s="44" t="s">
        <v>561</v>
      </c>
      <c r="D3" s="44" t="s">
        <v>562</v>
      </c>
    </row>
    <row r="4" spans="2:21">
      <c r="B4" s="44">
        <v>5</v>
      </c>
      <c r="C4" s="44">
        <v>6</v>
      </c>
      <c r="D4" s="44">
        <v>7</v>
      </c>
    </row>
    <row r="5" spans="2:21">
      <c r="B5" s="44">
        <v>7</v>
      </c>
      <c r="C5" s="44">
        <v>7</v>
      </c>
      <c r="D5" s="44">
        <v>8</v>
      </c>
    </row>
    <row r="6" spans="2:21">
      <c r="B6" s="44">
        <v>4</v>
      </c>
      <c r="C6" s="44">
        <v>7</v>
      </c>
      <c r="D6" s="44">
        <v>9</v>
      </c>
    </row>
    <row r="7" spans="2:21">
      <c r="B7" s="44">
        <v>5</v>
      </c>
      <c r="C7" s="44">
        <v>5</v>
      </c>
      <c r="D7" s="44">
        <v>8</v>
      </c>
    </row>
    <row r="8" spans="2:21">
      <c r="B8" s="44">
        <v>4</v>
      </c>
      <c r="C8" s="44">
        <v>6</v>
      </c>
      <c r="D8" s="44">
        <v>9</v>
      </c>
    </row>
    <row r="10" spans="2:21" ht="14" thickBot="1"/>
    <row r="11" spans="2:21">
      <c r="P11" s="605" t="s">
        <v>745</v>
      </c>
      <c r="Q11" s="606"/>
      <c r="R11" s="606"/>
      <c r="S11" s="606"/>
      <c r="T11" s="606"/>
      <c r="U11" s="607"/>
    </row>
    <row r="12" spans="2:21">
      <c r="P12" s="608"/>
      <c r="Q12" s="609"/>
      <c r="R12" s="609"/>
      <c r="S12" s="609"/>
      <c r="T12" s="609"/>
      <c r="U12" s="610"/>
    </row>
    <row r="13" spans="2:21">
      <c r="P13" s="608"/>
      <c r="Q13" s="609"/>
      <c r="R13" s="609"/>
      <c r="S13" s="609"/>
      <c r="T13" s="609"/>
      <c r="U13" s="610"/>
    </row>
    <row r="14" spans="2:21">
      <c r="P14" s="608"/>
      <c r="Q14" s="609"/>
      <c r="R14" s="609"/>
      <c r="S14" s="609"/>
      <c r="T14" s="609"/>
      <c r="U14" s="610"/>
    </row>
    <row r="15" spans="2:21">
      <c r="P15" s="608"/>
      <c r="Q15" s="609"/>
      <c r="R15" s="609"/>
      <c r="S15" s="609"/>
      <c r="T15" s="609"/>
      <c r="U15" s="610"/>
    </row>
    <row r="16" spans="2:21">
      <c r="P16" s="608"/>
      <c r="Q16" s="609"/>
      <c r="R16" s="609"/>
      <c r="S16" s="609"/>
      <c r="T16" s="609"/>
      <c r="U16" s="610"/>
    </row>
    <row r="17" spans="16:21">
      <c r="P17" s="608"/>
      <c r="Q17" s="609"/>
      <c r="R17" s="609"/>
      <c r="S17" s="609"/>
      <c r="T17" s="609"/>
      <c r="U17" s="610"/>
    </row>
    <row r="18" spans="16:21">
      <c r="P18" s="608"/>
      <c r="Q18" s="609"/>
      <c r="R18" s="609"/>
      <c r="S18" s="609"/>
      <c r="T18" s="609"/>
      <c r="U18" s="610"/>
    </row>
    <row r="19" spans="16:21">
      <c r="P19" s="608"/>
      <c r="Q19" s="609"/>
      <c r="R19" s="609"/>
      <c r="S19" s="609"/>
      <c r="T19" s="609"/>
      <c r="U19" s="610"/>
    </row>
    <row r="20" spans="16:21">
      <c r="P20" s="608"/>
      <c r="Q20" s="609"/>
      <c r="R20" s="609"/>
      <c r="S20" s="609"/>
      <c r="T20" s="609"/>
      <c r="U20" s="610"/>
    </row>
    <row r="21" spans="16:21">
      <c r="P21" s="608"/>
      <c r="Q21" s="609"/>
      <c r="R21" s="609"/>
      <c r="S21" s="609"/>
      <c r="T21" s="609"/>
      <c r="U21" s="610"/>
    </row>
    <row r="22" spans="16:21" ht="14" thickBot="1">
      <c r="P22" s="611"/>
      <c r="Q22" s="612"/>
      <c r="R22" s="612"/>
      <c r="S22" s="612"/>
      <c r="T22" s="612"/>
      <c r="U22" s="613"/>
    </row>
    <row r="23" spans="16:21" ht="16">
      <c r="P23"/>
      <c r="Q23"/>
      <c r="R23"/>
      <c r="S23"/>
      <c r="T23"/>
      <c r="U23"/>
    </row>
    <row r="24" spans="16:21" ht="16">
      <c r="P24"/>
      <c r="Q24"/>
      <c r="R24"/>
      <c r="S24"/>
      <c r="T24"/>
      <c r="U24"/>
    </row>
    <row r="25" spans="16:21" ht="37">
      <c r="P25" s="343" t="s">
        <v>741</v>
      </c>
      <c r="Q25"/>
      <c r="R25"/>
      <c r="S25"/>
      <c r="T25"/>
      <c r="U25"/>
    </row>
  </sheetData>
  <mergeCells count="1">
    <mergeCell ref="P11:U22"/>
  </mergeCells>
  <pageMargins left="0.75" right="0.75" top="1" bottom="1" header="0.5" footer="0.5"/>
  <pageSetup paperSize="0" orientation="portrait" horizontalDpi="4294967292" verticalDpi="4294967292"/>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2C3FE-7560-D246-A074-70DB077351FA}">
  <dimension ref="A1:T22"/>
  <sheetViews>
    <sheetView zoomScale="90" zoomScaleNormal="90" workbookViewId="0">
      <selection activeCell="R43" sqref="R43"/>
    </sheetView>
  </sheetViews>
  <sheetFormatPr baseColWidth="10" defaultRowHeight="13"/>
  <cols>
    <col min="1" max="1" width="13.83203125" style="44" customWidth="1"/>
    <col min="2" max="2" width="10.5" style="44" bestFit="1" customWidth="1"/>
    <col min="3" max="3" width="10.33203125" style="44" customWidth="1"/>
    <col min="4" max="4" width="9.1640625" style="44" customWidth="1"/>
    <col min="5" max="5" width="10.5" style="44" customWidth="1"/>
    <col min="6" max="6" width="7.1640625" style="44" customWidth="1"/>
    <col min="7" max="7" width="8.33203125" style="44" customWidth="1"/>
    <col min="8" max="256" width="10.83203125" style="44"/>
    <col min="257" max="257" width="17.5" style="44" customWidth="1"/>
    <col min="258" max="258" width="9.5" style="44" customWidth="1"/>
    <col min="259" max="259" width="10.33203125" style="44" customWidth="1"/>
    <col min="260" max="260" width="9.1640625" style="44" customWidth="1"/>
    <col min="261" max="261" width="10.5" style="44" customWidth="1"/>
    <col min="262" max="262" width="7.1640625" style="44" customWidth="1"/>
    <col min="263" max="263" width="8.33203125" style="44" customWidth="1"/>
    <col min="264" max="512" width="10.83203125" style="44"/>
    <col min="513" max="513" width="17.5" style="44" customWidth="1"/>
    <col min="514" max="514" width="9.5" style="44" customWidth="1"/>
    <col min="515" max="515" width="10.33203125" style="44" customWidth="1"/>
    <col min="516" max="516" width="9.1640625" style="44" customWidth="1"/>
    <col min="517" max="517" width="10.5" style="44" customWidth="1"/>
    <col min="518" max="518" width="7.1640625" style="44" customWidth="1"/>
    <col min="519" max="519" width="8.33203125" style="44" customWidth="1"/>
    <col min="520" max="768" width="10.83203125" style="44"/>
    <col min="769" max="769" width="17.5" style="44" customWidth="1"/>
    <col min="770" max="770" width="9.5" style="44" customWidth="1"/>
    <col min="771" max="771" width="10.33203125" style="44" customWidth="1"/>
    <col min="772" max="772" width="9.1640625" style="44" customWidth="1"/>
    <col min="773" max="773" width="10.5" style="44" customWidth="1"/>
    <col min="774" max="774" width="7.1640625" style="44" customWidth="1"/>
    <col min="775" max="775" width="8.33203125" style="44" customWidth="1"/>
    <col min="776" max="1024" width="10.83203125" style="44"/>
    <col min="1025" max="1025" width="17.5" style="44" customWidth="1"/>
    <col min="1026" max="1026" width="9.5" style="44" customWidth="1"/>
    <col min="1027" max="1027" width="10.33203125" style="44" customWidth="1"/>
    <col min="1028" max="1028" width="9.1640625" style="44" customWidth="1"/>
    <col min="1029" max="1029" width="10.5" style="44" customWidth="1"/>
    <col min="1030" max="1030" width="7.1640625" style="44" customWidth="1"/>
    <col min="1031" max="1031" width="8.33203125" style="44" customWidth="1"/>
    <col min="1032" max="1280" width="10.83203125" style="44"/>
    <col min="1281" max="1281" width="17.5" style="44" customWidth="1"/>
    <col min="1282" max="1282" width="9.5" style="44" customWidth="1"/>
    <col min="1283" max="1283" width="10.33203125" style="44" customWidth="1"/>
    <col min="1284" max="1284" width="9.1640625" style="44" customWidth="1"/>
    <col min="1285" max="1285" width="10.5" style="44" customWidth="1"/>
    <col min="1286" max="1286" width="7.1640625" style="44" customWidth="1"/>
    <col min="1287" max="1287" width="8.33203125" style="44" customWidth="1"/>
    <col min="1288" max="1536" width="10.83203125" style="44"/>
    <col min="1537" max="1537" width="17.5" style="44" customWidth="1"/>
    <col min="1538" max="1538" width="9.5" style="44" customWidth="1"/>
    <col min="1539" max="1539" width="10.33203125" style="44" customWidth="1"/>
    <col min="1540" max="1540" width="9.1640625" style="44" customWidth="1"/>
    <col min="1541" max="1541" width="10.5" style="44" customWidth="1"/>
    <col min="1542" max="1542" width="7.1640625" style="44" customWidth="1"/>
    <col min="1543" max="1543" width="8.33203125" style="44" customWidth="1"/>
    <col min="1544" max="1792" width="10.83203125" style="44"/>
    <col min="1793" max="1793" width="17.5" style="44" customWidth="1"/>
    <col min="1794" max="1794" width="9.5" style="44" customWidth="1"/>
    <col min="1795" max="1795" width="10.33203125" style="44" customWidth="1"/>
    <col min="1796" max="1796" width="9.1640625" style="44" customWidth="1"/>
    <col min="1797" max="1797" width="10.5" style="44" customWidth="1"/>
    <col min="1798" max="1798" width="7.1640625" style="44" customWidth="1"/>
    <col min="1799" max="1799" width="8.33203125" style="44" customWidth="1"/>
    <col min="1800" max="2048" width="10.83203125" style="44"/>
    <col min="2049" max="2049" width="17.5" style="44" customWidth="1"/>
    <col min="2050" max="2050" width="9.5" style="44" customWidth="1"/>
    <col min="2051" max="2051" width="10.33203125" style="44" customWidth="1"/>
    <col min="2052" max="2052" width="9.1640625" style="44" customWidth="1"/>
    <col min="2053" max="2053" width="10.5" style="44" customWidth="1"/>
    <col min="2054" max="2054" width="7.1640625" style="44" customWidth="1"/>
    <col min="2055" max="2055" width="8.33203125" style="44" customWidth="1"/>
    <col min="2056" max="2304" width="10.83203125" style="44"/>
    <col min="2305" max="2305" width="17.5" style="44" customWidth="1"/>
    <col min="2306" max="2306" width="9.5" style="44" customWidth="1"/>
    <col min="2307" max="2307" width="10.33203125" style="44" customWidth="1"/>
    <col min="2308" max="2308" width="9.1640625" style="44" customWidth="1"/>
    <col min="2309" max="2309" width="10.5" style="44" customWidth="1"/>
    <col min="2310" max="2310" width="7.1640625" style="44" customWidth="1"/>
    <col min="2311" max="2311" width="8.33203125" style="44" customWidth="1"/>
    <col min="2312" max="2560" width="10.83203125" style="44"/>
    <col min="2561" max="2561" width="17.5" style="44" customWidth="1"/>
    <col min="2562" max="2562" width="9.5" style="44" customWidth="1"/>
    <col min="2563" max="2563" width="10.33203125" style="44" customWidth="1"/>
    <col min="2564" max="2564" width="9.1640625" style="44" customWidth="1"/>
    <col min="2565" max="2565" width="10.5" style="44" customWidth="1"/>
    <col min="2566" max="2566" width="7.1640625" style="44" customWidth="1"/>
    <col min="2567" max="2567" width="8.33203125" style="44" customWidth="1"/>
    <col min="2568" max="2816" width="10.83203125" style="44"/>
    <col min="2817" max="2817" width="17.5" style="44" customWidth="1"/>
    <col min="2818" max="2818" width="9.5" style="44" customWidth="1"/>
    <col min="2819" max="2819" width="10.33203125" style="44" customWidth="1"/>
    <col min="2820" max="2820" width="9.1640625" style="44" customWidth="1"/>
    <col min="2821" max="2821" width="10.5" style="44" customWidth="1"/>
    <col min="2822" max="2822" width="7.1640625" style="44" customWidth="1"/>
    <col min="2823" max="2823" width="8.33203125" style="44" customWidth="1"/>
    <col min="2824" max="3072" width="10.83203125" style="44"/>
    <col min="3073" max="3073" width="17.5" style="44" customWidth="1"/>
    <col min="3074" max="3074" width="9.5" style="44" customWidth="1"/>
    <col min="3075" max="3075" width="10.33203125" style="44" customWidth="1"/>
    <col min="3076" max="3076" width="9.1640625" style="44" customWidth="1"/>
    <col min="3077" max="3077" width="10.5" style="44" customWidth="1"/>
    <col min="3078" max="3078" width="7.1640625" style="44" customWidth="1"/>
    <col min="3079" max="3079" width="8.33203125" style="44" customWidth="1"/>
    <col min="3080" max="3328" width="10.83203125" style="44"/>
    <col min="3329" max="3329" width="17.5" style="44" customWidth="1"/>
    <col min="3330" max="3330" width="9.5" style="44" customWidth="1"/>
    <col min="3331" max="3331" width="10.33203125" style="44" customWidth="1"/>
    <col min="3332" max="3332" width="9.1640625" style="44" customWidth="1"/>
    <col min="3333" max="3333" width="10.5" style="44" customWidth="1"/>
    <col min="3334" max="3334" width="7.1640625" style="44" customWidth="1"/>
    <col min="3335" max="3335" width="8.33203125" style="44" customWidth="1"/>
    <col min="3336" max="3584" width="10.83203125" style="44"/>
    <col min="3585" max="3585" width="17.5" style="44" customWidth="1"/>
    <col min="3586" max="3586" width="9.5" style="44" customWidth="1"/>
    <col min="3587" max="3587" width="10.33203125" style="44" customWidth="1"/>
    <col min="3588" max="3588" width="9.1640625" style="44" customWidth="1"/>
    <col min="3589" max="3589" width="10.5" style="44" customWidth="1"/>
    <col min="3590" max="3590" width="7.1640625" style="44" customWidth="1"/>
    <col min="3591" max="3591" width="8.33203125" style="44" customWidth="1"/>
    <col min="3592" max="3840" width="10.83203125" style="44"/>
    <col min="3841" max="3841" width="17.5" style="44" customWidth="1"/>
    <col min="3842" max="3842" width="9.5" style="44" customWidth="1"/>
    <col min="3843" max="3843" width="10.33203125" style="44" customWidth="1"/>
    <col min="3844" max="3844" width="9.1640625" style="44" customWidth="1"/>
    <col min="3845" max="3845" width="10.5" style="44" customWidth="1"/>
    <col min="3846" max="3846" width="7.1640625" style="44" customWidth="1"/>
    <col min="3847" max="3847" width="8.33203125" style="44" customWidth="1"/>
    <col min="3848" max="4096" width="10.83203125" style="44"/>
    <col min="4097" max="4097" width="17.5" style="44" customWidth="1"/>
    <col min="4098" max="4098" width="9.5" style="44" customWidth="1"/>
    <col min="4099" max="4099" width="10.33203125" style="44" customWidth="1"/>
    <col min="4100" max="4100" width="9.1640625" style="44" customWidth="1"/>
    <col min="4101" max="4101" width="10.5" style="44" customWidth="1"/>
    <col min="4102" max="4102" width="7.1640625" style="44" customWidth="1"/>
    <col min="4103" max="4103" width="8.33203125" style="44" customWidth="1"/>
    <col min="4104" max="4352" width="10.83203125" style="44"/>
    <col min="4353" max="4353" width="17.5" style="44" customWidth="1"/>
    <col min="4354" max="4354" width="9.5" style="44" customWidth="1"/>
    <col min="4355" max="4355" width="10.33203125" style="44" customWidth="1"/>
    <col min="4356" max="4356" width="9.1640625" style="44" customWidth="1"/>
    <col min="4357" max="4357" width="10.5" style="44" customWidth="1"/>
    <col min="4358" max="4358" width="7.1640625" style="44" customWidth="1"/>
    <col min="4359" max="4359" width="8.33203125" style="44" customWidth="1"/>
    <col min="4360" max="4608" width="10.83203125" style="44"/>
    <col min="4609" max="4609" width="17.5" style="44" customWidth="1"/>
    <col min="4610" max="4610" width="9.5" style="44" customWidth="1"/>
    <col min="4611" max="4611" width="10.33203125" style="44" customWidth="1"/>
    <col min="4612" max="4612" width="9.1640625" style="44" customWidth="1"/>
    <col min="4613" max="4613" width="10.5" style="44" customWidth="1"/>
    <col min="4614" max="4614" width="7.1640625" style="44" customWidth="1"/>
    <col min="4615" max="4615" width="8.33203125" style="44" customWidth="1"/>
    <col min="4616" max="4864" width="10.83203125" style="44"/>
    <col min="4865" max="4865" width="17.5" style="44" customWidth="1"/>
    <col min="4866" max="4866" width="9.5" style="44" customWidth="1"/>
    <col min="4867" max="4867" width="10.33203125" style="44" customWidth="1"/>
    <col min="4868" max="4868" width="9.1640625" style="44" customWidth="1"/>
    <col min="4869" max="4869" width="10.5" style="44" customWidth="1"/>
    <col min="4870" max="4870" width="7.1640625" style="44" customWidth="1"/>
    <col min="4871" max="4871" width="8.33203125" style="44" customWidth="1"/>
    <col min="4872" max="5120" width="10.83203125" style="44"/>
    <col min="5121" max="5121" width="17.5" style="44" customWidth="1"/>
    <col min="5122" max="5122" width="9.5" style="44" customWidth="1"/>
    <col min="5123" max="5123" width="10.33203125" style="44" customWidth="1"/>
    <col min="5124" max="5124" width="9.1640625" style="44" customWidth="1"/>
    <col min="5125" max="5125" width="10.5" style="44" customWidth="1"/>
    <col min="5126" max="5126" width="7.1640625" style="44" customWidth="1"/>
    <col min="5127" max="5127" width="8.33203125" style="44" customWidth="1"/>
    <col min="5128" max="5376" width="10.83203125" style="44"/>
    <col min="5377" max="5377" width="17.5" style="44" customWidth="1"/>
    <col min="5378" max="5378" width="9.5" style="44" customWidth="1"/>
    <col min="5379" max="5379" width="10.33203125" style="44" customWidth="1"/>
    <col min="5380" max="5380" width="9.1640625" style="44" customWidth="1"/>
    <col min="5381" max="5381" width="10.5" style="44" customWidth="1"/>
    <col min="5382" max="5382" width="7.1640625" style="44" customWidth="1"/>
    <col min="5383" max="5383" width="8.33203125" style="44" customWidth="1"/>
    <col min="5384" max="5632" width="10.83203125" style="44"/>
    <col min="5633" max="5633" width="17.5" style="44" customWidth="1"/>
    <col min="5634" max="5634" width="9.5" style="44" customWidth="1"/>
    <col min="5635" max="5635" width="10.33203125" style="44" customWidth="1"/>
    <col min="5636" max="5636" width="9.1640625" style="44" customWidth="1"/>
    <col min="5637" max="5637" width="10.5" style="44" customWidth="1"/>
    <col min="5638" max="5638" width="7.1640625" style="44" customWidth="1"/>
    <col min="5639" max="5639" width="8.33203125" style="44" customWidth="1"/>
    <col min="5640" max="5888" width="10.83203125" style="44"/>
    <col min="5889" max="5889" width="17.5" style="44" customWidth="1"/>
    <col min="5890" max="5890" width="9.5" style="44" customWidth="1"/>
    <col min="5891" max="5891" width="10.33203125" style="44" customWidth="1"/>
    <col min="5892" max="5892" width="9.1640625" style="44" customWidth="1"/>
    <col min="5893" max="5893" width="10.5" style="44" customWidth="1"/>
    <col min="5894" max="5894" width="7.1640625" style="44" customWidth="1"/>
    <col min="5895" max="5895" width="8.33203125" style="44" customWidth="1"/>
    <col min="5896" max="6144" width="10.83203125" style="44"/>
    <col min="6145" max="6145" width="17.5" style="44" customWidth="1"/>
    <col min="6146" max="6146" width="9.5" style="44" customWidth="1"/>
    <col min="6147" max="6147" width="10.33203125" style="44" customWidth="1"/>
    <col min="6148" max="6148" width="9.1640625" style="44" customWidth="1"/>
    <col min="6149" max="6149" width="10.5" style="44" customWidth="1"/>
    <col min="6150" max="6150" width="7.1640625" style="44" customWidth="1"/>
    <col min="6151" max="6151" width="8.33203125" style="44" customWidth="1"/>
    <col min="6152" max="6400" width="10.83203125" style="44"/>
    <col min="6401" max="6401" width="17.5" style="44" customWidth="1"/>
    <col min="6402" max="6402" width="9.5" style="44" customWidth="1"/>
    <col min="6403" max="6403" width="10.33203125" style="44" customWidth="1"/>
    <col min="6404" max="6404" width="9.1640625" style="44" customWidth="1"/>
    <col min="6405" max="6405" width="10.5" style="44" customWidth="1"/>
    <col min="6406" max="6406" width="7.1640625" style="44" customWidth="1"/>
    <col min="6407" max="6407" width="8.33203125" style="44" customWidth="1"/>
    <col min="6408" max="6656" width="10.83203125" style="44"/>
    <col min="6657" max="6657" width="17.5" style="44" customWidth="1"/>
    <col min="6658" max="6658" width="9.5" style="44" customWidth="1"/>
    <col min="6659" max="6659" width="10.33203125" style="44" customWidth="1"/>
    <col min="6660" max="6660" width="9.1640625" style="44" customWidth="1"/>
    <col min="6661" max="6661" width="10.5" style="44" customWidth="1"/>
    <col min="6662" max="6662" width="7.1640625" style="44" customWidth="1"/>
    <col min="6663" max="6663" width="8.33203125" style="44" customWidth="1"/>
    <col min="6664" max="6912" width="10.83203125" style="44"/>
    <col min="6913" max="6913" width="17.5" style="44" customWidth="1"/>
    <col min="6914" max="6914" width="9.5" style="44" customWidth="1"/>
    <col min="6915" max="6915" width="10.33203125" style="44" customWidth="1"/>
    <col min="6916" max="6916" width="9.1640625" style="44" customWidth="1"/>
    <col min="6917" max="6917" width="10.5" style="44" customWidth="1"/>
    <col min="6918" max="6918" width="7.1640625" style="44" customWidth="1"/>
    <col min="6919" max="6919" width="8.33203125" style="44" customWidth="1"/>
    <col min="6920" max="7168" width="10.83203125" style="44"/>
    <col min="7169" max="7169" width="17.5" style="44" customWidth="1"/>
    <col min="7170" max="7170" width="9.5" style="44" customWidth="1"/>
    <col min="7171" max="7171" width="10.33203125" style="44" customWidth="1"/>
    <col min="7172" max="7172" width="9.1640625" style="44" customWidth="1"/>
    <col min="7173" max="7173" width="10.5" style="44" customWidth="1"/>
    <col min="7174" max="7174" width="7.1640625" style="44" customWidth="1"/>
    <col min="7175" max="7175" width="8.33203125" style="44" customWidth="1"/>
    <col min="7176" max="7424" width="10.83203125" style="44"/>
    <col min="7425" max="7425" width="17.5" style="44" customWidth="1"/>
    <col min="7426" max="7426" width="9.5" style="44" customWidth="1"/>
    <col min="7427" max="7427" width="10.33203125" style="44" customWidth="1"/>
    <col min="7428" max="7428" width="9.1640625" style="44" customWidth="1"/>
    <col min="7429" max="7429" width="10.5" style="44" customWidth="1"/>
    <col min="7430" max="7430" width="7.1640625" style="44" customWidth="1"/>
    <col min="7431" max="7431" width="8.33203125" style="44" customWidth="1"/>
    <col min="7432" max="7680" width="10.83203125" style="44"/>
    <col min="7681" max="7681" width="17.5" style="44" customWidth="1"/>
    <col min="7682" max="7682" width="9.5" style="44" customWidth="1"/>
    <col min="7683" max="7683" width="10.33203125" style="44" customWidth="1"/>
    <col min="7684" max="7684" width="9.1640625" style="44" customWidth="1"/>
    <col min="7685" max="7685" width="10.5" style="44" customWidth="1"/>
    <col min="7686" max="7686" width="7.1640625" style="44" customWidth="1"/>
    <col min="7687" max="7687" width="8.33203125" style="44" customWidth="1"/>
    <col min="7688" max="7936" width="10.83203125" style="44"/>
    <col min="7937" max="7937" width="17.5" style="44" customWidth="1"/>
    <col min="7938" max="7938" width="9.5" style="44" customWidth="1"/>
    <col min="7939" max="7939" width="10.33203125" style="44" customWidth="1"/>
    <col min="7940" max="7940" width="9.1640625" style="44" customWidth="1"/>
    <col min="7941" max="7941" width="10.5" style="44" customWidth="1"/>
    <col min="7942" max="7942" width="7.1640625" style="44" customWidth="1"/>
    <col min="7943" max="7943" width="8.33203125" style="44" customWidth="1"/>
    <col min="7944" max="8192" width="10.83203125" style="44"/>
    <col min="8193" max="8193" width="17.5" style="44" customWidth="1"/>
    <col min="8194" max="8194" width="9.5" style="44" customWidth="1"/>
    <col min="8195" max="8195" width="10.33203125" style="44" customWidth="1"/>
    <col min="8196" max="8196" width="9.1640625" style="44" customWidth="1"/>
    <col min="8197" max="8197" width="10.5" style="44" customWidth="1"/>
    <col min="8198" max="8198" width="7.1640625" style="44" customWidth="1"/>
    <col min="8199" max="8199" width="8.33203125" style="44" customWidth="1"/>
    <col min="8200" max="8448" width="10.83203125" style="44"/>
    <col min="8449" max="8449" width="17.5" style="44" customWidth="1"/>
    <col min="8450" max="8450" width="9.5" style="44" customWidth="1"/>
    <col min="8451" max="8451" width="10.33203125" style="44" customWidth="1"/>
    <col min="8452" max="8452" width="9.1640625" style="44" customWidth="1"/>
    <col min="8453" max="8453" width="10.5" style="44" customWidth="1"/>
    <col min="8454" max="8454" width="7.1640625" style="44" customWidth="1"/>
    <col min="8455" max="8455" width="8.33203125" style="44" customWidth="1"/>
    <col min="8456" max="8704" width="10.83203125" style="44"/>
    <col min="8705" max="8705" width="17.5" style="44" customWidth="1"/>
    <col min="8706" max="8706" width="9.5" style="44" customWidth="1"/>
    <col min="8707" max="8707" width="10.33203125" style="44" customWidth="1"/>
    <col min="8708" max="8708" width="9.1640625" style="44" customWidth="1"/>
    <col min="8709" max="8709" width="10.5" style="44" customWidth="1"/>
    <col min="8710" max="8710" width="7.1640625" style="44" customWidth="1"/>
    <col min="8711" max="8711" width="8.33203125" style="44" customWidth="1"/>
    <col min="8712" max="8960" width="10.83203125" style="44"/>
    <col min="8961" max="8961" width="17.5" style="44" customWidth="1"/>
    <col min="8962" max="8962" width="9.5" style="44" customWidth="1"/>
    <col min="8963" max="8963" width="10.33203125" style="44" customWidth="1"/>
    <col min="8964" max="8964" width="9.1640625" style="44" customWidth="1"/>
    <col min="8965" max="8965" width="10.5" style="44" customWidth="1"/>
    <col min="8966" max="8966" width="7.1640625" style="44" customWidth="1"/>
    <col min="8967" max="8967" width="8.33203125" style="44" customWidth="1"/>
    <col min="8968" max="9216" width="10.83203125" style="44"/>
    <col min="9217" max="9217" width="17.5" style="44" customWidth="1"/>
    <col min="9218" max="9218" width="9.5" style="44" customWidth="1"/>
    <col min="9219" max="9219" width="10.33203125" style="44" customWidth="1"/>
    <col min="9220" max="9220" width="9.1640625" style="44" customWidth="1"/>
    <col min="9221" max="9221" width="10.5" style="44" customWidth="1"/>
    <col min="9222" max="9222" width="7.1640625" style="44" customWidth="1"/>
    <col min="9223" max="9223" width="8.33203125" style="44" customWidth="1"/>
    <col min="9224" max="9472" width="10.83203125" style="44"/>
    <col min="9473" max="9473" width="17.5" style="44" customWidth="1"/>
    <col min="9474" max="9474" width="9.5" style="44" customWidth="1"/>
    <col min="9475" max="9475" width="10.33203125" style="44" customWidth="1"/>
    <col min="9476" max="9476" width="9.1640625" style="44" customWidth="1"/>
    <col min="9477" max="9477" width="10.5" style="44" customWidth="1"/>
    <col min="9478" max="9478" width="7.1640625" style="44" customWidth="1"/>
    <col min="9479" max="9479" width="8.33203125" style="44" customWidth="1"/>
    <col min="9480" max="9728" width="10.83203125" style="44"/>
    <col min="9729" max="9729" width="17.5" style="44" customWidth="1"/>
    <col min="9730" max="9730" width="9.5" style="44" customWidth="1"/>
    <col min="9731" max="9731" width="10.33203125" style="44" customWidth="1"/>
    <col min="9732" max="9732" width="9.1640625" style="44" customWidth="1"/>
    <col min="9733" max="9733" width="10.5" style="44" customWidth="1"/>
    <col min="9734" max="9734" width="7.1640625" style="44" customWidth="1"/>
    <col min="9735" max="9735" width="8.33203125" style="44" customWidth="1"/>
    <col min="9736" max="9984" width="10.83203125" style="44"/>
    <col min="9985" max="9985" width="17.5" style="44" customWidth="1"/>
    <col min="9986" max="9986" width="9.5" style="44" customWidth="1"/>
    <col min="9987" max="9987" width="10.33203125" style="44" customWidth="1"/>
    <col min="9988" max="9988" width="9.1640625" style="44" customWidth="1"/>
    <col min="9989" max="9989" width="10.5" style="44" customWidth="1"/>
    <col min="9990" max="9990" width="7.1640625" style="44" customWidth="1"/>
    <col min="9991" max="9991" width="8.33203125" style="44" customWidth="1"/>
    <col min="9992" max="10240" width="10.83203125" style="44"/>
    <col min="10241" max="10241" width="17.5" style="44" customWidth="1"/>
    <col min="10242" max="10242" width="9.5" style="44" customWidth="1"/>
    <col min="10243" max="10243" width="10.33203125" style="44" customWidth="1"/>
    <col min="10244" max="10244" width="9.1640625" style="44" customWidth="1"/>
    <col min="10245" max="10245" width="10.5" style="44" customWidth="1"/>
    <col min="10246" max="10246" width="7.1640625" style="44" customWidth="1"/>
    <col min="10247" max="10247" width="8.33203125" style="44" customWidth="1"/>
    <col min="10248" max="10496" width="10.83203125" style="44"/>
    <col min="10497" max="10497" width="17.5" style="44" customWidth="1"/>
    <col min="10498" max="10498" width="9.5" style="44" customWidth="1"/>
    <col min="10499" max="10499" width="10.33203125" style="44" customWidth="1"/>
    <col min="10500" max="10500" width="9.1640625" style="44" customWidth="1"/>
    <col min="10501" max="10501" width="10.5" style="44" customWidth="1"/>
    <col min="10502" max="10502" width="7.1640625" style="44" customWidth="1"/>
    <col min="10503" max="10503" width="8.33203125" style="44" customWidth="1"/>
    <col min="10504" max="10752" width="10.83203125" style="44"/>
    <col min="10753" max="10753" width="17.5" style="44" customWidth="1"/>
    <col min="10754" max="10754" width="9.5" style="44" customWidth="1"/>
    <col min="10755" max="10755" width="10.33203125" style="44" customWidth="1"/>
    <col min="10756" max="10756" width="9.1640625" style="44" customWidth="1"/>
    <col min="10757" max="10757" width="10.5" style="44" customWidth="1"/>
    <col min="10758" max="10758" width="7.1640625" style="44" customWidth="1"/>
    <col min="10759" max="10759" width="8.33203125" style="44" customWidth="1"/>
    <col min="10760" max="11008" width="10.83203125" style="44"/>
    <col min="11009" max="11009" width="17.5" style="44" customWidth="1"/>
    <col min="11010" max="11010" width="9.5" style="44" customWidth="1"/>
    <col min="11011" max="11011" width="10.33203125" style="44" customWidth="1"/>
    <col min="11012" max="11012" width="9.1640625" style="44" customWidth="1"/>
    <col min="11013" max="11013" width="10.5" style="44" customWidth="1"/>
    <col min="11014" max="11014" width="7.1640625" style="44" customWidth="1"/>
    <col min="11015" max="11015" width="8.33203125" style="44" customWidth="1"/>
    <col min="11016" max="11264" width="10.83203125" style="44"/>
    <col min="11265" max="11265" width="17.5" style="44" customWidth="1"/>
    <col min="11266" max="11266" width="9.5" style="44" customWidth="1"/>
    <col min="11267" max="11267" width="10.33203125" style="44" customWidth="1"/>
    <col min="11268" max="11268" width="9.1640625" style="44" customWidth="1"/>
    <col min="11269" max="11269" width="10.5" style="44" customWidth="1"/>
    <col min="11270" max="11270" width="7.1640625" style="44" customWidth="1"/>
    <col min="11271" max="11271" width="8.33203125" style="44" customWidth="1"/>
    <col min="11272" max="11520" width="10.83203125" style="44"/>
    <col min="11521" max="11521" width="17.5" style="44" customWidth="1"/>
    <col min="11522" max="11522" width="9.5" style="44" customWidth="1"/>
    <col min="11523" max="11523" width="10.33203125" style="44" customWidth="1"/>
    <col min="11524" max="11524" width="9.1640625" style="44" customWidth="1"/>
    <col min="11525" max="11525" width="10.5" style="44" customWidth="1"/>
    <col min="11526" max="11526" width="7.1640625" style="44" customWidth="1"/>
    <col min="11527" max="11527" width="8.33203125" style="44" customWidth="1"/>
    <col min="11528" max="11776" width="10.83203125" style="44"/>
    <col min="11777" max="11777" width="17.5" style="44" customWidth="1"/>
    <col min="11778" max="11778" width="9.5" style="44" customWidth="1"/>
    <col min="11779" max="11779" width="10.33203125" style="44" customWidth="1"/>
    <col min="11780" max="11780" width="9.1640625" style="44" customWidth="1"/>
    <col min="11781" max="11781" width="10.5" style="44" customWidth="1"/>
    <col min="11782" max="11782" width="7.1640625" style="44" customWidth="1"/>
    <col min="11783" max="11783" width="8.33203125" style="44" customWidth="1"/>
    <col min="11784" max="12032" width="10.83203125" style="44"/>
    <col min="12033" max="12033" width="17.5" style="44" customWidth="1"/>
    <col min="12034" max="12034" width="9.5" style="44" customWidth="1"/>
    <col min="12035" max="12035" width="10.33203125" style="44" customWidth="1"/>
    <col min="12036" max="12036" width="9.1640625" style="44" customWidth="1"/>
    <col min="12037" max="12037" width="10.5" style="44" customWidth="1"/>
    <col min="12038" max="12038" width="7.1640625" style="44" customWidth="1"/>
    <col min="12039" max="12039" width="8.33203125" style="44" customWidth="1"/>
    <col min="12040" max="12288" width="10.83203125" style="44"/>
    <col min="12289" max="12289" width="17.5" style="44" customWidth="1"/>
    <col min="12290" max="12290" width="9.5" style="44" customWidth="1"/>
    <col min="12291" max="12291" width="10.33203125" style="44" customWidth="1"/>
    <col min="12292" max="12292" width="9.1640625" style="44" customWidth="1"/>
    <col min="12293" max="12293" width="10.5" style="44" customWidth="1"/>
    <col min="12294" max="12294" width="7.1640625" style="44" customWidth="1"/>
    <col min="12295" max="12295" width="8.33203125" style="44" customWidth="1"/>
    <col min="12296" max="12544" width="10.83203125" style="44"/>
    <col min="12545" max="12545" width="17.5" style="44" customWidth="1"/>
    <col min="12546" max="12546" width="9.5" style="44" customWidth="1"/>
    <col min="12547" max="12547" width="10.33203125" style="44" customWidth="1"/>
    <col min="12548" max="12548" width="9.1640625" style="44" customWidth="1"/>
    <col min="12549" max="12549" width="10.5" style="44" customWidth="1"/>
    <col min="12550" max="12550" width="7.1640625" style="44" customWidth="1"/>
    <col min="12551" max="12551" width="8.33203125" style="44" customWidth="1"/>
    <col min="12552" max="12800" width="10.83203125" style="44"/>
    <col min="12801" max="12801" width="17.5" style="44" customWidth="1"/>
    <col min="12802" max="12802" width="9.5" style="44" customWidth="1"/>
    <col min="12803" max="12803" width="10.33203125" style="44" customWidth="1"/>
    <col min="12804" max="12804" width="9.1640625" style="44" customWidth="1"/>
    <col min="12805" max="12805" width="10.5" style="44" customWidth="1"/>
    <col min="12806" max="12806" width="7.1640625" style="44" customWidth="1"/>
    <col min="12807" max="12807" width="8.33203125" style="44" customWidth="1"/>
    <col min="12808" max="13056" width="10.83203125" style="44"/>
    <col min="13057" max="13057" width="17.5" style="44" customWidth="1"/>
    <col min="13058" max="13058" width="9.5" style="44" customWidth="1"/>
    <col min="13059" max="13059" width="10.33203125" style="44" customWidth="1"/>
    <col min="13060" max="13060" width="9.1640625" style="44" customWidth="1"/>
    <col min="13061" max="13061" width="10.5" style="44" customWidth="1"/>
    <col min="13062" max="13062" width="7.1640625" style="44" customWidth="1"/>
    <col min="13063" max="13063" width="8.33203125" style="44" customWidth="1"/>
    <col min="13064" max="13312" width="10.83203125" style="44"/>
    <col min="13313" max="13313" width="17.5" style="44" customWidth="1"/>
    <col min="13314" max="13314" width="9.5" style="44" customWidth="1"/>
    <col min="13315" max="13315" width="10.33203125" style="44" customWidth="1"/>
    <col min="13316" max="13316" width="9.1640625" style="44" customWidth="1"/>
    <col min="13317" max="13317" width="10.5" style="44" customWidth="1"/>
    <col min="13318" max="13318" width="7.1640625" style="44" customWidth="1"/>
    <col min="13319" max="13319" width="8.33203125" style="44" customWidth="1"/>
    <col min="13320" max="13568" width="10.83203125" style="44"/>
    <col min="13569" max="13569" width="17.5" style="44" customWidth="1"/>
    <col min="13570" max="13570" width="9.5" style="44" customWidth="1"/>
    <col min="13571" max="13571" width="10.33203125" style="44" customWidth="1"/>
    <col min="13572" max="13572" width="9.1640625" style="44" customWidth="1"/>
    <col min="13573" max="13573" width="10.5" style="44" customWidth="1"/>
    <col min="13574" max="13574" width="7.1640625" style="44" customWidth="1"/>
    <col min="13575" max="13575" width="8.33203125" style="44" customWidth="1"/>
    <col min="13576" max="13824" width="10.83203125" style="44"/>
    <col min="13825" max="13825" width="17.5" style="44" customWidth="1"/>
    <col min="13826" max="13826" width="9.5" style="44" customWidth="1"/>
    <col min="13827" max="13827" width="10.33203125" style="44" customWidth="1"/>
    <col min="13828" max="13828" width="9.1640625" style="44" customWidth="1"/>
    <col min="13829" max="13829" width="10.5" style="44" customWidth="1"/>
    <col min="13830" max="13830" width="7.1640625" style="44" customWidth="1"/>
    <col min="13831" max="13831" width="8.33203125" style="44" customWidth="1"/>
    <col min="13832" max="14080" width="10.83203125" style="44"/>
    <col min="14081" max="14081" width="17.5" style="44" customWidth="1"/>
    <col min="14082" max="14082" width="9.5" style="44" customWidth="1"/>
    <col min="14083" max="14083" width="10.33203125" style="44" customWidth="1"/>
    <col min="14084" max="14084" width="9.1640625" style="44" customWidth="1"/>
    <col min="14085" max="14085" width="10.5" style="44" customWidth="1"/>
    <col min="14086" max="14086" width="7.1640625" style="44" customWidth="1"/>
    <col min="14087" max="14087" width="8.33203125" style="44" customWidth="1"/>
    <col min="14088" max="14336" width="10.83203125" style="44"/>
    <col min="14337" max="14337" width="17.5" style="44" customWidth="1"/>
    <col min="14338" max="14338" width="9.5" style="44" customWidth="1"/>
    <col min="14339" max="14339" width="10.33203125" style="44" customWidth="1"/>
    <col min="14340" max="14340" width="9.1640625" style="44" customWidth="1"/>
    <col min="14341" max="14341" width="10.5" style="44" customWidth="1"/>
    <col min="14342" max="14342" width="7.1640625" style="44" customWidth="1"/>
    <col min="14343" max="14343" width="8.33203125" style="44" customWidth="1"/>
    <col min="14344" max="14592" width="10.83203125" style="44"/>
    <col min="14593" max="14593" width="17.5" style="44" customWidth="1"/>
    <col min="14594" max="14594" width="9.5" style="44" customWidth="1"/>
    <col min="14595" max="14595" width="10.33203125" style="44" customWidth="1"/>
    <col min="14596" max="14596" width="9.1640625" style="44" customWidth="1"/>
    <col min="14597" max="14597" width="10.5" style="44" customWidth="1"/>
    <col min="14598" max="14598" width="7.1640625" style="44" customWidth="1"/>
    <col min="14599" max="14599" width="8.33203125" style="44" customWidth="1"/>
    <col min="14600" max="14848" width="10.83203125" style="44"/>
    <col min="14849" max="14849" width="17.5" style="44" customWidth="1"/>
    <col min="14850" max="14850" width="9.5" style="44" customWidth="1"/>
    <col min="14851" max="14851" width="10.33203125" style="44" customWidth="1"/>
    <col min="14852" max="14852" width="9.1640625" style="44" customWidth="1"/>
    <col min="14853" max="14853" width="10.5" style="44" customWidth="1"/>
    <col min="14854" max="14854" width="7.1640625" style="44" customWidth="1"/>
    <col min="14855" max="14855" width="8.33203125" style="44" customWidth="1"/>
    <col min="14856" max="15104" width="10.83203125" style="44"/>
    <col min="15105" max="15105" width="17.5" style="44" customWidth="1"/>
    <col min="15106" max="15106" width="9.5" style="44" customWidth="1"/>
    <col min="15107" max="15107" width="10.33203125" style="44" customWidth="1"/>
    <col min="15108" max="15108" width="9.1640625" style="44" customWidth="1"/>
    <col min="15109" max="15109" width="10.5" style="44" customWidth="1"/>
    <col min="15110" max="15110" width="7.1640625" style="44" customWidth="1"/>
    <col min="15111" max="15111" width="8.33203125" style="44" customWidth="1"/>
    <col min="15112" max="15360" width="10.83203125" style="44"/>
    <col min="15361" max="15361" width="17.5" style="44" customWidth="1"/>
    <col min="15362" max="15362" width="9.5" style="44" customWidth="1"/>
    <col min="15363" max="15363" width="10.33203125" style="44" customWidth="1"/>
    <col min="15364" max="15364" width="9.1640625" style="44" customWidth="1"/>
    <col min="15365" max="15365" width="10.5" style="44" customWidth="1"/>
    <col min="15366" max="15366" width="7.1640625" style="44" customWidth="1"/>
    <col min="15367" max="15367" width="8.33203125" style="44" customWidth="1"/>
    <col min="15368" max="15616" width="10.83203125" style="44"/>
    <col min="15617" max="15617" width="17.5" style="44" customWidth="1"/>
    <col min="15618" max="15618" width="9.5" style="44" customWidth="1"/>
    <col min="15619" max="15619" width="10.33203125" style="44" customWidth="1"/>
    <col min="15620" max="15620" width="9.1640625" style="44" customWidth="1"/>
    <col min="15621" max="15621" width="10.5" style="44" customWidth="1"/>
    <col min="15622" max="15622" width="7.1640625" style="44" customWidth="1"/>
    <col min="15623" max="15623" width="8.33203125" style="44" customWidth="1"/>
    <col min="15624" max="15872" width="10.83203125" style="44"/>
    <col min="15873" max="15873" width="17.5" style="44" customWidth="1"/>
    <col min="15874" max="15874" width="9.5" style="44" customWidth="1"/>
    <col min="15875" max="15875" width="10.33203125" style="44" customWidth="1"/>
    <col min="15876" max="15876" width="9.1640625" style="44" customWidth="1"/>
    <col min="15877" max="15877" width="10.5" style="44" customWidth="1"/>
    <col min="15878" max="15878" width="7.1640625" style="44" customWidth="1"/>
    <col min="15879" max="15879" width="8.33203125" style="44" customWidth="1"/>
    <col min="15880" max="16128" width="10.83203125" style="44"/>
    <col min="16129" max="16129" width="17.5" style="44" customWidth="1"/>
    <col min="16130" max="16130" width="9.5" style="44" customWidth="1"/>
    <col min="16131" max="16131" width="10.33203125" style="44" customWidth="1"/>
    <col min="16132" max="16132" width="9.1640625" style="44" customWidth="1"/>
    <col min="16133" max="16133" width="10.5" style="44" customWidth="1"/>
    <col min="16134" max="16134" width="7.1640625" style="44" customWidth="1"/>
    <col min="16135" max="16135" width="8.33203125" style="44" customWidth="1"/>
    <col min="16136" max="16384" width="10.83203125" style="44"/>
  </cols>
  <sheetData>
    <row r="1" spans="1:20" ht="16">
      <c r="A1" s="43"/>
      <c r="B1" s="43"/>
      <c r="C1" s="43"/>
      <c r="D1" s="43"/>
      <c r="E1" s="43"/>
      <c r="F1" s="43"/>
      <c r="G1" s="43"/>
    </row>
    <row r="2" spans="1:20" ht="16">
      <c r="A2" s="285" t="s">
        <v>563</v>
      </c>
      <c r="B2" s="285" t="s">
        <v>564</v>
      </c>
      <c r="C2" s="285" t="s">
        <v>565</v>
      </c>
      <c r="D2" s="43"/>
      <c r="E2" s="43"/>
      <c r="F2" s="43"/>
      <c r="G2" s="43"/>
    </row>
    <row r="3" spans="1:20" ht="16">
      <c r="A3" s="285">
        <v>5</v>
      </c>
      <c r="B3" s="285">
        <v>6</v>
      </c>
      <c r="C3" s="285">
        <v>7</v>
      </c>
      <c r="D3" s="43"/>
      <c r="E3" s="43"/>
      <c r="F3" s="43"/>
      <c r="G3" s="43"/>
    </row>
    <row r="4" spans="1:20" ht="16">
      <c r="A4" s="285">
        <v>7</v>
      </c>
      <c r="B4" s="285">
        <v>7</v>
      </c>
      <c r="C4" s="285">
        <v>8</v>
      </c>
      <c r="D4" s="43"/>
      <c r="E4" s="43"/>
      <c r="F4" s="43"/>
      <c r="G4" s="43"/>
    </row>
    <row r="5" spans="1:20" ht="16">
      <c r="A5" s="285">
        <v>4</v>
      </c>
      <c r="B5" s="285">
        <v>7</v>
      </c>
      <c r="C5" s="285">
        <v>9</v>
      </c>
      <c r="D5" s="43"/>
      <c r="E5" s="43"/>
      <c r="F5" s="43"/>
      <c r="G5" s="43"/>
    </row>
    <row r="6" spans="1:20" ht="16">
      <c r="A6" s="285">
        <v>5</v>
      </c>
      <c r="B6" s="285">
        <v>5</v>
      </c>
      <c r="C6" s="285">
        <v>8</v>
      </c>
      <c r="D6" s="43"/>
      <c r="E6" s="43"/>
      <c r="F6" s="43"/>
      <c r="G6" s="43"/>
    </row>
    <row r="7" spans="1:20" ht="17" thickBot="1">
      <c r="A7" s="285">
        <v>4</v>
      </c>
      <c r="B7" s="285">
        <v>6</v>
      </c>
      <c r="C7" s="285">
        <v>9</v>
      </c>
      <c r="D7" s="43"/>
      <c r="E7" s="43"/>
      <c r="F7" s="43"/>
      <c r="G7" s="43"/>
    </row>
    <row r="8" spans="1:20" ht="16">
      <c r="A8" s="43"/>
      <c r="B8" s="43"/>
      <c r="C8" s="43"/>
      <c r="D8" s="43"/>
      <c r="E8" s="43"/>
      <c r="F8" s="43"/>
      <c r="G8" s="43"/>
      <c r="O8" s="605" t="s">
        <v>746</v>
      </c>
      <c r="P8" s="606"/>
      <c r="Q8" s="606"/>
      <c r="R8" s="606"/>
      <c r="S8" s="606"/>
      <c r="T8" s="607"/>
    </row>
    <row r="9" spans="1:20">
      <c r="O9" s="608"/>
      <c r="P9" s="609"/>
      <c r="Q9" s="609"/>
      <c r="R9" s="609"/>
      <c r="S9" s="609"/>
      <c r="T9" s="610"/>
    </row>
    <row r="10" spans="1:20">
      <c r="O10" s="608"/>
      <c r="P10" s="609"/>
      <c r="Q10" s="609"/>
      <c r="R10" s="609"/>
      <c r="S10" s="609"/>
      <c r="T10" s="610"/>
    </row>
    <row r="11" spans="1:20">
      <c r="O11" s="608"/>
      <c r="P11" s="609"/>
      <c r="Q11" s="609"/>
      <c r="R11" s="609"/>
      <c r="S11" s="609"/>
      <c r="T11" s="610"/>
    </row>
    <row r="12" spans="1:20">
      <c r="O12" s="608"/>
      <c r="P12" s="609"/>
      <c r="Q12" s="609"/>
      <c r="R12" s="609"/>
      <c r="S12" s="609"/>
      <c r="T12" s="610"/>
    </row>
    <row r="13" spans="1:20">
      <c r="O13" s="608"/>
      <c r="P13" s="609"/>
      <c r="Q13" s="609"/>
      <c r="R13" s="609"/>
      <c r="S13" s="609"/>
      <c r="T13" s="610"/>
    </row>
    <row r="14" spans="1:20">
      <c r="O14" s="608"/>
      <c r="P14" s="609"/>
      <c r="Q14" s="609"/>
      <c r="R14" s="609"/>
      <c r="S14" s="609"/>
      <c r="T14" s="610"/>
    </row>
    <row r="15" spans="1:20">
      <c r="O15" s="608"/>
      <c r="P15" s="609"/>
      <c r="Q15" s="609"/>
      <c r="R15" s="609"/>
      <c r="S15" s="609"/>
      <c r="T15" s="610"/>
    </row>
    <row r="16" spans="1:20">
      <c r="O16" s="608"/>
      <c r="P16" s="609"/>
      <c r="Q16" s="609"/>
      <c r="R16" s="609"/>
      <c r="S16" s="609"/>
      <c r="T16" s="610"/>
    </row>
    <row r="17" spans="15:20">
      <c r="O17" s="608"/>
      <c r="P17" s="609"/>
      <c r="Q17" s="609"/>
      <c r="R17" s="609"/>
      <c r="S17" s="609"/>
      <c r="T17" s="610"/>
    </row>
    <row r="18" spans="15:20">
      <c r="O18" s="608"/>
      <c r="P18" s="609"/>
      <c r="Q18" s="609"/>
      <c r="R18" s="609"/>
      <c r="S18" s="609"/>
      <c r="T18" s="610"/>
    </row>
    <row r="19" spans="15:20" ht="14" thickBot="1">
      <c r="O19" s="611"/>
      <c r="P19" s="612"/>
      <c r="Q19" s="612"/>
      <c r="R19" s="612"/>
      <c r="S19" s="612"/>
      <c r="T19" s="613"/>
    </row>
    <row r="20" spans="15:20" ht="16">
      <c r="O20"/>
      <c r="P20"/>
      <c r="Q20"/>
      <c r="R20"/>
      <c r="S20"/>
      <c r="T20"/>
    </row>
    <row r="21" spans="15:20" ht="16">
      <c r="O21"/>
      <c r="P21"/>
      <c r="Q21"/>
      <c r="R21"/>
      <c r="S21"/>
      <c r="T21"/>
    </row>
    <row r="22" spans="15:20" ht="37">
      <c r="O22" s="343" t="s">
        <v>741</v>
      </c>
      <c r="P22"/>
      <c r="Q22"/>
      <c r="R22"/>
      <c r="S22"/>
      <c r="T22"/>
    </row>
  </sheetData>
  <mergeCells count="1">
    <mergeCell ref="O8:T19"/>
  </mergeCells>
  <pageMargins left="0.75" right="0.75" top="1" bottom="1" header="0.5" footer="0.5"/>
  <pageSetup paperSize="0" orientation="portrait" horizontalDpi="4294967292" verticalDpi="4294967292"/>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8CBAD-5E03-A248-B8A8-C8BA313F84E3}">
  <dimension ref="A1:J46"/>
  <sheetViews>
    <sheetView zoomScaleNormal="100" workbookViewId="0">
      <selection activeCell="L34" sqref="L34"/>
    </sheetView>
  </sheetViews>
  <sheetFormatPr baseColWidth="10" defaultRowHeight="13"/>
  <cols>
    <col min="1" max="5" width="10.83203125" style="25"/>
    <col min="6" max="6" width="10.83203125" style="25" customWidth="1"/>
    <col min="7" max="7" width="17.33203125" style="25" bestFit="1" customWidth="1"/>
    <col min="8" max="262" width="10.83203125" style="25"/>
    <col min="263" max="263" width="17.33203125" style="25" bestFit="1" customWidth="1"/>
    <col min="264" max="518" width="10.83203125" style="25"/>
    <col min="519" max="519" width="17.33203125" style="25" bestFit="1" customWidth="1"/>
    <col min="520" max="774" width="10.83203125" style="25"/>
    <col min="775" max="775" width="17.33203125" style="25" bestFit="1" customWidth="1"/>
    <col min="776" max="1030" width="10.83203125" style="25"/>
    <col min="1031" max="1031" width="17.33203125" style="25" bestFit="1" customWidth="1"/>
    <col min="1032" max="1286" width="10.83203125" style="25"/>
    <col min="1287" max="1287" width="17.33203125" style="25" bestFit="1" customWidth="1"/>
    <col min="1288" max="1542" width="10.83203125" style="25"/>
    <col min="1543" max="1543" width="17.33203125" style="25" bestFit="1" customWidth="1"/>
    <col min="1544" max="1798" width="10.83203125" style="25"/>
    <col min="1799" max="1799" width="17.33203125" style="25" bestFit="1" customWidth="1"/>
    <col min="1800" max="2054" width="10.83203125" style="25"/>
    <col min="2055" max="2055" width="17.33203125" style="25" bestFit="1" customWidth="1"/>
    <col min="2056" max="2310" width="10.83203125" style="25"/>
    <col min="2311" max="2311" width="17.33203125" style="25" bestFit="1" customWidth="1"/>
    <col min="2312" max="2566" width="10.83203125" style="25"/>
    <col min="2567" max="2567" width="17.33203125" style="25" bestFit="1" customWidth="1"/>
    <col min="2568" max="2822" width="10.83203125" style="25"/>
    <col min="2823" max="2823" width="17.33203125" style="25" bestFit="1" customWidth="1"/>
    <col min="2824" max="3078" width="10.83203125" style="25"/>
    <col min="3079" max="3079" width="17.33203125" style="25" bestFit="1" customWidth="1"/>
    <col min="3080" max="3334" width="10.83203125" style="25"/>
    <col min="3335" max="3335" width="17.33203125" style="25" bestFit="1" customWidth="1"/>
    <col min="3336" max="3590" width="10.83203125" style="25"/>
    <col min="3591" max="3591" width="17.33203125" style="25" bestFit="1" customWidth="1"/>
    <col min="3592" max="3846" width="10.83203125" style="25"/>
    <col min="3847" max="3847" width="17.33203125" style="25" bestFit="1" customWidth="1"/>
    <col min="3848" max="4102" width="10.83203125" style="25"/>
    <col min="4103" max="4103" width="17.33203125" style="25" bestFit="1" customWidth="1"/>
    <col min="4104" max="4358" width="10.83203125" style="25"/>
    <col min="4359" max="4359" width="17.33203125" style="25" bestFit="1" customWidth="1"/>
    <col min="4360" max="4614" width="10.83203125" style="25"/>
    <col min="4615" max="4615" width="17.33203125" style="25" bestFit="1" customWidth="1"/>
    <col min="4616" max="4870" width="10.83203125" style="25"/>
    <col min="4871" max="4871" width="17.33203125" style="25" bestFit="1" customWidth="1"/>
    <col min="4872" max="5126" width="10.83203125" style="25"/>
    <col min="5127" max="5127" width="17.33203125" style="25" bestFit="1" customWidth="1"/>
    <col min="5128" max="5382" width="10.83203125" style="25"/>
    <col min="5383" max="5383" width="17.33203125" style="25" bestFit="1" customWidth="1"/>
    <col min="5384" max="5638" width="10.83203125" style="25"/>
    <col min="5639" max="5639" width="17.33203125" style="25" bestFit="1" customWidth="1"/>
    <col min="5640" max="5894" width="10.83203125" style="25"/>
    <col min="5895" max="5895" width="17.33203125" style="25" bestFit="1" customWidth="1"/>
    <col min="5896" max="6150" width="10.83203125" style="25"/>
    <col min="6151" max="6151" width="17.33203125" style="25" bestFit="1" customWidth="1"/>
    <col min="6152" max="6406" width="10.83203125" style="25"/>
    <col min="6407" max="6407" width="17.33203125" style="25" bestFit="1" customWidth="1"/>
    <col min="6408" max="6662" width="10.83203125" style="25"/>
    <col min="6663" max="6663" width="17.33203125" style="25" bestFit="1" customWidth="1"/>
    <col min="6664" max="6918" width="10.83203125" style="25"/>
    <col min="6919" max="6919" width="17.33203125" style="25" bestFit="1" customWidth="1"/>
    <col min="6920" max="7174" width="10.83203125" style="25"/>
    <col min="7175" max="7175" width="17.33203125" style="25" bestFit="1" customWidth="1"/>
    <col min="7176" max="7430" width="10.83203125" style="25"/>
    <col min="7431" max="7431" width="17.33203125" style="25" bestFit="1" customWidth="1"/>
    <col min="7432" max="7686" width="10.83203125" style="25"/>
    <col min="7687" max="7687" width="17.33203125" style="25" bestFit="1" customWidth="1"/>
    <col min="7688" max="7942" width="10.83203125" style="25"/>
    <col min="7943" max="7943" width="17.33203125" style="25" bestFit="1" customWidth="1"/>
    <col min="7944" max="8198" width="10.83203125" style="25"/>
    <col min="8199" max="8199" width="17.33203125" style="25" bestFit="1" customWidth="1"/>
    <col min="8200" max="8454" width="10.83203125" style="25"/>
    <col min="8455" max="8455" width="17.33203125" style="25" bestFit="1" customWidth="1"/>
    <col min="8456" max="8710" width="10.83203125" style="25"/>
    <col min="8711" max="8711" width="17.33203125" style="25" bestFit="1" customWidth="1"/>
    <col min="8712" max="8966" width="10.83203125" style="25"/>
    <col min="8967" max="8967" width="17.33203125" style="25" bestFit="1" customWidth="1"/>
    <col min="8968" max="9222" width="10.83203125" style="25"/>
    <col min="9223" max="9223" width="17.33203125" style="25" bestFit="1" customWidth="1"/>
    <col min="9224" max="9478" width="10.83203125" style="25"/>
    <col min="9479" max="9479" width="17.33203125" style="25" bestFit="1" customWidth="1"/>
    <col min="9480" max="9734" width="10.83203125" style="25"/>
    <col min="9735" max="9735" width="17.33203125" style="25" bestFit="1" customWidth="1"/>
    <col min="9736" max="9990" width="10.83203125" style="25"/>
    <col min="9991" max="9991" width="17.33203125" style="25" bestFit="1" customWidth="1"/>
    <col min="9992" max="10246" width="10.83203125" style="25"/>
    <col min="10247" max="10247" width="17.33203125" style="25" bestFit="1" customWidth="1"/>
    <col min="10248" max="10502" width="10.83203125" style="25"/>
    <col min="10503" max="10503" width="17.33203125" style="25" bestFit="1" customWidth="1"/>
    <col min="10504" max="10758" width="10.83203125" style="25"/>
    <col min="10759" max="10759" width="17.33203125" style="25" bestFit="1" customWidth="1"/>
    <col min="10760" max="11014" width="10.83203125" style="25"/>
    <col min="11015" max="11015" width="17.33203125" style="25" bestFit="1" customWidth="1"/>
    <col min="11016" max="11270" width="10.83203125" style="25"/>
    <col min="11271" max="11271" width="17.33203125" style="25" bestFit="1" customWidth="1"/>
    <col min="11272" max="11526" width="10.83203125" style="25"/>
    <col min="11527" max="11527" width="17.33203125" style="25" bestFit="1" customWidth="1"/>
    <col min="11528" max="11782" width="10.83203125" style="25"/>
    <col min="11783" max="11783" width="17.33203125" style="25" bestFit="1" customWidth="1"/>
    <col min="11784" max="12038" width="10.83203125" style="25"/>
    <col min="12039" max="12039" width="17.33203125" style="25" bestFit="1" customWidth="1"/>
    <col min="12040" max="12294" width="10.83203125" style="25"/>
    <col min="12295" max="12295" width="17.33203125" style="25" bestFit="1" customWidth="1"/>
    <col min="12296" max="12550" width="10.83203125" style="25"/>
    <col min="12551" max="12551" width="17.33203125" style="25" bestFit="1" customWidth="1"/>
    <col min="12552" max="12806" width="10.83203125" style="25"/>
    <col min="12807" max="12807" width="17.33203125" style="25" bestFit="1" customWidth="1"/>
    <col min="12808" max="13062" width="10.83203125" style="25"/>
    <col min="13063" max="13063" width="17.33203125" style="25" bestFit="1" customWidth="1"/>
    <col min="13064" max="13318" width="10.83203125" style="25"/>
    <col min="13319" max="13319" width="17.33203125" style="25" bestFit="1" customWidth="1"/>
    <col min="13320" max="13574" width="10.83203125" style="25"/>
    <col min="13575" max="13575" width="17.33203125" style="25" bestFit="1" customWidth="1"/>
    <col min="13576" max="13830" width="10.83203125" style="25"/>
    <col min="13831" max="13831" width="17.33203125" style="25" bestFit="1" customWidth="1"/>
    <col min="13832" max="14086" width="10.83203125" style="25"/>
    <col min="14087" max="14087" width="17.33203125" style="25" bestFit="1" customWidth="1"/>
    <col min="14088" max="14342" width="10.83203125" style="25"/>
    <col min="14343" max="14343" width="17.33203125" style="25" bestFit="1" customWidth="1"/>
    <col min="14344" max="14598" width="10.83203125" style="25"/>
    <col min="14599" max="14599" width="17.33203125" style="25" bestFit="1" customWidth="1"/>
    <col min="14600" max="14854" width="10.83203125" style="25"/>
    <col min="14855" max="14855" width="17.33203125" style="25" bestFit="1" customWidth="1"/>
    <col min="14856" max="15110" width="10.83203125" style="25"/>
    <col min="15111" max="15111" width="17.33203125" style="25" bestFit="1" customWidth="1"/>
    <col min="15112" max="15366" width="10.83203125" style="25"/>
    <col min="15367" max="15367" width="17.33203125" style="25" bestFit="1" customWidth="1"/>
    <col min="15368" max="15622" width="10.83203125" style="25"/>
    <col min="15623" max="15623" width="17.33203125" style="25" bestFit="1" customWidth="1"/>
    <col min="15624" max="15878" width="10.83203125" style="25"/>
    <col min="15879" max="15879" width="17.33203125" style="25" bestFit="1" customWidth="1"/>
    <col min="15880" max="16134" width="10.83203125" style="25"/>
    <col min="16135" max="16135" width="17.33203125" style="25" bestFit="1" customWidth="1"/>
    <col min="16136" max="16384" width="10.83203125" style="25"/>
  </cols>
  <sheetData>
    <row r="1" spans="1:10" ht="15">
      <c r="A1" s="24"/>
      <c r="B1" s="24"/>
      <c r="C1" s="24"/>
      <c r="D1" s="24" t="s">
        <v>99</v>
      </c>
      <c r="E1" s="24">
        <v>10000</v>
      </c>
      <c r="F1" s="24" t="s">
        <v>100</v>
      </c>
      <c r="G1" s="24"/>
      <c r="H1" s="24"/>
      <c r="I1" s="24"/>
      <c r="J1" s="24"/>
    </row>
    <row r="2" spans="1:10" ht="15">
      <c r="A2" s="24"/>
      <c r="B2" s="24"/>
      <c r="C2" s="24"/>
      <c r="D2" s="24" t="s">
        <v>0</v>
      </c>
      <c r="E2" s="26">
        <v>0.03</v>
      </c>
      <c r="F2" s="24"/>
      <c r="G2" s="24"/>
      <c r="H2" s="24"/>
      <c r="I2" s="24"/>
      <c r="J2" s="24"/>
    </row>
    <row r="3" spans="1:10" ht="15">
      <c r="A3" s="24"/>
      <c r="B3" s="24"/>
      <c r="C3" s="24"/>
      <c r="D3" s="24" t="s">
        <v>55</v>
      </c>
      <c r="E3" s="26">
        <v>0.08</v>
      </c>
      <c r="F3" s="24"/>
      <c r="G3" s="24"/>
      <c r="H3" s="24"/>
      <c r="I3" s="24"/>
      <c r="J3" s="24"/>
    </row>
    <row r="4" spans="1:10" ht="15">
      <c r="A4" s="24"/>
      <c r="B4" s="24"/>
      <c r="C4" s="24"/>
      <c r="D4" s="24" t="s">
        <v>101</v>
      </c>
      <c r="E4" s="24">
        <v>50</v>
      </c>
      <c r="F4" s="24"/>
      <c r="G4" s="24"/>
      <c r="H4" s="24"/>
      <c r="I4" s="24"/>
      <c r="J4" s="24"/>
    </row>
    <row r="5" spans="1:10" ht="15">
      <c r="A5" s="24"/>
      <c r="B5" s="24"/>
      <c r="C5" s="24"/>
      <c r="D5" s="24" t="s">
        <v>5</v>
      </c>
      <c r="E5" s="24">
        <v>1</v>
      </c>
      <c r="F5" s="24"/>
      <c r="G5" s="24"/>
      <c r="H5" s="24"/>
      <c r="I5" s="24"/>
      <c r="J5" s="24"/>
    </row>
    <row r="6" spans="1:10" ht="15">
      <c r="A6" s="24"/>
      <c r="B6" s="24"/>
      <c r="C6" s="24"/>
      <c r="D6" s="24"/>
      <c r="E6" s="24"/>
      <c r="F6" s="24"/>
      <c r="G6" s="24"/>
      <c r="H6" s="24"/>
      <c r="I6" s="24"/>
      <c r="J6" s="24"/>
    </row>
    <row r="7" spans="1:10" ht="16" thickBot="1">
      <c r="A7" s="24"/>
      <c r="B7" s="24"/>
      <c r="C7" s="24"/>
      <c r="D7" s="24"/>
      <c r="E7" s="24"/>
      <c r="F7" s="24"/>
      <c r="G7" s="24"/>
      <c r="H7" s="24"/>
      <c r="I7" s="24"/>
      <c r="J7" s="24"/>
    </row>
    <row r="8" spans="1:10" ht="15">
      <c r="A8" s="24"/>
      <c r="B8" s="399" t="s">
        <v>21</v>
      </c>
      <c r="C8" s="400"/>
      <c r="D8" s="400" t="s">
        <v>16</v>
      </c>
      <c r="E8" s="400" t="s">
        <v>17</v>
      </c>
      <c r="F8" s="400" t="s">
        <v>18</v>
      </c>
      <c r="G8" s="400"/>
      <c r="H8" s="401"/>
      <c r="I8" s="24"/>
      <c r="J8" s="24"/>
    </row>
    <row r="9" spans="1:10" ht="15">
      <c r="A9" s="24"/>
      <c r="B9" s="402"/>
      <c r="C9" s="24"/>
      <c r="D9" s="24">
        <v>0.01</v>
      </c>
      <c r="E9" s="24">
        <f>D9*$E$4</f>
        <v>0.5</v>
      </c>
      <c r="F9" s="403">
        <f>POISSON($E$5,E9,TRUE)</f>
        <v>0.90979598956895014</v>
      </c>
      <c r="G9" s="24"/>
      <c r="H9" s="404"/>
      <c r="I9" s="418" t="s">
        <v>793</v>
      </c>
      <c r="J9" s="24"/>
    </row>
    <row r="10" spans="1:10" ht="15">
      <c r="A10" s="24"/>
      <c r="B10" s="402"/>
      <c r="C10" s="24"/>
      <c r="D10" s="24">
        <v>0.02</v>
      </c>
      <c r="E10" s="24">
        <f t="shared" ref="E10:E20" si="0">D10*$E$4</f>
        <v>1</v>
      </c>
      <c r="F10" s="403">
        <f t="shared" ref="F10:F20" si="1">POISSON($E$5,E10,TRUE)</f>
        <v>0.73575888234288478</v>
      </c>
      <c r="G10" s="24"/>
      <c r="H10" s="404"/>
      <c r="I10" s="24"/>
      <c r="J10" s="24"/>
    </row>
    <row r="11" spans="1:10" ht="15">
      <c r="A11" s="24"/>
      <c r="B11" s="402"/>
      <c r="C11" s="405" t="s">
        <v>0</v>
      </c>
      <c r="D11" s="405">
        <v>0.03</v>
      </c>
      <c r="E11" s="405">
        <f t="shared" si="0"/>
        <v>1.5</v>
      </c>
      <c r="F11" s="406">
        <f t="shared" si="1"/>
        <v>0.55782540037107464</v>
      </c>
      <c r="G11" s="24" t="s">
        <v>102</v>
      </c>
      <c r="H11" s="404"/>
      <c r="I11" s="24"/>
      <c r="J11" s="24"/>
    </row>
    <row r="12" spans="1:10" ht="15">
      <c r="A12" s="24"/>
      <c r="B12" s="402"/>
      <c r="C12" s="24"/>
      <c r="D12" s="24">
        <v>0.04</v>
      </c>
      <c r="E12" s="24">
        <f t="shared" si="0"/>
        <v>2</v>
      </c>
      <c r="F12" s="403">
        <f t="shared" si="1"/>
        <v>0.40600584970983811</v>
      </c>
      <c r="G12" s="407" t="s">
        <v>103</v>
      </c>
      <c r="H12" s="408">
        <f>1-F11</f>
        <v>0.44217459962892536</v>
      </c>
      <c r="I12" s="24"/>
      <c r="J12" s="24"/>
    </row>
    <row r="13" spans="1:10" ht="15">
      <c r="A13" s="24"/>
      <c r="B13" s="402"/>
      <c r="C13" s="24"/>
      <c r="D13" s="24">
        <v>0.05</v>
      </c>
      <c r="E13" s="24">
        <f t="shared" si="0"/>
        <v>2.5</v>
      </c>
      <c r="F13" s="403">
        <f t="shared" si="1"/>
        <v>0.28729749518364578</v>
      </c>
      <c r="G13" s="24"/>
      <c r="H13" s="404"/>
      <c r="I13" s="24"/>
      <c r="J13" s="24"/>
    </row>
    <row r="14" spans="1:10" ht="15">
      <c r="A14" s="24"/>
      <c r="B14" s="402"/>
      <c r="C14" s="24"/>
      <c r="D14" s="24">
        <v>0.06</v>
      </c>
      <c r="E14" s="24">
        <f t="shared" si="0"/>
        <v>3</v>
      </c>
      <c r="F14" s="403">
        <f t="shared" si="1"/>
        <v>0.19914827347145578</v>
      </c>
      <c r="G14" s="24"/>
      <c r="H14" s="404"/>
      <c r="I14" s="24"/>
      <c r="J14" s="24"/>
    </row>
    <row r="15" spans="1:10" ht="15">
      <c r="A15" s="24"/>
      <c r="B15" s="402"/>
      <c r="C15" s="24"/>
      <c r="D15" s="24">
        <v>7.0000000000000007E-2</v>
      </c>
      <c r="E15" s="24">
        <f t="shared" si="0"/>
        <v>3.5000000000000004</v>
      </c>
      <c r="F15" s="403">
        <f t="shared" si="1"/>
        <v>0.13588822540043319</v>
      </c>
      <c r="G15" s="24"/>
      <c r="H15" s="404"/>
      <c r="I15" s="24"/>
      <c r="J15" s="24"/>
    </row>
    <row r="16" spans="1:10" ht="15">
      <c r="A16" s="24"/>
      <c r="B16" s="402"/>
      <c r="C16" s="405" t="s">
        <v>55</v>
      </c>
      <c r="D16" s="405">
        <v>0.08</v>
      </c>
      <c r="E16" s="405">
        <f t="shared" si="0"/>
        <v>4</v>
      </c>
      <c r="F16" s="406">
        <f t="shared" si="1"/>
        <v>9.1578194443670893E-2</v>
      </c>
      <c r="G16" s="407" t="s">
        <v>104</v>
      </c>
      <c r="H16" s="408">
        <f>F16</f>
        <v>9.1578194443670893E-2</v>
      </c>
      <c r="I16" s="24"/>
      <c r="J16" s="24"/>
    </row>
    <row r="17" spans="1:10" ht="15">
      <c r="A17" s="24"/>
      <c r="B17" s="402"/>
      <c r="C17" s="24"/>
      <c r="D17" s="24">
        <v>0.09</v>
      </c>
      <c r="E17" s="24">
        <f t="shared" si="0"/>
        <v>4.5</v>
      </c>
      <c r="F17" s="403">
        <f t="shared" si="1"/>
        <v>6.1099480960332686E-2</v>
      </c>
      <c r="G17" s="24"/>
      <c r="H17" s="404"/>
      <c r="I17" s="24"/>
      <c r="J17" s="24"/>
    </row>
    <row r="18" spans="1:10" ht="15">
      <c r="A18" s="24"/>
      <c r="B18" s="402"/>
      <c r="C18" s="24"/>
      <c r="D18" s="24">
        <v>0.1</v>
      </c>
      <c r="E18" s="24">
        <f t="shared" si="0"/>
        <v>5</v>
      </c>
      <c r="F18" s="403">
        <f t="shared" si="1"/>
        <v>4.0427681994512799E-2</v>
      </c>
      <c r="G18" s="24"/>
      <c r="H18" s="404"/>
      <c r="I18" s="24"/>
      <c r="J18" s="24"/>
    </row>
    <row r="19" spans="1:10" ht="15">
      <c r="A19" s="24"/>
      <c r="B19" s="402"/>
      <c r="C19" s="24"/>
      <c r="D19" s="24">
        <v>0.11</v>
      </c>
      <c r="E19" s="24">
        <f t="shared" si="0"/>
        <v>5.5</v>
      </c>
      <c r="F19" s="403">
        <f t="shared" si="1"/>
        <v>2.6564014350016433E-2</v>
      </c>
      <c r="G19" s="24"/>
      <c r="H19" s="404"/>
      <c r="I19" s="24"/>
      <c r="J19" s="24"/>
    </row>
    <row r="20" spans="1:10" ht="16" thickBot="1">
      <c r="A20" s="24"/>
      <c r="B20" s="409"/>
      <c r="C20" s="410"/>
      <c r="D20" s="410">
        <v>0.12</v>
      </c>
      <c r="E20" s="410">
        <f t="shared" si="0"/>
        <v>6</v>
      </c>
      <c r="F20" s="411">
        <f t="shared" si="1"/>
        <v>1.7351265236664509E-2</v>
      </c>
      <c r="G20" s="410"/>
      <c r="H20" s="412"/>
      <c r="I20" s="24"/>
      <c r="J20" s="24"/>
    </row>
    <row r="21" spans="1:10" ht="15">
      <c r="A21" s="24"/>
      <c r="B21" s="24"/>
      <c r="C21" s="24"/>
      <c r="D21" s="24"/>
      <c r="E21" s="24"/>
      <c r="F21" s="24"/>
      <c r="G21" s="24"/>
      <c r="H21" s="24"/>
      <c r="I21" s="24"/>
      <c r="J21" s="24"/>
    </row>
    <row r="22" spans="1:10" ht="16" thickBot="1">
      <c r="A22" s="24"/>
      <c r="B22" s="24"/>
      <c r="C22" s="24"/>
      <c r="D22" s="24"/>
      <c r="E22" s="24"/>
      <c r="F22" s="24"/>
      <c r="G22" s="24"/>
      <c r="H22" s="24"/>
      <c r="I22" s="24"/>
      <c r="J22" s="24"/>
    </row>
    <row r="23" spans="1:10" ht="16" thickBot="1">
      <c r="A23" s="24"/>
      <c r="B23" s="413" t="s">
        <v>23</v>
      </c>
      <c r="C23" s="414" t="s">
        <v>105</v>
      </c>
      <c r="D23" s="414"/>
      <c r="E23" s="414"/>
      <c r="F23" s="415"/>
      <c r="G23" s="418" t="s">
        <v>793</v>
      </c>
      <c r="H23" s="24"/>
      <c r="I23" s="24"/>
      <c r="J23" s="24"/>
    </row>
    <row r="24" spans="1:10" ht="16" thickBot="1">
      <c r="A24" s="24"/>
      <c r="B24" s="24"/>
      <c r="C24" s="24"/>
      <c r="D24" s="24"/>
      <c r="E24" s="24"/>
      <c r="F24" s="24"/>
      <c r="G24" s="24"/>
      <c r="H24" s="24"/>
      <c r="I24" s="24"/>
      <c r="J24" s="24"/>
    </row>
    <row r="25" spans="1:10" ht="15">
      <c r="A25" s="24"/>
      <c r="B25" s="399" t="s">
        <v>60</v>
      </c>
      <c r="C25" s="400" t="s">
        <v>102</v>
      </c>
      <c r="D25" s="400">
        <v>0.78</v>
      </c>
      <c r="E25" s="400"/>
      <c r="F25" s="401" t="s">
        <v>106</v>
      </c>
      <c r="G25" s="418" t="s">
        <v>793</v>
      </c>
      <c r="H25" s="24"/>
      <c r="I25" s="24"/>
      <c r="J25" s="24"/>
    </row>
    <row r="26" spans="1:10" ht="15">
      <c r="A26" s="24"/>
      <c r="B26" s="402"/>
      <c r="C26" s="24" t="s">
        <v>107</v>
      </c>
      <c r="D26" s="24">
        <v>0.09</v>
      </c>
      <c r="E26" s="24"/>
      <c r="F26" s="404" t="s">
        <v>108</v>
      </c>
      <c r="G26" s="24"/>
      <c r="H26" s="24"/>
      <c r="I26" s="24"/>
      <c r="J26" s="24"/>
    </row>
    <row r="27" spans="1:10" ht="15">
      <c r="A27" s="24"/>
      <c r="B27" s="402"/>
      <c r="C27" s="24"/>
      <c r="D27" s="24"/>
      <c r="E27" s="24"/>
      <c r="F27" s="404"/>
      <c r="G27" s="24"/>
      <c r="H27" s="24"/>
      <c r="I27" s="24"/>
      <c r="J27" s="24"/>
    </row>
    <row r="28" spans="1:10" ht="15">
      <c r="A28" s="24"/>
      <c r="B28" s="402"/>
      <c r="C28" s="24"/>
      <c r="D28" s="24"/>
      <c r="E28" s="24"/>
      <c r="F28" s="404"/>
      <c r="G28" s="24"/>
      <c r="H28" s="24"/>
      <c r="I28" s="24"/>
      <c r="J28" s="24"/>
    </row>
    <row r="29" spans="1:10" ht="15">
      <c r="A29" s="24"/>
      <c r="B29" s="402" t="s">
        <v>109</v>
      </c>
      <c r="C29" s="24" t="s">
        <v>5</v>
      </c>
      <c r="D29" s="24" t="s">
        <v>110</v>
      </c>
      <c r="E29" s="24" t="s">
        <v>55</v>
      </c>
      <c r="F29" s="404" t="s">
        <v>101</v>
      </c>
      <c r="G29" s="24"/>
      <c r="H29" s="24"/>
      <c r="I29" s="24"/>
      <c r="J29" s="24"/>
    </row>
    <row r="30" spans="1:10" ht="15">
      <c r="A30" s="24"/>
      <c r="B30" s="402"/>
      <c r="C30" s="24">
        <v>0</v>
      </c>
      <c r="D30" s="24">
        <v>2.4</v>
      </c>
      <c r="E30" s="24">
        <v>0.08</v>
      </c>
      <c r="F30" s="416">
        <f>D30/E30</f>
        <v>30</v>
      </c>
      <c r="G30" s="24"/>
      <c r="H30" s="24"/>
      <c r="I30" s="24"/>
      <c r="J30" s="24"/>
    </row>
    <row r="31" spans="1:10" ht="15">
      <c r="A31" s="24"/>
      <c r="B31" s="402"/>
      <c r="C31" s="24">
        <v>1</v>
      </c>
      <c r="D31" s="24">
        <v>4</v>
      </c>
      <c r="E31" s="24">
        <v>0.08</v>
      </c>
      <c r="F31" s="416">
        <f>D31/E31</f>
        <v>50</v>
      </c>
      <c r="G31" s="24"/>
      <c r="H31" s="24"/>
      <c r="I31" s="24"/>
      <c r="J31" s="24"/>
    </row>
    <row r="32" spans="1:10" ht="15">
      <c r="A32" s="24"/>
      <c r="B32" s="402"/>
      <c r="C32" s="24">
        <v>2</v>
      </c>
      <c r="D32" s="24">
        <v>5.45</v>
      </c>
      <c r="E32" s="24">
        <v>0.08</v>
      </c>
      <c r="F32" s="416">
        <f>D32/E32</f>
        <v>68.125</v>
      </c>
      <c r="G32" s="24"/>
      <c r="H32" s="24"/>
      <c r="I32" s="24"/>
      <c r="J32" s="24"/>
    </row>
    <row r="33" spans="1:10" ht="15">
      <c r="A33" s="24"/>
      <c r="B33" s="402"/>
      <c r="C33" s="24">
        <v>3</v>
      </c>
      <c r="D33" s="24">
        <v>6.85</v>
      </c>
      <c r="E33" s="24">
        <v>0.08</v>
      </c>
      <c r="F33" s="416">
        <f>D33/E33</f>
        <v>85.625</v>
      </c>
      <c r="G33" s="24"/>
      <c r="H33" s="24"/>
      <c r="I33" s="24"/>
      <c r="J33" s="24"/>
    </row>
    <row r="34" spans="1:10" ht="15">
      <c r="A34" s="24"/>
      <c r="B34" s="402"/>
      <c r="C34" s="24">
        <v>4</v>
      </c>
      <c r="D34" s="24">
        <v>8.1999999999999993</v>
      </c>
      <c r="E34" s="24">
        <v>0.08</v>
      </c>
      <c r="F34" s="416">
        <f>D34/E34</f>
        <v>102.49999999999999</v>
      </c>
      <c r="G34" s="24"/>
      <c r="H34" s="24"/>
      <c r="I34" s="24"/>
      <c r="J34" s="24"/>
    </row>
    <row r="35" spans="1:10" ht="15">
      <c r="A35" s="24"/>
      <c r="B35" s="402"/>
      <c r="C35" s="24"/>
      <c r="D35" s="24"/>
      <c r="E35" s="24"/>
      <c r="F35" s="404"/>
      <c r="G35" s="24"/>
      <c r="H35" s="24"/>
      <c r="I35" s="24"/>
      <c r="J35" s="24"/>
    </row>
    <row r="36" spans="1:10" ht="15">
      <c r="A36" s="24"/>
      <c r="B36" s="402"/>
      <c r="C36" s="24"/>
      <c r="D36" s="24"/>
      <c r="E36" s="24"/>
      <c r="F36" s="404"/>
      <c r="G36" s="24"/>
      <c r="H36" s="24"/>
      <c r="I36" s="24"/>
      <c r="J36" s="24"/>
    </row>
    <row r="37" spans="1:10" ht="15">
      <c r="A37" s="24"/>
      <c r="B37" s="402" t="s">
        <v>111</v>
      </c>
      <c r="C37" s="24" t="s">
        <v>5</v>
      </c>
      <c r="D37" s="24" t="s">
        <v>110</v>
      </c>
      <c r="E37" s="24" t="s">
        <v>0</v>
      </c>
      <c r="F37" s="404" t="s">
        <v>101</v>
      </c>
      <c r="G37" s="24"/>
      <c r="H37" s="24"/>
      <c r="I37" s="24"/>
      <c r="J37" s="24"/>
    </row>
    <row r="38" spans="1:10" ht="15">
      <c r="A38" s="24"/>
      <c r="B38" s="402"/>
      <c r="C38" s="24">
        <v>0</v>
      </c>
      <c r="D38" s="24">
        <v>0.25</v>
      </c>
      <c r="E38" s="24">
        <v>0.03</v>
      </c>
      <c r="F38" s="416">
        <f>D38/E38</f>
        <v>8.3333333333333339</v>
      </c>
      <c r="G38" s="24"/>
      <c r="H38" s="24"/>
      <c r="I38" s="24"/>
      <c r="J38" s="24"/>
    </row>
    <row r="39" spans="1:10" ht="15">
      <c r="A39" s="24"/>
      <c r="B39" s="402"/>
      <c r="C39" s="24">
        <v>1</v>
      </c>
      <c r="D39" s="24">
        <v>0.9</v>
      </c>
      <c r="E39" s="24">
        <v>0.03</v>
      </c>
      <c r="F39" s="416">
        <f>D39/E39</f>
        <v>30.000000000000004</v>
      </c>
      <c r="G39" s="24"/>
      <c r="H39" s="24"/>
      <c r="I39" s="24"/>
      <c r="J39" s="24"/>
    </row>
    <row r="40" spans="1:10" ht="15">
      <c r="A40" s="24"/>
      <c r="B40" s="402"/>
      <c r="C40" s="24">
        <v>2</v>
      </c>
      <c r="D40" s="24">
        <v>1.6</v>
      </c>
      <c r="E40" s="24">
        <v>0.03</v>
      </c>
      <c r="F40" s="416">
        <f>D40/E40</f>
        <v>53.333333333333336</v>
      </c>
      <c r="G40" s="24"/>
      <c r="H40" s="24"/>
      <c r="I40" s="24"/>
      <c r="J40" s="24"/>
    </row>
    <row r="41" spans="1:10" ht="15">
      <c r="A41" s="24"/>
      <c r="B41" s="402"/>
      <c r="C41" s="24">
        <v>3</v>
      </c>
      <c r="D41" s="24">
        <v>2.4</v>
      </c>
      <c r="E41" s="24">
        <v>0.03</v>
      </c>
      <c r="F41" s="416">
        <f>D41/E41</f>
        <v>80</v>
      </c>
      <c r="G41" s="24"/>
      <c r="H41" s="24"/>
      <c r="I41" s="24"/>
      <c r="J41" s="24"/>
    </row>
    <row r="42" spans="1:10" ht="16" thickBot="1">
      <c r="A42" s="24"/>
      <c r="B42" s="409"/>
      <c r="C42" s="410">
        <v>4</v>
      </c>
      <c r="D42" s="410">
        <v>3.2</v>
      </c>
      <c r="E42" s="410">
        <v>0.03</v>
      </c>
      <c r="F42" s="417">
        <f>D42/E42</f>
        <v>106.66666666666667</v>
      </c>
      <c r="G42" s="24"/>
      <c r="H42" s="24"/>
      <c r="I42" s="24"/>
      <c r="J42" s="24"/>
    </row>
    <row r="43" spans="1:10" ht="15">
      <c r="A43" s="24"/>
      <c r="B43" s="24"/>
      <c r="C43" s="24"/>
      <c r="D43" s="24"/>
      <c r="E43" s="24"/>
      <c r="F43" s="24"/>
      <c r="G43" s="24"/>
      <c r="H43" s="24"/>
      <c r="I43" s="24"/>
      <c r="J43" s="24"/>
    </row>
    <row r="44" spans="1:10" ht="15">
      <c r="A44" s="24"/>
      <c r="B44" s="24"/>
      <c r="C44" s="24"/>
      <c r="D44" s="24"/>
      <c r="E44" s="24"/>
      <c r="F44" s="24"/>
      <c r="G44" s="24"/>
      <c r="H44" s="24"/>
      <c r="I44" s="24"/>
      <c r="J44" s="24"/>
    </row>
    <row r="45" spans="1:10" ht="15">
      <c r="A45" s="24"/>
      <c r="B45" s="24"/>
      <c r="C45" s="24"/>
      <c r="D45" s="24"/>
      <c r="E45" s="24"/>
      <c r="F45" s="24"/>
      <c r="G45" s="24"/>
      <c r="H45" s="24"/>
      <c r="I45" s="24"/>
      <c r="J45" s="24"/>
    </row>
    <row r="46" spans="1:10" ht="15">
      <c r="A46" s="24"/>
      <c r="B46" s="24"/>
      <c r="C46" s="24"/>
      <c r="D46" s="24"/>
      <c r="E46" s="24"/>
      <c r="F46" s="24"/>
      <c r="G46" s="24"/>
      <c r="H46" s="24"/>
      <c r="I46" s="24"/>
      <c r="J46" s="24"/>
    </row>
  </sheetData>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6B6F5-A635-FD40-86F3-97CC0CA5248C}">
  <dimension ref="A2:S23"/>
  <sheetViews>
    <sheetView zoomScale="85" zoomScaleNormal="85" workbookViewId="0">
      <selection activeCell="N9" sqref="N9:S20"/>
    </sheetView>
  </sheetViews>
  <sheetFormatPr baseColWidth="10" defaultRowHeight="13"/>
  <cols>
    <col min="1" max="1" width="14" style="44" customWidth="1"/>
    <col min="2" max="256" width="10.83203125" style="44"/>
    <col min="257" max="257" width="16.6640625" style="44" customWidth="1"/>
    <col min="258" max="512" width="10.83203125" style="44"/>
    <col min="513" max="513" width="16.6640625" style="44" customWidth="1"/>
    <col min="514" max="768" width="10.83203125" style="44"/>
    <col min="769" max="769" width="16.6640625" style="44" customWidth="1"/>
    <col min="770" max="1024" width="10.83203125" style="44"/>
    <col min="1025" max="1025" width="16.6640625" style="44" customWidth="1"/>
    <col min="1026" max="1280" width="10.83203125" style="44"/>
    <col min="1281" max="1281" width="16.6640625" style="44" customWidth="1"/>
    <col min="1282" max="1536" width="10.83203125" style="44"/>
    <col min="1537" max="1537" width="16.6640625" style="44" customWidth="1"/>
    <col min="1538" max="1792" width="10.83203125" style="44"/>
    <col min="1793" max="1793" width="16.6640625" style="44" customWidth="1"/>
    <col min="1794" max="2048" width="10.83203125" style="44"/>
    <col min="2049" max="2049" width="16.6640625" style="44" customWidth="1"/>
    <col min="2050" max="2304" width="10.83203125" style="44"/>
    <col min="2305" max="2305" width="16.6640625" style="44" customWidth="1"/>
    <col min="2306" max="2560" width="10.83203125" style="44"/>
    <col min="2561" max="2561" width="16.6640625" style="44" customWidth="1"/>
    <col min="2562" max="2816" width="10.83203125" style="44"/>
    <col min="2817" max="2817" width="16.6640625" style="44" customWidth="1"/>
    <col min="2818" max="3072" width="10.83203125" style="44"/>
    <col min="3073" max="3073" width="16.6640625" style="44" customWidth="1"/>
    <col min="3074" max="3328" width="10.83203125" style="44"/>
    <col min="3329" max="3329" width="16.6640625" style="44" customWidth="1"/>
    <col min="3330" max="3584" width="10.83203125" style="44"/>
    <col min="3585" max="3585" width="16.6640625" style="44" customWidth="1"/>
    <col min="3586" max="3840" width="10.83203125" style="44"/>
    <col min="3841" max="3841" width="16.6640625" style="44" customWidth="1"/>
    <col min="3842" max="4096" width="10.83203125" style="44"/>
    <col min="4097" max="4097" width="16.6640625" style="44" customWidth="1"/>
    <col min="4098" max="4352" width="10.83203125" style="44"/>
    <col min="4353" max="4353" width="16.6640625" style="44" customWidth="1"/>
    <col min="4354" max="4608" width="10.83203125" style="44"/>
    <col min="4609" max="4609" width="16.6640625" style="44" customWidth="1"/>
    <col min="4610" max="4864" width="10.83203125" style="44"/>
    <col min="4865" max="4865" width="16.6640625" style="44" customWidth="1"/>
    <col min="4866" max="5120" width="10.83203125" style="44"/>
    <col min="5121" max="5121" width="16.6640625" style="44" customWidth="1"/>
    <col min="5122" max="5376" width="10.83203125" style="44"/>
    <col min="5377" max="5377" width="16.6640625" style="44" customWidth="1"/>
    <col min="5378" max="5632" width="10.83203125" style="44"/>
    <col min="5633" max="5633" width="16.6640625" style="44" customWidth="1"/>
    <col min="5634" max="5888" width="10.83203125" style="44"/>
    <col min="5889" max="5889" width="16.6640625" style="44" customWidth="1"/>
    <col min="5890" max="6144" width="10.83203125" style="44"/>
    <col min="6145" max="6145" width="16.6640625" style="44" customWidth="1"/>
    <col min="6146" max="6400" width="10.83203125" style="44"/>
    <col min="6401" max="6401" width="16.6640625" style="44" customWidth="1"/>
    <col min="6402" max="6656" width="10.83203125" style="44"/>
    <col min="6657" max="6657" width="16.6640625" style="44" customWidth="1"/>
    <col min="6658" max="6912" width="10.83203125" style="44"/>
    <col min="6913" max="6913" width="16.6640625" style="44" customWidth="1"/>
    <col min="6914" max="7168" width="10.83203125" style="44"/>
    <col min="7169" max="7169" width="16.6640625" style="44" customWidth="1"/>
    <col min="7170" max="7424" width="10.83203125" style="44"/>
    <col min="7425" max="7425" width="16.6640625" style="44" customWidth="1"/>
    <col min="7426" max="7680" width="10.83203125" style="44"/>
    <col min="7681" max="7681" width="16.6640625" style="44" customWidth="1"/>
    <col min="7682" max="7936" width="10.83203125" style="44"/>
    <col min="7937" max="7937" width="16.6640625" style="44" customWidth="1"/>
    <col min="7938" max="8192" width="10.83203125" style="44"/>
    <col min="8193" max="8193" width="16.6640625" style="44" customWidth="1"/>
    <col min="8194" max="8448" width="10.83203125" style="44"/>
    <col min="8449" max="8449" width="16.6640625" style="44" customWidth="1"/>
    <col min="8450" max="8704" width="10.83203125" style="44"/>
    <col min="8705" max="8705" width="16.6640625" style="44" customWidth="1"/>
    <col min="8706" max="8960" width="10.83203125" style="44"/>
    <col min="8961" max="8961" width="16.6640625" style="44" customWidth="1"/>
    <col min="8962" max="9216" width="10.83203125" style="44"/>
    <col min="9217" max="9217" width="16.6640625" style="44" customWidth="1"/>
    <col min="9218" max="9472" width="10.83203125" style="44"/>
    <col min="9473" max="9473" width="16.6640625" style="44" customWidth="1"/>
    <col min="9474" max="9728" width="10.83203125" style="44"/>
    <col min="9729" max="9729" width="16.6640625" style="44" customWidth="1"/>
    <col min="9730" max="9984" width="10.83203125" style="44"/>
    <col min="9985" max="9985" width="16.6640625" style="44" customWidth="1"/>
    <col min="9986" max="10240" width="10.83203125" style="44"/>
    <col min="10241" max="10241" width="16.6640625" style="44" customWidth="1"/>
    <col min="10242" max="10496" width="10.83203125" style="44"/>
    <col min="10497" max="10497" width="16.6640625" style="44" customWidth="1"/>
    <col min="10498" max="10752" width="10.83203125" style="44"/>
    <col min="10753" max="10753" width="16.6640625" style="44" customWidth="1"/>
    <col min="10754" max="11008" width="10.83203125" style="44"/>
    <col min="11009" max="11009" width="16.6640625" style="44" customWidth="1"/>
    <col min="11010" max="11264" width="10.83203125" style="44"/>
    <col min="11265" max="11265" width="16.6640625" style="44" customWidth="1"/>
    <col min="11266" max="11520" width="10.83203125" style="44"/>
    <col min="11521" max="11521" width="16.6640625" style="44" customWidth="1"/>
    <col min="11522" max="11776" width="10.83203125" style="44"/>
    <col min="11777" max="11777" width="16.6640625" style="44" customWidth="1"/>
    <col min="11778" max="12032" width="10.83203125" style="44"/>
    <col min="12033" max="12033" width="16.6640625" style="44" customWidth="1"/>
    <col min="12034" max="12288" width="10.83203125" style="44"/>
    <col min="12289" max="12289" width="16.6640625" style="44" customWidth="1"/>
    <col min="12290" max="12544" width="10.83203125" style="44"/>
    <col min="12545" max="12545" width="16.6640625" style="44" customWidth="1"/>
    <col min="12546" max="12800" width="10.83203125" style="44"/>
    <col min="12801" max="12801" width="16.6640625" style="44" customWidth="1"/>
    <col min="12802" max="13056" width="10.83203125" style="44"/>
    <col min="13057" max="13057" width="16.6640625" style="44" customWidth="1"/>
    <col min="13058" max="13312" width="10.83203125" style="44"/>
    <col min="13313" max="13313" width="16.6640625" style="44" customWidth="1"/>
    <col min="13314" max="13568" width="10.83203125" style="44"/>
    <col min="13569" max="13569" width="16.6640625" style="44" customWidth="1"/>
    <col min="13570" max="13824" width="10.83203125" style="44"/>
    <col min="13825" max="13825" width="16.6640625" style="44" customWidth="1"/>
    <col min="13826" max="14080" width="10.83203125" style="44"/>
    <col min="14081" max="14081" width="16.6640625" style="44" customWidth="1"/>
    <col min="14082" max="14336" width="10.83203125" style="44"/>
    <col min="14337" max="14337" width="16.6640625" style="44" customWidth="1"/>
    <col min="14338" max="14592" width="10.83203125" style="44"/>
    <col min="14593" max="14593" width="16.6640625" style="44" customWidth="1"/>
    <col min="14594" max="14848" width="10.83203125" style="44"/>
    <col min="14849" max="14849" width="16.6640625" style="44" customWidth="1"/>
    <col min="14850" max="15104" width="10.83203125" style="44"/>
    <col min="15105" max="15105" width="16.6640625" style="44" customWidth="1"/>
    <col min="15106" max="15360" width="10.83203125" style="44"/>
    <col min="15361" max="15361" width="16.6640625" style="44" customWidth="1"/>
    <col min="15362" max="15616" width="10.83203125" style="44"/>
    <col min="15617" max="15617" width="16.6640625" style="44" customWidth="1"/>
    <col min="15618" max="15872" width="10.83203125" style="44"/>
    <col min="15873" max="15873" width="16.6640625" style="44" customWidth="1"/>
    <col min="15874" max="16128" width="10.83203125" style="44"/>
    <col min="16129" max="16129" width="16.6640625" style="44" customWidth="1"/>
    <col min="16130" max="16384" width="10.83203125" style="44"/>
  </cols>
  <sheetData>
    <row r="2" spans="1:19">
      <c r="A2" s="48" t="s">
        <v>566</v>
      </c>
      <c r="B2" s="48" t="s">
        <v>567</v>
      </c>
      <c r="C2" s="48" t="s">
        <v>568</v>
      </c>
    </row>
    <row r="3" spans="1:19">
      <c r="A3" s="48">
        <v>34</v>
      </c>
      <c r="B3" s="48">
        <v>44</v>
      </c>
      <c r="C3" s="48">
        <v>45</v>
      </c>
    </row>
    <row r="4" spans="1:19">
      <c r="A4" s="48">
        <v>38</v>
      </c>
      <c r="B4" s="48">
        <v>41</v>
      </c>
      <c r="C4" s="48">
        <v>50</v>
      </c>
    </row>
    <row r="5" spans="1:19">
      <c r="A5" s="48">
        <v>40</v>
      </c>
      <c r="B5" s="48">
        <v>39</v>
      </c>
      <c r="C5" s="48">
        <v>46</v>
      </c>
    </row>
    <row r="6" spans="1:19">
      <c r="A6" s="48">
        <v>30</v>
      </c>
      <c r="B6" s="48">
        <v>40</v>
      </c>
      <c r="C6" s="48">
        <v>48</v>
      </c>
    </row>
    <row r="8" spans="1:19" ht="14" thickBot="1"/>
    <row r="9" spans="1:19">
      <c r="N9" s="605" t="s">
        <v>747</v>
      </c>
      <c r="O9" s="606"/>
      <c r="P9" s="606"/>
      <c r="Q9" s="606"/>
      <c r="R9" s="606"/>
      <c r="S9" s="607"/>
    </row>
    <row r="10" spans="1:19">
      <c r="N10" s="608"/>
      <c r="O10" s="609"/>
      <c r="P10" s="609"/>
      <c r="Q10" s="609"/>
      <c r="R10" s="609"/>
      <c r="S10" s="610"/>
    </row>
    <row r="11" spans="1:19">
      <c r="N11" s="608"/>
      <c r="O11" s="609"/>
      <c r="P11" s="609"/>
      <c r="Q11" s="609"/>
      <c r="R11" s="609"/>
      <c r="S11" s="610"/>
    </row>
    <row r="12" spans="1:19">
      <c r="N12" s="608"/>
      <c r="O12" s="609"/>
      <c r="P12" s="609"/>
      <c r="Q12" s="609"/>
      <c r="R12" s="609"/>
      <c r="S12" s="610"/>
    </row>
    <row r="13" spans="1:19">
      <c r="N13" s="608"/>
      <c r="O13" s="609"/>
      <c r="P13" s="609"/>
      <c r="Q13" s="609"/>
      <c r="R13" s="609"/>
      <c r="S13" s="610"/>
    </row>
    <row r="14" spans="1:19">
      <c r="N14" s="608"/>
      <c r="O14" s="609"/>
      <c r="P14" s="609"/>
      <c r="Q14" s="609"/>
      <c r="R14" s="609"/>
      <c r="S14" s="610"/>
    </row>
    <row r="15" spans="1:19">
      <c r="N15" s="608"/>
      <c r="O15" s="609"/>
      <c r="P15" s="609"/>
      <c r="Q15" s="609"/>
      <c r="R15" s="609"/>
      <c r="S15" s="610"/>
    </row>
    <row r="16" spans="1:19">
      <c r="N16" s="608"/>
      <c r="O16" s="609"/>
      <c r="P16" s="609"/>
      <c r="Q16" s="609"/>
      <c r="R16" s="609"/>
      <c r="S16" s="610"/>
    </row>
    <row r="17" spans="14:19">
      <c r="N17" s="608"/>
      <c r="O17" s="609"/>
      <c r="P17" s="609"/>
      <c r="Q17" s="609"/>
      <c r="R17" s="609"/>
      <c r="S17" s="610"/>
    </row>
    <row r="18" spans="14:19">
      <c r="N18" s="608"/>
      <c r="O18" s="609"/>
      <c r="P18" s="609"/>
      <c r="Q18" s="609"/>
      <c r="R18" s="609"/>
      <c r="S18" s="610"/>
    </row>
    <row r="19" spans="14:19">
      <c r="N19" s="608"/>
      <c r="O19" s="609"/>
      <c r="P19" s="609"/>
      <c r="Q19" s="609"/>
      <c r="R19" s="609"/>
      <c r="S19" s="610"/>
    </row>
    <row r="20" spans="14:19" ht="14" thickBot="1">
      <c r="N20" s="611"/>
      <c r="O20" s="612"/>
      <c r="P20" s="612"/>
      <c r="Q20" s="612"/>
      <c r="R20" s="612"/>
      <c r="S20" s="613"/>
    </row>
    <row r="21" spans="14:19" ht="16">
      <c r="N21"/>
      <c r="O21"/>
      <c r="P21"/>
      <c r="Q21"/>
      <c r="R21"/>
      <c r="S21"/>
    </row>
    <row r="22" spans="14:19" ht="16">
      <c r="N22"/>
      <c r="O22"/>
      <c r="P22"/>
      <c r="Q22"/>
      <c r="R22"/>
      <c r="S22"/>
    </row>
    <row r="23" spans="14:19" ht="37">
      <c r="N23" s="343" t="s">
        <v>741</v>
      </c>
      <c r="O23"/>
      <c r="P23"/>
      <c r="Q23"/>
      <c r="R23"/>
      <c r="S23"/>
    </row>
  </sheetData>
  <mergeCells count="1">
    <mergeCell ref="N9:S20"/>
  </mergeCells>
  <pageMargins left="0.75" right="0.75" top="1" bottom="1" header="0.5" footer="0.5"/>
  <pageSetup paperSize="0" orientation="portrait" horizontalDpi="4294967292" verticalDpi="4294967292"/>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8EE68-6528-2C4B-B415-AA5BB7375971}">
  <dimension ref="A1:P24"/>
  <sheetViews>
    <sheetView zoomScaleNormal="100" workbookViewId="0">
      <selection activeCell="J32" sqref="J32"/>
    </sheetView>
  </sheetViews>
  <sheetFormatPr baseColWidth="10" defaultColWidth="8.83203125" defaultRowHeight="13"/>
  <cols>
    <col min="1" max="1" width="18.1640625" style="175" customWidth="1"/>
    <col min="2" max="256" width="8.83203125" style="175"/>
    <col min="257" max="257" width="18.1640625" style="175" customWidth="1"/>
    <col min="258" max="512" width="8.83203125" style="175"/>
    <col min="513" max="513" width="18.1640625" style="175" customWidth="1"/>
    <col min="514" max="768" width="8.83203125" style="175"/>
    <col min="769" max="769" width="18.1640625" style="175" customWidth="1"/>
    <col min="770" max="1024" width="8.83203125" style="175"/>
    <col min="1025" max="1025" width="18.1640625" style="175" customWidth="1"/>
    <col min="1026" max="1280" width="8.83203125" style="175"/>
    <col min="1281" max="1281" width="18.1640625" style="175" customWidth="1"/>
    <col min="1282" max="1536" width="8.83203125" style="175"/>
    <col min="1537" max="1537" width="18.1640625" style="175" customWidth="1"/>
    <col min="1538" max="1792" width="8.83203125" style="175"/>
    <col min="1793" max="1793" width="18.1640625" style="175" customWidth="1"/>
    <col min="1794" max="2048" width="8.83203125" style="175"/>
    <col min="2049" max="2049" width="18.1640625" style="175" customWidth="1"/>
    <col min="2050" max="2304" width="8.83203125" style="175"/>
    <col min="2305" max="2305" width="18.1640625" style="175" customWidth="1"/>
    <col min="2306" max="2560" width="8.83203125" style="175"/>
    <col min="2561" max="2561" width="18.1640625" style="175" customWidth="1"/>
    <col min="2562" max="2816" width="8.83203125" style="175"/>
    <col min="2817" max="2817" width="18.1640625" style="175" customWidth="1"/>
    <col min="2818" max="3072" width="8.83203125" style="175"/>
    <col min="3073" max="3073" width="18.1640625" style="175" customWidth="1"/>
    <col min="3074" max="3328" width="8.83203125" style="175"/>
    <col min="3329" max="3329" width="18.1640625" style="175" customWidth="1"/>
    <col min="3330" max="3584" width="8.83203125" style="175"/>
    <col min="3585" max="3585" width="18.1640625" style="175" customWidth="1"/>
    <col min="3586" max="3840" width="8.83203125" style="175"/>
    <col min="3841" max="3841" width="18.1640625" style="175" customWidth="1"/>
    <col min="3842" max="4096" width="8.83203125" style="175"/>
    <col min="4097" max="4097" width="18.1640625" style="175" customWidth="1"/>
    <col min="4098" max="4352" width="8.83203125" style="175"/>
    <col min="4353" max="4353" width="18.1640625" style="175" customWidth="1"/>
    <col min="4354" max="4608" width="8.83203125" style="175"/>
    <col min="4609" max="4609" width="18.1640625" style="175" customWidth="1"/>
    <col min="4610" max="4864" width="8.83203125" style="175"/>
    <col min="4865" max="4865" width="18.1640625" style="175" customWidth="1"/>
    <col min="4866" max="5120" width="8.83203125" style="175"/>
    <col min="5121" max="5121" width="18.1640625" style="175" customWidth="1"/>
    <col min="5122" max="5376" width="8.83203125" style="175"/>
    <col min="5377" max="5377" width="18.1640625" style="175" customWidth="1"/>
    <col min="5378" max="5632" width="8.83203125" style="175"/>
    <col min="5633" max="5633" width="18.1640625" style="175" customWidth="1"/>
    <col min="5634" max="5888" width="8.83203125" style="175"/>
    <col min="5889" max="5889" width="18.1640625" style="175" customWidth="1"/>
    <col min="5890" max="6144" width="8.83203125" style="175"/>
    <col min="6145" max="6145" width="18.1640625" style="175" customWidth="1"/>
    <col min="6146" max="6400" width="8.83203125" style="175"/>
    <col min="6401" max="6401" width="18.1640625" style="175" customWidth="1"/>
    <col min="6402" max="6656" width="8.83203125" style="175"/>
    <col min="6657" max="6657" width="18.1640625" style="175" customWidth="1"/>
    <col min="6658" max="6912" width="8.83203125" style="175"/>
    <col min="6913" max="6913" width="18.1640625" style="175" customWidth="1"/>
    <col min="6914" max="7168" width="8.83203125" style="175"/>
    <col min="7169" max="7169" width="18.1640625" style="175" customWidth="1"/>
    <col min="7170" max="7424" width="8.83203125" style="175"/>
    <col min="7425" max="7425" width="18.1640625" style="175" customWidth="1"/>
    <col min="7426" max="7680" width="8.83203125" style="175"/>
    <col min="7681" max="7681" width="18.1640625" style="175" customWidth="1"/>
    <col min="7682" max="7936" width="8.83203125" style="175"/>
    <col min="7937" max="7937" width="18.1640625" style="175" customWidth="1"/>
    <col min="7938" max="8192" width="8.83203125" style="175"/>
    <col min="8193" max="8193" width="18.1640625" style="175" customWidth="1"/>
    <col min="8194" max="8448" width="8.83203125" style="175"/>
    <col min="8449" max="8449" width="18.1640625" style="175" customWidth="1"/>
    <col min="8450" max="8704" width="8.83203125" style="175"/>
    <col min="8705" max="8705" width="18.1640625" style="175" customWidth="1"/>
    <col min="8706" max="8960" width="8.83203125" style="175"/>
    <col min="8961" max="8961" width="18.1640625" style="175" customWidth="1"/>
    <col min="8962" max="9216" width="8.83203125" style="175"/>
    <col min="9217" max="9217" width="18.1640625" style="175" customWidth="1"/>
    <col min="9218" max="9472" width="8.83203125" style="175"/>
    <col min="9473" max="9473" width="18.1640625" style="175" customWidth="1"/>
    <col min="9474" max="9728" width="8.83203125" style="175"/>
    <col min="9729" max="9729" width="18.1640625" style="175" customWidth="1"/>
    <col min="9730" max="9984" width="8.83203125" style="175"/>
    <col min="9985" max="9985" width="18.1640625" style="175" customWidth="1"/>
    <col min="9986" max="10240" width="8.83203125" style="175"/>
    <col min="10241" max="10241" width="18.1640625" style="175" customWidth="1"/>
    <col min="10242" max="10496" width="8.83203125" style="175"/>
    <col min="10497" max="10497" width="18.1640625" style="175" customWidth="1"/>
    <col min="10498" max="10752" width="8.83203125" style="175"/>
    <col min="10753" max="10753" width="18.1640625" style="175" customWidth="1"/>
    <col min="10754" max="11008" width="8.83203125" style="175"/>
    <col min="11009" max="11009" width="18.1640625" style="175" customWidth="1"/>
    <col min="11010" max="11264" width="8.83203125" style="175"/>
    <col min="11265" max="11265" width="18.1640625" style="175" customWidth="1"/>
    <col min="11266" max="11520" width="8.83203125" style="175"/>
    <col min="11521" max="11521" width="18.1640625" style="175" customWidth="1"/>
    <col min="11522" max="11776" width="8.83203125" style="175"/>
    <col min="11777" max="11777" width="18.1640625" style="175" customWidth="1"/>
    <col min="11778" max="12032" width="8.83203125" style="175"/>
    <col min="12033" max="12033" width="18.1640625" style="175" customWidth="1"/>
    <col min="12034" max="12288" width="8.83203125" style="175"/>
    <col min="12289" max="12289" width="18.1640625" style="175" customWidth="1"/>
    <col min="12290" max="12544" width="8.83203125" style="175"/>
    <col min="12545" max="12545" width="18.1640625" style="175" customWidth="1"/>
    <col min="12546" max="12800" width="8.83203125" style="175"/>
    <col min="12801" max="12801" width="18.1640625" style="175" customWidth="1"/>
    <col min="12802" max="13056" width="8.83203125" style="175"/>
    <col min="13057" max="13057" width="18.1640625" style="175" customWidth="1"/>
    <col min="13058" max="13312" width="8.83203125" style="175"/>
    <col min="13313" max="13313" width="18.1640625" style="175" customWidth="1"/>
    <col min="13314" max="13568" width="8.83203125" style="175"/>
    <col min="13569" max="13569" width="18.1640625" style="175" customWidth="1"/>
    <col min="13570" max="13824" width="8.83203125" style="175"/>
    <col min="13825" max="13825" width="18.1640625" style="175" customWidth="1"/>
    <col min="13826" max="14080" width="8.83203125" style="175"/>
    <col min="14081" max="14081" width="18.1640625" style="175" customWidth="1"/>
    <col min="14082" max="14336" width="8.83203125" style="175"/>
    <col min="14337" max="14337" width="18.1640625" style="175" customWidth="1"/>
    <col min="14338" max="14592" width="8.83203125" style="175"/>
    <col min="14593" max="14593" width="18.1640625" style="175" customWidth="1"/>
    <col min="14594" max="14848" width="8.83203125" style="175"/>
    <col min="14849" max="14849" width="18.1640625" style="175" customWidth="1"/>
    <col min="14850" max="15104" width="8.83203125" style="175"/>
    <col min="15105" max="15105" width="18.1640625" style="175" customWidth="1"/>
    <col min="15106" max="15360" width="8.83203125" style="175"/>
    <col min="15361" max="15361" width="18.1640625" style="175" customWidth="1"/>
    <col min="15362" max="15616" width="8.83203125" style="175"/>
    <col min="15617" max="15617" width="18.1640625" style="175" customWidth="1"/>
    <col min="15618" max="15872" width="8.83203125" style="175"/>
    <col min="15873" max="15873" width="18.1640625" style="175" customWidth="1"/>
    <col min="15874" max="16128" width="8.83203125" style="175"/>
    <col min="16129" max="16129" width="18.1640625" style="175" customWidth="1"/>
    <col min="16130" max="16384" width="8.83203125" style="175"/>
  </cols>
  <sheetData>
    <row r="1" spans="1:16" ht="16">
      <c r="A1"/>
      <c r="B1"/>
      <c r="C1"/>
      <c r="D1"/>
      <c r="E1"/>
      <c r="F1"/>
      <c r="G1"/>
      <c r="I1" s="173" t="s">
        <v>566</v>
      </c>
      <c r="J1" s="173" t="s">
        <v>566</v>
      </c>
      <c r="K1" s="173" t="s">
        <v>568</v>
      </c>
    </row>
    <row r="2" spans="1:16" ht="16">
      <c r="A2"/>
      <c r="B2"/>
      <c r="C2"/>
      <c r="D2"/>
      <c r="E2"/>
      <c r="F2"/>
      <c r="G2"/>
      <c r="I2" s="173">
        <v>36</v>
      </c>
      <c r="J2" s="173">
        <v>40</v>
      </c>
      <c r="K2" s="173">
        <v>32</v>
      </c>
    </row>
    <row r="3" spans="1:16" ht="16">
      <c r="A3"/>
      <c r="B3"/>
      <c r="C3"/>
      <c r="D3"/>
      <c r="E3"/>
      <c r="F3"/>
      <c r="G3"/>
      <c r="I3" s="173">
        <v>26</v>
      </c>
      <c r="J3" s="173">
        <v>29</v>
      </c>
      <c r="K3" s="173">
        <v>18</v>
      </c>
    </row>
    <row r="4" spans="1:16" ht="16">
      <c r="A4"/>
      <c r="B4"/>
      <c r="C4"/>
      <c r="D4"/>
      <c r="E4"/>
      <c r="F4"/>
      <c r="G4"/>
      <c r="I4" s="173">
        <v>31</v>
      </c>
      <c r="J4" s="173">
        <v>38</v>
      </c>
      <c r="K4" s="173">
        <v>23</v>
      </c>
    </row>
    <row r="5" spans="1:16" ht="16">
      <c r="A5"/>
      <c r="B5"/>
      <c r="C5"/>
      <c r="D5"/>
      <c r="E5"/>
      <c r="F5"/>
      <c r="G5"/>
      <c r="I5" s="173">
        <v>20</v>
      </c>
      <c r="J5" s="173">
        <v>32</v>
      </c>
      <c r="K5" s="173">
        <v>21</v>
      </c>
    </row>
    <row r="6" spans="1:16" ht="16">
      <c r="A6"/>
      <c r="B6"/>
      <c r="C6"/>
      <c r="D6"/>
      <c r="E6"/>
      <c r="F6"/>
      <c r="G6"/>
      <c r="I6" s="173">
        <v>34</v>
      </c>
      <c r="J6" s="173">
        <v>39</v>
      </c>
      <c r="K6" s="173">
        <v>33</v>
      </c>
    </row>
    <row r="7" spans="1:16" ht="16">
      <c r="A7"/>
      <c r="B7"/>
      <c r="C7"/>
      <c r="D7"/>
      <c r="E7"/>
      <c r="F7"/>
      <c r="G7"/>
      <c r="I7" s="173">
        <v>25</v>
      </c>
      <c r="J7" s="173">
        <v>34</v>
      </c>
      <c r="K7" s="173">
        <v>27</v>
      </c>
    </row>
    <row r="8" spans="1:16" ht="16">
      <c r="A8"/>
      <c r="B8"/>
      <c r="C8"/>
      <c r="D8"/>
      <c r="E8"/>
      <c r="F8"/>
      <c r="G8"/>
    </row>
    <row r="9" spans="1:16" ht="17" thickBot="1">
      <c r="A9"/>
      <c r="B9"/>
      <c r="C9"/>
      <c r="D9"/>
      <c r="E9"/>
      <c r="F9"/>
      <c r="G9"/>
    </row>
    <row r="10" spans="1:16" ht="16" customHeight="1">
      <c r="A10"/>
      <c r="B10"/>
      <c r="C10"/>
      <c r="D10"/>
      <c r="E10"/>
      <c r="F10"/>
      <c r="G10"/>
      <c r="K10" s="605" t="s">
        <v>748</v>
      </c>
      <c r="L10" s="606"/>
      <c r="M10" s="606"/>
      <c r="N10" s="606"/>
      <c r="O10" s="606"/>
      <c r="P10" s="607"/>
    </row>
    <row r="11" spans="1:16" ht="16" customHeight="1">
      <c r="A11"/>
      <c r="B11"/>
      <c r="C11"/>
      <c r="D11"/>
      <c r="E11"/>
      <c r="F11"/>
      <c r="G11"/>
      <c r="K11" s="608"/>
      <c r="L11" s="609"/>
      <c r="M11" s="609"/>
      <c r="N11" s="609"/>
      <c r="O11" s="609"/>
      <c r="P11" s="610"/>
    </row>
    <row r="12" spans="1:16" ht="16" customHeight="1">
      <c r="A12"/>
      <c r="B12"/>
      <c r="C12"/>
      <c r="D12"/>
      <c r="E12"/>
      <c r="F12"/>
      <c r="G12"/>
      <c r="K12" s="608"/>
      <c r="L12" s="609"/>
      <c r="M12" s="609"/>
      <c r="N12" s="609"/>
      <c r="O12" s="609"/>
      <c r="P12" s="610"/>
    </row>
    <row r="13" spans="1:16" ht="16" customHeight="1">
      <c r="A13"/>
      <c r="B13"/>
      <c r="C13"/>
      <c r="D13"/>
      <c r="E13"/>
      <c r="F13"/>
      <c r="G13"/>
      <c r="K13" s="608"/>
      <c r="L13" s="609"/>
      <c r="M13" s="609"/>
      <c r="N13" s="609"/>
      <c r="O13" s="609"/>
      <c r="P13" s="610"/>
    </row>
    <row r="14" spans="1:16" ht="16" customHeight="1">
      <c r="A14"/>
      <c r="B14"/>
      <c r="C14"/>
      <c r="D14"/>
      <c r="E14"/>
      <c r="F14"/>
      <c r="G14"/>
      <c r="K14" s="608"/>
      <c r="L14" s="609"/>
      <c r="M14" s="609"/>
      <c r="N14" s="609"/>
      <c r="O14" s="609"/>
      <c r="P14" s="610"/>
    </row>
    <row r="15" spans="1:16" ht="16" customHeight="1">
      <c r="A15"/>
      <c r="B15"/>
      <c r="C15"/>
      <c r="D15"/>
      <c r="E15"/>
      <c r="F15"/>
      <c r="G15"/>
      <c r="K15" s="608"/>
      <c r="L15" s="609"/>
      <c r="M15" s="609"/>
      <c r="N15" s="609"/>
      <c r="O15" s="609"/>
      <c r="P15" s="610"/>
    </row>
    <row r="16" spans="1:16" ht="16" customHeight="1">
      <c r="A16"/>
      <c r="B16"/>
      <c r="C16"/>
      <c r="D16"/>
      <c r="E16"/>
      <c r="F16"/>
      <c r="G16"/>
      <c r="K16" s="608"/>
      <c r="L16" s="609"/>
      <c r="M16" s="609"/>
      <c r="N16" s="609"/>
      <c r="O16" s="609"/>
      <c r="P16" s="610"/>
    </row>
    <row r="17" spans="1:16" ht="16" customHeight="1">
      <c r="A17"/>
      <c r="B17"/>
      <c r="C17"/>
      <c r="D17"/>
      <c r="E17"/>
      <c r="F17"/>
      <c r="G17"/>
      <c r="K17" s="608"/>
      <c r="L17" s="609"/>
      <c r="M17" s="609"/>
      <c r="N17" s="609"/>
      <c r="O17" s="609"/>
      <c r="P17" s="610"/>
    </row>
    <row r="18" spans="1:16" ht="16" customHeight="1">
      <c r="A18"/>
      <c r="B18"/>
      <c r="C18"/>
      <c r="D18"/>
      <c r="E18"/>
      <c r="F18"/>
      <c r="G18"/>
      <c r="K18" s="608"/>
      <c r="L18" s="609"/>
      <c r="M18" s="609"/>
      <c r="N18" s="609"/>
      <c r="O18" s="609"/>
      <c r="P18" s="610"/>
    </row>
    <row r="19" spans="1:16" ht="16" customHeight="1">
      <c r="A19"/>
      <c r="B19"/>
      <c r="C19"/>
      <c r="D19"/>
      <c r="E19"/>
      <c r="F19"/>
      <c r="G19"/>
      <c r="K19" s="608"/>
      <c r="L19" s="609"/>
      <c r="M19" s="609"/>
      <c r="N19" s="609"/>
      <c r="O19" s="609"/>
      <c r="P19" s="610"/>
    </row>
    <row r="20" spans="1:16" ht="16" customHeight="1">
      <c r="A20"/>
      <c r="B20"/>
      <c r="C20"/>
      <c r="D20"/>
      <c r="E20"/>
      <c r="F20"/>
      <c r="G20"/>
      <c r="K20" s="608"/>
      <c r="L20" s="609"/>
      <c r="M20" s="609"/>
      <c r="N20" s="609"/>
      <c r="O20" s="609"/>
      <c r="P20" s="610"/>
    </row>
    <row r="21" spans="1:16" ht="17" customHeight="1" thickBot="1">
      <c r="A21"/>
      <c r="B21"/>
      <c r="C21"/>
      <c r="D21"/>
      <c r="E21"/>
      <c r="F21"/>
      <c r="G21"/>
      <c r="K21" s="611"/>
      <c r="L21" s="612"/>
      <c r="M21" s="612"/>
      <c r="N21" s="612"/>
      <c r="O21" s="612"/>
      <c r="P21" s="613"/>
    </row>
    <row r="22" spans="1:16" ht="16">
      <c r="A22"/>
      <c r="B22"/>
      <c r="C22"/>
      <c r="D22"/>
      <c r="E22"/>
      <c r="F22"/>
      <c r="G22"/>
      <c r="H22" s="286"/>
      <c r="K22"/>
      <c r="L22"/>
      <c r="M22"/>
      <c r="N22"/>
      <c r="O22"/>
      <c r="P22"/>
    </row>
    <row r="23" spans="1:16" ht="16">
      <c r="A23"/>
      <c r="B23"/>
      <c r="C23"/>
      <c r="D23"/>
      <c r="E23"/>
      <c r="F23"/>
      <c r="G23"/>
      <c r="K23"/>
      <c r="L23"/>
      <c r="M23"/>
      <c r="N23"/>
      <c r="O23"/>
      <c r="P23"/>
    </row>
    <row r="24" spans="1:16" ht="37">
      <c r="A24"/>
      <c r="B24"/>
      <c r="C24"/>
      <c r="D24"/>
      <c r="E24"/>
      <c r="F24"/>
      <c r="G24"/>
      <c r="K24" s="343" t="s">
        <v>741</v>
      </c>
      <c r="L24"/>
      <c r="M24"/>
      <c r="N24"/>
      <c r="O24"/>
      <c r="P24"/>
    </row>
  </sheetData>
  <mergeCells count="1">
    <mergeCell ref="K10:P21"/>
  </mergeCells>
  <pageMargins left="0.75" right="0.75" top="1" bottom="1" header="0.5" footer="0.5"/>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7212F-C85E-A141-BAED-DBB8D72F9B86}">
  <dimension ref="B2:U39"/>
  <sheetViews>
    <sheetView zoomScale="80" zoomScaleNormal="80" workbookViewId="0">
      <selection activeCell="T48" sqref="T48"/>
    </sheetView>
  </sheetViews>
  <sheetFormatPr baseColWidth="10" defaultRowHeight="16"/>
  <cols>
    <col min="1" max="1" width="6" customWidth="1"/>
  </cols>
  <sheetData>
    <row r="2" spans="2:7">
      <c r="B2" s="287"/>
      <c r="C2" s="614" t="s">
        <v>571</v>
      </c>
      <c r="D2" s="614"/>
      <c r="E2" s="614"/>
      <c r="F2" s="614"/>
      <c r="G2" s="614"/>
    </row>
    <row r="3" spans="2:7">
      <c r="B3" s="288" t="s">
        <v>570</v>
      </c>
      <c r="C3" s="288">
        <v>1</v>
      </c>
      <c r="D3" s="288">
        <v>2</v>
      </c>
      <c r="E3" s="288">
        <v>3</v>
      </c>
      <c r="F3" s="288">
        <v>4</v>
      </c>
      <c r="G3" s="288">
        <v>5</v>
      </c>
    </row>
    <row r="4" spans="2:7">
      <c r="B4" s="289">
        <v>1</v>
      </c>
      <c r="C4" s="289" t="s">
        <v>572</v>
      </c>
      <c r="D4" s="289" t="s">
        <v>577</v>
      </c>
      <c r="E4" s="289" t="s">
        <v>582</v>
      </c>
      <c r="F4" s="289" t="s">
        <v>587</v>
      </c>
      <c r="G4" s="289" t="s">
        <v>592</v>
      </c>
    </row>
    <row r="5" spans="2:7">
      <c r="B5" s="289">
        <v>2</v>
      </c>
      <c r="C5" s="289" t="s">
        <v>573</v>
      </c>
      <c r="D5" s="289" t="s">
        <v>580</v>
      </c>
      <c r="E5" s="289" t="s">
        <v>583</v>
      </c>
      <c r="F5" s="289" t="s">
        <v>588</v>
      </c>
      <c r="G5" s="289" t="s">
        <v>593</v>
      </c>
    </row>
    <row r="6" spans="2:7">
      <c r="B6" s="289">
        <v>3</v>
      </c>
      <c r="C6" s="289" t="s">
        <v>575</v>
      </c>
      <c r="D6" s="289" t="s">
        <v>578</v>
      </c>
      <c r="E6" s="290" t="s">
        <v>584</v>
      </c>
      <c r="F6" s="289" t="s">
        <v>589</v>
      </c>
      <c r="G6" s="289" t="s">
        <v>594</v>
      </c>
    </row>
    <row r="7" spans="2:7">
      <c r="B7" s="289">
        <v>4</v>
      </c>
      <c r="C7" s="289" t="s">
        <v>574</v>
      </c>
      <c r="D7" s="289" t="s">
        <v>579</v>
      </c>
      <c r="E7" s="289" t="s">
        <v>585</v>
      </c>
      <c r="F7" s="289" t="s">
        <v>590</v>
      </c>
      <c r="G7" s="289" t="s">
        <v>596</v>
      </c>
    </row>
    <row r="8" spans="2:7">
      <c r="B8" s="288">
        <v>5</v>
      </c>
      <c r="C8" s="288" t="s">
        <v>576</v>
      </c>
      <c r="D8" s="288" t="s">
        <v>581</v>
      </c>
      <c r="E8" s="288" t="s">
        <v>586</v>
      </c>
      <c r="F8" s="288" t="s">
        <v>591</v>
      </c>
      <c r="G8" s="288" t="s">
        <v>595</v>
      </c>
    </row>
    <row r="10" spans="2:7">
      <c r="B10" t="s">
        <v>753</v>
      </c>
      <c r="C10" s="64" t="s">
        <v>754</v>
      </c>
      <c r="D10" s="64" t="s">
        <v>755</v>
      </c>
      <c r="E10" s="64" t="s">
        <v>421</v>
      </c>
    </row>
    <row r="11" spans="2:7">
      <c r="B11" s="64" t="s">
        <v>749</v>
      </c>
      <c r="C11" s="64">
        <v>1</v>
      </c>
      <c r="D11" s="64">
        <v>1</v>
      </c>
      <c r="E11" s="64">
        <v>15.2</v>
      </c>
    </row>
    <row r="12" spans="2:7">
      <c r="B12" s="64" t="s">
        <v>750</v>
      </c>
      <c r="C12" s="64">
        <v>1</v>
      </c>
      <c r="D12" s="64">
        <v>2</v>
      </c>
      <c r="E12" s="64">
        <v>33.799999999999997</v>
      </c>
    </row>
    <row r="13" spans="2:7">
      <c r="B13" s="64" t="s">
        <v>756</v>
      </c>
      <c r="C13" s="64">
        <v>1</v>
      </c>
      <c r="D13" s="64">
        <v>3</v>
      </c>
      <c r="E13" s="64">
        <v>13.5</v>
      </c>
    </row>
    <row r="14" spans="2:7">
      <c r="B14" s="64" t="s">
        <v>757</v>
      </c>
      <c r="C14" s="64">
        <v>1</v>
      </c>
      <c r="D14" s="64">
        <v>4</v>
      </c>
      <c r="E14" s="64">
        <v>27.4</v>
      </c>
    </row>
    <row r="15" spans="2:7">
      <c r="B15" s="64" t="s">
        <v>758</v>
      </c>
      <c r="C15" s="64">
        <v>1</v>
      </c>
      <c r="D15" s="64">
        <v>5</v>
      </c>
      <c r="E15" s="64">
        <v>29.1</v>
      </c>
    </row>
    <row r="16" spans="2:7">
      <c r="B16" s="64" t="s">
        <v>750</v>
      </c>
      <c r="C16" s="64">
        <v>2</v>
      </c>
      <c r="D16" s="64">
        <v>1</v>
      </c>
      <c r="E16" s="64">
        <v>16.5</v>
      </c>
    </row>
    <row r="17" spans="2:21">
      <c r="B17" s="64" t="s">
        <v>756</v>
      </c>
      <c r="C17" s="64">
        <v>2</v>
      </c>
      <c r="D17" s="64">
        <v>2</v>
      </c>
      <c r="E17" s="64">
        <v>26.5</v>
      </c>
    </row>
    <row r="18" spans="2:21">
      <c r="B18" s="64" t="s">
        <v>757</v>
      </c>
      <c r="C18" s="64">
        <v>2</v>
      </c>
      <c r="D18" s="64">
        <v>3</v>
      </c>
      <c r="E18" s="64">
        <v>19.2</v>
      </c>
    </row>
    <row r="19" spans="2:21">
      <c r="B19" s="64" t="s">
        <v>758</v>
      </c>
      <c r="C19" s="64">
        <v>2</v>
      </c>
      <c r="D19" s="64">
        <v>4</v>
      </c>
      <c r="E19" s="64">
        <v>25.8</v>
      </c>
    </row>
    <row r="20" spans="2:21" ht="17" thickBot="1">
      <c r="B20" s="64" t="s">
        <v>749</v>
      </c>
      <c r="C20" s="64">
        <v>2</v>
      </c>
      <c r="D20" s="64">
        <v>5</v>
      </c>
      <c r="E20" s="64">
        <v>22.7</v>
      </c>
    </row>
    <row r="21" spans="2:21">
      <c r="B21" s="64" t="s">
        <v>756</v>
      </c>
      <c r="C21" s="64">
        <v>3</v>
      </c>
      <c r="D21" s="64">
        <v>1</v>
      </c>
      <c r="E21" s="64">
        <v>12.1</v>
      </c>
      <c r="P21" s="605" t="s">
        <v>759</v>
      </c>
      <c r="Q21" s="606"/>
      <c r="R21" s="606"/>
      <c r="S21" s="606"/>
      <c r="T21" s="606"/>
      <c r="U21" s="607"/>
    </row>
    <row r="22" spans="2:21">
      <c r="B22" s="64" t="s">
        <v>757</v>
      </c>
      <c r="C22" s="64">
        <v>3</v>
      </c>
      <c r="D22" s="64">
        <v>2</v>
      </c>
      <c r="E22" s="64">
        <v>31.4</v>
      </c>
      <c r="P22" s="608"/>
      <c r="Q22" s="609"/>
      <c r="R22" s="609"/>
      <c r="S22" s="609"/>
      <c r="T22" s="609"/>
      <c r="U22" s="610"/>
    </row>
    <row r="23" spans="2:21">
      <c r="B23" s="64" t="s">
        <v>758</v>
      </c>
      <c r="C23" s="64">
        <v>3</v>
      </c>
      <c r="D23" s="64">
        <v>3</v>
      </c>
      <c r="E23" s="64">
        <v>17</v>
      </c>
      <c r="P23" s="608"/>
      <c r="Q23" s="609"/>
      <c r="R23" s="609"/>
      <c r="S23" s="609"/>
      <c r="T23" s="609"/>
      <c r="U23" s="610"/>
    </row>
    <row r="24" spans="2:21">
      <c r="B24" s="64" t="s">
        <v>749</v>
      </c>
      <c r="C24" s="64">
        <v>3</v>
      </c>
      <c r="D24" s="64">
        <v>4</v>
      </c>
      <c r="E24" s="64">
        <v>31.5</v>
      </c>
      <c r="P24" s="608"/>
      <c r="Q24" s="609"/>
      <c r="R24" s="609"/>
      <c r="S24" s="609"/>
      <c r="T24" s="609"/>
      <c r="U24" s="610"/>
    </row>
    <row r="25" spans="2:21">
      <c r="B25" s="64" t="s">
        <v>750</v>
      </c>
      <c r="C25" s="64">
        <v>3</v>
      </c>
      <c r="D25" s="64">
        <v>5</v>
      </c>
      <c r="E25" s="64">
        <v>30.2</v>
      </c>
      <c r="P25" s="608"/>
      <c r="Q25" s="609"/>
      <c r="R25" s="609"/>
      <c r="S25" s="609"/>
      <c r="T25" s="609"/>
      <c r="U25" s="610"/>
    </row>
    <row r="26" spans="2:21">
      <c r="B26" s="64" t="s">
        <v>757</v>
      </c>
      <c r="C26" s="64">
        <v>4</v>
      </c>
      <c r="D26" s="64">
        <v>1</v>
      </c>
      <c r="E26" s="64">
        <v>10.7</v>
      </c>
      <c r="P26" s="608"/>
      <c r="Q26" s="609"/>
      <c r="R26" s="609"/>
      <c r="S26" s="609"/>
      <c r="T26" s="609"/>
      <c r="U26" s="610"/>
    </row>
    <row r="27" spans="2:21">
      <c r="B27" s="64" t="s">
        <v>758</v>
      </c>
      <c r="C27" s="64">
        <v>4</v>
      </c>
      <c r="D27" s="64">
        <v>2</v>
      </c>
      <c r="E27" s="64">
        <v>34.200000000000003</v>
      </c>
      <c r="P27" s="608"/>
      <c r="Q27" s="609"/>
      <c r="R27" s="609"/>
      <c r="S27" s="609"/>
      <c r="T27" s="609"/>
      <c r="U27" s="610"/>
    </row>
    <row r="28" spans="2:21">
      <c r="B28" s="64" t="s">
        <v>749</v>
      </c>
      <c r="C28" s="64">
        <v>4</v>
      </c>
      <c r="D28" s="64">
        <v>3</v>
      </c>
      <c r="E28" s="64">
        <v>19.5</v>
      </c>
      <c r="P28" s="608"/>
      <c r="Q28" s="609"/>
      <c r="R28" s="609"/>
      <c r="S28" s="609"/>
      <c r="T28" s="609"/>
      <c r="U28" s="610"/>
    </row>
    <row r="29" spans="2:21">
      <c r="B29" s="64" t="s">
        <v>750</v>
      </c>
      <c r="C29" s="64">
        <v>4</v>
      </c>
      <c r="D29" s="64">
        <v>4</v>
      </c>
      <c r="E29" s="64">
        <v>27.2</v>
      </c>
      <c r="P29" s="608"/>
      <c r="Q29" s="609"/>
      <c r="R29" s="609"/>
      <c r="S29" s="609"/>
      <c r="T29" s="609"/>
      <c r="U29" s="610"/>
    </row>
    <row r="30" spans="2:21">
      <c r="B30" s="64" t="s">
        <v>756</v>
      </c>
      <c r="C30" s="64">
        <v>4</v>
      </c>
      <c r="D30" s="64">
        <v>5</v>
      </c>
      <c r="E30" s="64">
        <v>21.6</v>
      </c>
      <c r="P30" s="608"/>
      <c r="Q30" s="609"/>
      <c r="R30" s="609"/>
      <c r="S30" s="609"/>
      <c r="T30" s="609"/>
      <c r="U30" s="610"/>
    </row>
    <row r="31" spans="2:21">
      <c r="B31" s="64" t="s">
        <v>758</v>
      </c>
      <c r="C31" s="64">
        <v>5</v>
      </c>
      <c r="D31" s="64">
        <v>1</v>
      </c>
      <c r="E31" s="64">
        <v>14.6</v>
      </c>
      <c r="P31" s="608"/>
      <c r="Q31" s="609"/>
      <c r="R31" s="609"/>
      <c r="S31" s="609"/>
      <c r="T31" s="609"/>
      <c r="U31" s="610"/>
    </row>
    <row r="32" spans="2:21" ht="17" thickBot="1">
      <c r="B32" s="64" t="s">
        <v>749</v>
      </c>
      <c r="C32" s="64">
        <v>5</v>
      </c>
      <c r="D32" s="64">
        <v>2</v>
      </c>
      <c r="E32" s="64">
        <v>31.7</v>
      </c>
      <c r="P32" s="611"/>
      <c r="Q32" s="612"/>
      <c r="R32" s="612"/>
      <c r="S32" s="612"/>
      <c r="T32" s="612"/>
      <c r="U32" s="613"/>
    </row>
    <row r="33" spans="2:16">
      <c r="B33" s="64" t="s">
        <v>750</v>
      </c>
      <c r="C33" s="64">
        <v>5</v>
      </c>
      <c r="D33" s="64">
        <v>3</v>
      </c>
      <c r="E33" s="64">
        <v>16.7</v>
      </c>
    </row>
    <row r="34" spans="2:16">
      <c r="B34" s="64" t="s">
        <v>756</v>
      </c>
      <c r="C34" s="64">
        <v>5</v>
      </c>
      <c r="D34" s="64">
        <v>4</v>
      </c>
      <c r="E34" s="64">
        <v>26.3</v>
      </c>
    </row>
    <row r="35" spans="2:16" ht="37">
      <c r="B35" s="64" t="s">
        <v>757</v>
      </c>
      <c r="C35" s="64">
        <v>5</v>
      </c>
      <c r="D35" s="64">
        <v>5</v>
      </c>
      <c r="E35" s="64">
        <v>23.8</v>
      </c>
      <c r="P35" s="343" t="s">
        <v>741</v>
      </c>
    </row>
    <row r="36" spans="2:16">
      <c r="B36" s="64"/>
      <c r="C36" s="64"/>
      <c r="D36" s="64"/>
      <c r="E36" s="64"/>
    </row>
    <row r="37" spans="2:16">
      <c r="B37" s="64"/>
      <c r="C37" s="64"/>
      <c r="D37" s="64"/>
      <c r="E37" s="64"/>
    </row>
    <row r="38" spans="2:16">
      <c r="B38" s="64"/>
      <c r="C38" s="64"/>
      <c r="D38" s="64"/>
      <c r="E38" s="64"/>
    </row>
    <row r="39" spans="2:16">
      <c r="B39" s="64"/>
      <c r="C39" s="64"/>
      <c r="D39" s="64"/>
      <c r="E39" s="64"/>
    </row>
  </sheetData>
  <mergeCells count="2">
    <mergeCell ref="C2:G2"/>
    <mergeCell ref="P21:U32"/>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7A665-E05D-2746-BDF9-1E41E54389EC}">
  <dimension ref="B2:W27"/>
  <sheetViews>
    <sheetView zoomScale="80" zoomScaleNormal="80" workbookViewId="0">
      <selection activeCell="S36" sqref="S36"/>
    </sheetView>
  </sheetViews>
  <sheetFormatPr baseColWidth="10" defaultRowHeight="16"/>
  <cols>
    <col min="2" max="2" width="16.33203125" bestFit="1" customWidth="1"/>
  </cols>
  <sheetData>
    <row r="2" spans="2:23">
      <c r="B2" s="287"/>
      <c r="C2" s="614" t="s">
        <v>571</v>
      </c>
      <c r="D2" s="614"/>
      <c r="E2" s="614"/>
      <c r="F2" s="614"/>
    </row>
    <row r="3" spans="2:23">
      <c r="B3" s="288" t="s">
        <v>597</v>
      </c>
      <c r="C3" s="288">
        <v>1</v>
      </c>
      <c r="D3" s="288">
        <v>2</v>
      </c>
      <c r="E3" s="288">
        <v>3</v>
      </c>
      <c r="F3" s="288">
        <v>4</v>
      </c>
    </row>
    <row r="4" spans="2:23">
      <c r="B4" s="289">
        <v>1</v>
      </c>
      <c r="C4" s="289" t="s">
        <v>598</v>
      </c>
      <c r="D4" s="289" t="s">
        <v>602</v>
      </c>
      <c r="E4" s="289" t="s">
        <v>606</v>
      </c>
      <c r="F4" s="289" t="s">
        <v>609</v>
      </c>
    </row>
    <row r="5" spans="2:23">
      <c r="B5" s="289">
        <v>2</v>
      </c>
      <c r="C5" s="289" t="s">
        <v>599</v>
      </c>
      <c r="D5" s="289" t="s">
        <v>603</v>
      </c>
      <c r="E5" s="289" t="s">
        <v>602</v>
      </c>
      <c r="F5" s="289" t="s">
        <v>610</v>
      </c>
    </row>
    <row r="6" spans="2:23">
      <c r="B6" s="289">
        <v>3</v>
      </c>
      <c r="C6" s="289" t="s">
        <v>600</v>
      </c>
      <c r="D6" s="289" t="s">
        <v>604</v>
      </c>
      <c r="E6" s="290" t="s">
        <v>607</v>
      </c>
      <c r="F6" s="289" t="s">
        <v>611</v>
      </c>
    </row>
    <row r="7" spans="2:23">
      <c r="B7" s="288">
        <v>4</v>
      </c>
      <c r="C7" s="288" t="s">
        <v>601</v>
      </c>
      <c r="D7" s="288" t="s">
        <v>605</v>
      </c>
      <c r="E7" s="288" t="s">
        <v>608</v>
      </c>
      <c r="F7" s="288" t="s">
        <v>612</v>
      </c>
    </row>
    <row r="9" spans="2:23">
      <c r="B9" s="64" t="s">
        <v>753</v>
      </c>
      <c r="C9" s="64" t="s">
        <v>754</v>
      </c>
      <c r="D9" s="64" t="s">
        <v>755</v>
      </c>
      <c r="E9" s="64" t="s">
        <v>421</v>
      </c>
    </row>
    <row r="10" spans="2:23">
      <c r="B10" s="64" t="s">
        <v>756</v>
      </c>
      <c r="C10" s="64">
        <v>1</v>
      </c>
      <c r="D10" s="64">
        <v>1</v>
      </c>
      <c r="E10" s="64">
        <v>90</v>
      </c>
    </row>
    <row r="11" spans="2:23">
      <c r="B11" s="64" t="s">
        <v>757</v>
      </c>
      <c r="C11" s="64">
        <v>1</v>
      </c>
      <c r="D11" s="64">
        <v>2</v>
      </c>
      <c r="E11" s="64">
        <v>96</v>
      </c>
    </row>
    <row r="12" spans="2:23" ht="17" thickBot="1">
      <c r="B12" s="64" t="s">
        <v>749</v>
      </c>
      <c r="C12" s="64">
        <v>1</v>
      </c>
      <c r="D12" s="64">
        <v>3</v>
      </c>
      <c r="E12" s="64">
        <v>84</v>
      </c>
    </row>
    <row r="13" spans="2:23">
      <c r="B13" s="64" t="s">
        <v>750</v>
      </c>
      <c r="C13" s="64">
        <v>1</v>
      </c>
      <c r="D13" s="64">
        <v>4</v>
      </c>
      <c r="E13" s="64">
        <v>88</v>
      </c>
      <c r="R13" s="605" t="s">
        <v>760</v>
      </c>
      <c r="S13" s="606"/>
      <c r="T13" s="606"/>
      <c r="U13" s="606"/>
      <c r="V13" s="606"/>
      <c r="W13" s="607"/>
    </row>
    <row r="14" spans="2:23">
      <c r="B14" s="64" t="s">
        <v>750</v>
      </c>
      <c r="C14" s="64">
        <v>2</v>
      </c>
      <c r="D14" s="64">
        <v>1</v>
      </c>
      <c r="E14" s="64">
        <v>90</v>
      </c>
      <c r="R14" s="608"/>
      <c r="S14" s="609"/>
      <c r="T14" s="609"/>
      <c r="U14" s="609"/>
      <c r="V14" s="609"/>
      <c r="W14" s="610"/>
    </row>
    <row r="15" spans="2:23">
      <c r="B15" s="64" t="s">
        <v>756</v>
      </c>
      <c r="C15" s="64">
        <v>2</v>
      </c>
      <c r="D15" s="64">
        <v>2</v>
      </c>
      <c r="E15" s="64">
        <v>91</v>
      </c>
      <c r="R15" s="608"/>
      <c r="S15" s="609"/>
      <c r="T15" s="609"/>
      <c r="U15" s="609"/>
      <c r="V15" s="609"/>
      <c r="W15" s="610"/>
    </row>
    <row r="16" spans="2:23">
      <c r="B16" s="64" t="s">
        <v>757</v>
      </c>
      <c r="C16" s="64">
        <v>2</v>
      </c>
      <c r="D16" s="64">
        <v>3</v>
      </c>
      <c r="E16" s="64">
        <v>96</v>
      </c>
      <c r="R16" s="608"/>
      <c r="S16" s="609"/>
      <c r="T16" s="609"/>
      <c r="U16" s="609"/>
      <c r="V16" s="609"/>
      <c r="W16" s="610"/>
    </row>
    <row r="17" spans="2:23">
      <c r="B17" s="64" t="s">
        <v>749</v>
      </c>
      <c r="C17" s="64">
        <v>2</v>
      </c>
      <c r="D17" s="64">
        <v>4</v>
      </c>
      <c r="E17" s="64">
        <v>88</v>
      </c>
      <c r="R17" s="608"/>
      <c r="S17" s="609"/>
      <c r="T17" s="609"/>
      <c r="U17" s="609"/>
      <c r="V17" s="609"/>
      <c r="W17" s="610"/>
    </row>
    <row r="18" spans="2:23">
      <c r="B18" s="64" t="s">
        <v>749</v>
      </c>
      <c r="C18" s="64">
        <v>3</v>
      </c>
      <c r="D18" s="64">
        <v>1</v>
      </c>
      <c r="E18" s="64">
        <v>89</v>
      </c>
      <c r="R18" s="608"/>
      <c r="S18" s="609"/>
      <c r="T18" s="609"/>
      <c r="U18" s="609"/>
      <c r="V18" s="609"/>
      <c r="W18" s="610"/>
    </row>
    <row r="19" spans="2:23">
      <c r="B19" s="64" t="s">
        <v>750</v>
      </c>
      <c r="C19" s="64">
        <v>3</v>
      </c>
      <c r="D19" s="64">
        <v>2</v>
      </c>
      <c r="E19" s="64">
        <v>97</v>
      </c>
      <c r="R19" s="608"/>
      <c r="S19" s="609"/>
      <c r="T19" s="609"/>
      <c r="U19" s="609"/>
      <c r="V19" s="609"/>
      <c r="W19" s="610"/>
    </row>
    <row r="20" spans="2:23">
      <c r="B20" s="64" t="s">
        <v>756</v>
      </c>
      <c r="C20" s="64">
        <v>3</v>
      </c>
      <c r="D20" s="64">
        <v>3</v>
      </c>
      <c r="E20" s="64">
        <v>98</v>
      </c>
      <c r="R20" s="608"/>
      <c r="S20" s="609"/>
      <c r="T20" s="609"/>
      <c r="U20" s="609"/>
      <c r="V20" s="609"/>
      <c r="W20" s="610"/>
    </row>
    <row r="21" spans="2:23">
      <c r="B21" s="64" t="s">
        <v>757</v>
      </c>
      <c r="C21" s="64">
        <v>3</v>
      </c>
      <c r="D21" s="64">
        <v>4</v>
      </c>
      <c r="E21" s="64">
        <v>98</v>
      </c>
      <c r="R21" s="608"/>
      <c r="S21" s="609"/>
      <c r="T21" s="609"/>
      <c r="U21" s="609"/>
      <c r="V21" s="609"/>
      <c r="W21" s="610"/>
    </row>
    <row r="22" spans="2:23">
      <c r="B22" s="64" t="s">
        <v>757</v>
      </c>
      <c r="C22" s="64">
        <v>4</v>
      </c>
      <c r="D22" s="64">
        <v>1</v>
      </c>
      <c r="E22" s="64">
        <v>104</v>
      </c>
      <c r="R22" s="608"/>
      <c r="S22" s="609"/>
      <c r="T22" s="609"/>
      <c r="U22" s="609"/>
      <c r="V22" s="609"/>
      <c r="W22" s="610"/>
    </row>
    <row r="23" spans="2:23">
      <c r="B23" s="64" t="s">
        <v>749</v>
      </c>
      <c r="C23" s="64">
        <v>4</v>
      </c>
      <c r="D23" s="64">
        <v>2</v>
      </c>
      <c r="E23" s="64">
        <v>100</v>
      </c>
      <c r="R23" s="608"/>
      <c r="S23" s="609"/>
      <c r="T23" s="609"/>
      <c r="U23" s="609"/>
      <c r="V23" s="609"/>
      <c r="W23" s="610"/>
    </row>
    <row r="24" spans="2:23" ht="17" thickBot="1">
      <c r="B24" s="64" t="s">
        <v>750</v>
      </c>
      <c r="C24" s="64">
        <v>4</v>
      </c>
      <c r="D24" s="64">
        <v>3</v>
      </c>
      <c r="E24" s="64">
        <v>104</v>
      </c>
      <c r="R24" s="611"/>
      <c r="S24" s="612"/>
      <c r="T24" s="612"/>
      <c r="U24" s="612"/>
      <c r="V24" s="612"/>
      <c r="W24" s="613"/>
    </row>
    <row r="25" spans="2:23">
      <c r="B25" s="64" t="s">
        <v>756</v>
      </c>
      <c r="C25" s="64">
        <v>4</v>
      </c>
      <c r="D25" s="64">
        <v>4</v>
      </c>
      <c r="E25" s="64">
        <v>106</v>
      </c>
    </row>
    <row r="26" spans="2:23">
      <c r="C26" s="64"/>
    </row>
    <row r="27" spans="2:23" ht="37">
      <c r="R27" s="343" t="s">
        <v>741</v>
      </c>
    </row>
  </sheetData>
  <mergeCells count="2">
    <mergeCell ref="C2:F2"/>
    <mergeCell ref="R13:W24"/>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09FD0-80EE-FC45-9566-3ECF53D62CD5}">
  <dimension ref="B2:G42"/>
  <sheetViews>
    <sheetView zoomScale="80" zoomScaleNormal="80" workbookViewId="0">
      <selection activeCell="U43" sqref="U43"/>
    </sheetView>
  </sheetViews>
  <sheetFormatPr baseColWidth="10" defaultRowHeight="16"/>
  <cols>
    <col min="2" max="2" width="24.1640625" bestFit="1" customWidth="1"/>
  </cols>
  <sheetData>
    <row r="2" spans="2:6">
      <c r="B2" s="287"/>
      <c r="C2" s="614" t="s">
        <v>614</v>
      </c>
      <c r="D2" s="614"/>
      <c r="E2" s="614"/>
      <c r="F2" s="614"/>
    </row>
    <row r="3" spans="2:6">
      <c r="B3" s="288" t="s">
        <v>613</v>
      </c>
      <c r="C3" s="288">
        <v>1</v>
      </c>
      <c r="D3" s="288">
        <v>2</v>
      </c>
      <c r="E3" s="288">
        <v>3</v>
      </c>
      <c r="F3" s="288">
        <v>4</v>
      </c>
    </row>
    <row r="4" spans="2:6">
      <c r="B4" s="289">
        <v>1</v>
      </c>
      <c r="C4" s="289" t="s">
        <v>615</v>
      </c>
      <c r="D4" s="289" t="s">
        <v>619</v>
      </c>
      <c r="E4" s="289" t="s">
        <v>623</v>
      </c>
      <c r="F4" s="289" t="s">
        <v>627</v>
      </c>
    </row>
    <row r="5" spans="2:6">
      <c r="B5" s="289">
        <v>2</v>
      </c>
      <c r="C5" s="289" t="s">
        <v>616</v>
      </c>
      <c r="D5" s="289" t="s">
        <v>620</v>
      </c>
      <c r="E5" s="289" t="s">
        <v>624</v>
      </c>
      <c r="F5" s="289" t="s">
        <v>628</v>
      </c>
    </row>
    <row r="6" spans="2:6">
      <c r="B6" s="289">
        <v>3</v>
      </c>
      <c r="C6" s="289" t="s">
        <v>617</v>
      </c>
      <c r="D6" s="289" t="s">
        <v>621</v>
      </c>
      <c r="E6" s="290" t="s">
        <v>625</v>
      </c>
      <c r="F6" s="289" t="s">
        <v>629</v>
      </c>
    </row>
    <row r="7" spans="2:6">
      <c r="B7" s="288">
        <v>4</v>
      </c>
      <c r="C7" s="288" t="s">
        <v>618</v>
      </c>
      <c r="D7" s="288" t="s">
        <v>622</v>
      </c>
      <c r="E7" s="288" t="s">
        <v>626</v>
      </c>
      <c r="F7" s="288" t="s">
        <v>630</v>
      </c>
    </row>
    <row r="9" spans="2:6">
      <c r="B9" s="64" t="s">
        <v>753</v>
      </c>
      <c r="C9" s="64" t="s">
        <v>754</v>
      </c>
      <c r="D9" s="64" t="s">
        <v>755</v>
      </c>
      <c r="E9" s="64" t="s">
        <v>421</v>
      </c>
    </row>
    <row r="10" spans="2:6">
      <c r="B10" s="64" t="s">
        <v>757</v>
      </c>
      <c r="C10" s="64">
        <v>1</v>
      </c>
      <c r="D10" s="64">
        <v>1</v>
      </c>
      <c r="E10" s="64">
        <v>785</v>
      </c>
    </row>
    <row r="11" spans="2:6">
      <c r="B11" s="64" t="s">
        <v>749</v>
      </c>
      <c r="C11" s="64">
        <v>1</v>
      </c>
      <c r="D11" s="64">
        <v>2</v>
      </c>
      <c r="E11" s="64">
        <v>730</v>
      </c>
    </row>
    <row r="12" spans="2:6">
      <c r="B12" s="64" t="s">
        <v>756</v>
      </c>
      <c r="C12" s="64">
        <v>1</v>
      </c>
      <c r="D12" s="64">
        <v>3</v>
      </c>
      <c r="E12" s="64">
        <v>700</v>
      </c>
    </row>
    <row r="13" spans="2:6">
      <c r="B13" s="64" t="s">
        <v>750</v>
      </c>
      <c r="C13" s="64">
        <v>1</v>
      </c>
      <c r="D13" s="64">
        <v>4</v>
      </c>
      <c r="E13" s="64">
        <v>595</v>
      </c>
    </row>
    <row r="14" spans="2:6">
      <c r="B14" s="64" t="s">
        <v>749</v>
      </c>
      <c r="C14" s="64">
        <v>2</v>
      </c>
      <c r="D14" s="64">
        <v>1</v>
      </c>
      <c r="E14" s="64">
        <v>855</v>
      </c>
    </row>
    <row r="15" spans="2:6">
      <c r="B15" s="64" t="s">
        <v>750</v>
      </c>
      <c r="C15" s="64">
        <v>2</v>
      </c>
      <c r="D15" s="64">
        <v>2</v>
      </c>
      <c r="E15" s="64">
        <v>775</v>
      </c>
    </row>
    <row r="16" spans="2:6">
      <c r="B16" s="64" t="s">
        <v>757</v>
      </c>
      <c r="C16" s="64">
        <v>2</v>
      </c>
      <c r="D16" s="64">
        <v>3</v>
      </c>
      <c r="E16" s="64">
        <v>760</v>
      </c>
    </row>
    <row r="17" spans="2:7">
      <c r="B17" s="64" t="s">
        <v>756</v>
      </c>
      <c r="C17" s="64">
        <v>2</v>
      </c>
      <c r="D17" s="64">
        <v>4</v>
      </c>
      <c r="E17" s="64">
        <v>710</v>
      </c>
    </row>
    <row r="18" spans="2:7">
      <c r="B18" s="64" t="s">
        <v>756</v>
      </c>
      <c r="C18" s="64">
        <v>3</v>
      </c>
      <c r="D18" s="64">
        <v>1</v>
      </c>
      <c r="E18" s="64">
        <v>950</v>
      </c>
    </row>
    <row r="19" spans="2:7">
      <c r="B19" s="64" t="s">
        <v>757</v>
      </c>
      <c r="C19" s="64">
        <v>3</v>
      </c>
      <c r="D19" s="64">
        <v>2</v>
      </c>
      <c r="E19" s="64">
        <v>885</v>
      </c>
    </row>
    <row r="20" spans="2:7">
      <c r="B20" s="64" t="s">
        <v>750</v>
      </c>
      <c r="C20" s="64">
        <v>3</v>
      </c>
      <c r="D20" s="64">
        <v>3</v>
      </c>
      <c r="E20" s="64">
        <v>795</v>
      </c>
    </row>
    <row r="21" spans="2:7">
      <c r="B21" s="64" t="s">
        <v>749</v>
      </c>
      <c r="C21" s="64">
        <v>3</v>
      </c>
      <c r="D21" s="64">
        <v>4</v>
      </c>
      <c r="E21" s="64">
        <v>780</v>
      </c>
    </row>
    <row r="22" spans="2:7">
      <c r="B22" s="64" t="s">
        <v>750</v>
      </c>
      <c r="C22" s="64">
        <v>4</v>
      </c>
      <c r="D22" s="64">
        <v>1</v>
      </c>
      <c r="E22" s="64">
        <v>945</v>
      </c>
    </row>
    <row r="23" spans="2:7">
      <c r="B23" s="64" t="s">
        <v>756</v>
      </c>
      <c r="C23" s="64">
        <v>4</v>
      </c>
      <c r="D23" s="64">
        <v>2</v>
      </c>
      <c r="E23" s="64">
        <v>950</v>
      </c>
    </row>
    <row r="24" spans="2:7">
      <c r="B24" s="64" t="s">
        <v>749</v>
      </c>
      <c r="C24" s="64">
        <v>4</v>
      </c>
      <c r="D24" s="64">
        <v>3</v>
      </c>
      <c r="E24" s="64">
        <v>880</v>
      </c>
    </row>
    <row r="25" spans="2:7">
      <c r="B25" s="64" t="s">
        <v>757</v>
      </c>
      <c r="C25" s="64">
        <v>4</v>
      </c>
      <c r="D25" s="64">
        <v>4</v>
      </c>
      <c r="E25" s="64">
        <v>835</v>
      </c>
    </row>
    <row r="28" spans="2:7" ht="16" customHeight="1">
      <c r="B28" s="615" t="s">
        <v>761</v>
      </c>
      <c r="C28" s="615"/>
      <c r="D28" s="615"/>
      <c r="E28" s="615"/>
      <c r="F28" s="348"/>
      <c r="G28" s="348"/>
    </row>
    <row r="29" spans="2:7" ht="16" customHeight="1">
      <c r="B29" s="615"/>
      <c r="C29" s="615"/>
      <c r="D29" s="615"/>
      <c r="E29" s="615"/>
      <c r="F29" s="348"/>
      <c r="G29" s="348"/>
    </row>
    <row r="30" spans="2:7" ht="16" customHeight="1">
      <c r="B30" s="615"/>
      <c r="C30" s="615"/>
      <c r="D30" s="615"/>
      <c r="E30" s="615"/>
      <c r="F30" s="348"/>
      <c r="G30" s="348"/>
    </row>
    <row r="31" spans="2:7" ht="16" customHeight="1">
      <c r="B31" s="615"/>
      <c r="C31" s="615"/>
      <c r="D31" s="615"/>
      <c r="E31" s="615"/>
      <c r="F31" s="348"/>
      <c r="G31" s="348"/>
    </row>
    <row r="32" spans="2:7" ht="16" customHeight="1">
      <c r="B32" s="615"/>
      <c r="C32" s="615"/>
      <c r="D32" s="615"/>
      <c r="E32" s="615"/>
      <c r="F32" s="348"/>
      <c r="G32" s="348"/>
    </row>
    <row r="33" spans="2:7" ht="16" customHeight="1">
      <c r="B33" s="615"/>
      <c r="C33" s="615"/>
      <c r="D33" s="615"/>
      <c r="E33" s="615"/>
      <c r="F33" s="348"/>
      <c r="G33" s="348"/>
    </row>
    <row r="34" spans="2:7" ht="16" customHeight="1">
      <c r="B34" s="615"/>
      <c r="C34" s="615"/>
      <c r="D34" s="615"/>
      <c r="E34" s="615"/>
      <c r="F34" s="348"/>
      <c r="G34" s="348"/>
    </row>
    <row r="35" spans="2:7" ht="16" customHeight="1">
      <c r="B35" s="615"/>
      <c r="C35" s="615"/>
      <c r="D35" s="615"/>
      <c r="E35" s="615"/>
      <c r="F35" s="348"/>
      <c r="G35" s="348"/>
    </row>
    <row r="36" spans="2:7" ht="16" customHeight="1">
      <c r="B36" s="615"/>
      <c r="C36" s="615"/>
      <c r="D36" s="615"/>
      <c r="E36" s="615"/>
      <c r="F36" s="348"/>
      <c r="G36" s="348"/>
    </row>
    <row r="37" spans="2:7" ht="16" customHeight="1">
      <c r="B37" s="615"/>
      <c r="C37" s="615"/>
      <c r="D37" s="615"/>
      <c r="E37" s="615"/>
      <c r="F37" s="348"/>
      <c r="G37" s="348"/>
    </row>
    <row r="38" spans="2:7" ht="16" customHeight="1">
      <c r="B38" s="615"/>
      <c r="C38" s="615"/>
      <c r="D38" s="615"/>
      <c r="E38" s="615"/>
      <c r="F38" s="348"/>
      <c r="G38" s="348"/>
    </row>
    <row r="39" spans="2:7" ht="17" customHeight="1">
      <c r="B39" s="615"/>
      <c r="C39" s="615"/>
      <c r="D39" s="615"/>
      <c r="E39" s="615"/>
      <c r="F39" s="348"/>
      <c r="G39" s="348"/>
    </row>
    <row r="40" spans="2:7">
      <c r="B40" s="615"/>
      <c r="C40" s="615"/>
      <c r="D40" s="615"/>
      <c r="E40" s="615"/>
    </row>
    <row r="42" spans="2:7" ht="37">
      <c r="B42" s="343" t="s">
        <v>741</v>
      </c>
    </row>
  </sheetData>
  <mergeCells count="2">
    <mergeCell ref="C2:F2"/>
    <mergeCell ref="B28:E40"/>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85A0-86DD-4B48-BFD9-79C073571FBD}">
  <dimension ref="B2:F42"/>
  <sheetViews>
    <sheetView zoomScale="80" zoomScaleNormal="80" workbookViewId="0">
      <selection activeCell="F41" sqref="F41"/>
    </sheetView>
  </sheetViews>
  <sheetFormatPr baseColWidth="10" defaultRowHeight="16"/>
  <cols>
    <col min="2" max="2" width="11.1640625" bestFit="1" customWidth="1"/>
  </cols>
  <sheetData>
    <row r="2" spans="2:6">
      <c r="B2" s="291"/>
      <c r="C2" s="616" t="s">
        <v>632</v>
      </c>
      <c r="D2" s="616"/>
      <c r="E2" s="616"/>
      <c r="F2" s="616"/>
    </row>
    <row r="3" spans="2:6">
      <c r="B3" s="293" t="s">
        <v>631</v>
      </c>
      <c r="C3" s="293" t="s">
        <v>633</v>
      </c>
      <c r="D3" s="293" t="s">
        <v>634</v>
      </c>
      <c r="E3" s="293" t="s">
        <v>635</v>
      </c>
      <c r="F3" s="293" t="s">
        <v>636</v>
      </c>
    </row>
    <row r="4" spans="2:6">
      <c r="B4" s="292">
        <v>1</v>
      </c>
      <c r="C4" s="292" t="s">
        <v>645</v>
      </c>
      <c r="D4" s="292" t="s">
        <v>640</v>
      </c>
      <c r="E4" s="292" t="s">
        <v>642</v>
      </c>
      <c r="F4" s="292" t="s">
        <v>646</v>
      </c>
    </row>
    <row r="5" spans="2:6">
      <c r="B5" s="292">
        <v>2</v>
      </c>
      <c r="C5" s="292" t="s">
        <v>647</v>
      </c>
      <c r="D5" s="292" t="s">
        <v>648</v>
      </c>
      <c r="E5" s="292" t="s">
        <v>643</v>
      </c>
      <c r="F5" s="292" t="s">
        <v>649</v>
      </c>
    </row>
    <row r="6" spans="2:6">
      <c r="B6" s="292">
        <v>3</v>
      </c>
      <c r="C6" s="292" t="s">
        <v>650</v>
      </c>
      <c r="D6" s="292" t="s">
        <v>641</v>
      </c>
      <c r="E6" s="294" t="s">
        <v>651</v>
      </c>
      <c r="F6" s="292" t="s">
        <v>644</v>
      </c>
    </row>
    <row r="7" spans="2:6">
      <c r="B7" s="293">
        <v>4</v>
      </c>
      <c r="C7" s="293" t="s">
        <v>652</v>
      </c>
      <c r="D7" s="293" t="s">
        <v>653</v>
      </c>
      <c r="E7" s="293" t="s">
        <v>654</v>
      </c>
      <c r="F7" s="293" t="s">
        <v>642</v>
      </c>
    </row>
    <row r="9" spans="2:6">
      <c r="B9" s="64" t="s">
        <v>753</v>
      </c>
      <c r="C9" s="64" t="s">
        <v>754</v>
      </c>
      <c r="D9" s="64" t="s">
        <v>755</v>
      </c>
      <c r="E9" s="64" t="s">
        <v>421</v>
      </c>
    </row>
    <row r="10" spans="2:6">
      <c r="B10" s="64" t="s">
        <v>749</v>
      </c>
      <c r="C10" s="64">
        <v>1</v>
      </c>
      <c r="D10" s="64">
        <v>1</v>
      </c>
      <c r="E10" s="64">
        <v>21</v>
      </c>
    </row>
    <row r="11" spans="2:6">
      <c r="B11" s="64" t="s">
        <v>750</v>
      </c>
      <c r="C11" s="64">
        <v>1</v>
      </c>
      <c r="D11" s="64">
        <v>2</v>
      </c>
      <c r="E11" s="64">
        <v>26</v>
      </c>
    </row>
    <row r="12" spans="2:6">
      <c r="B12" s="64" t="s">
        <v>757</v>
      </c>
      <c r="C12" s="64">
        <v>1</v>
      </c>
      <c r="D12" s="64">
        <v>3</v>
      </c>
      <c r="E12" s="64">
        <v>20</v>
      </c>
    </row>
    <row r="13" spans="2:6">
      <c r="B13" s="64" t="s">
        <v>756</v>
      </c>
      <c r="C13" s="64">
        <v>1</v>
      </c>
      <c r="D13" s="64">
        <v>4</v>
      </c>
      <c r="E13" s="64">
        <v>25</v>
      </c>
    </row>
    <row r="14" spans="2:6">
      <c r="B14" s="64" t="s">
        <v>757</v>
      </c>
      <c r="C14" s="64">
        <v>2</v>
      </c>
      <c r="D14" s="64">
        <v>1</v>
      </c>
      <c r="E14" s="64">
        <v>23</v>
      </c>
    </row>
    <row r="15" spans="2:6">
      <c r="B15" s="64" t="s">
        <v>756</v>
      </c>
      <c r="C15" s="64">
        <v>2</v>
      </c>
      <c r="D15" s="64">
        <v>2</v>
      </c>
      <c r="E15" s="64">
        <v>26</v>
      </c>
    </row>
    <row r="16" spans="2:6">
      <c r="B16" s="64" t="s">
        <v>749</v>
      </c>
      <c r="C16" s="64">
        <v>2</v>
      </c>
      <c r="D16" s="64">
        <v>3</v>
      </c>
      <c r="E16" s="64">
        <v>20</v>
      </c>
    </row>
    <row r="17" spans="2:5">
      <c r="B17" s="64" t="s">
        <v>750</v>
      </c>
      <c r="C17" s="64">
        <v>2</v>
      </c>
      <c r="D17" s="64">
        <v>4</v>
      </c>
      <c r="E17" s="64">
        <v>27</v>
      </c>
    </row>
    <row r="18" spans="2:5">
      <c r="B18" s="64" t="s">
        <v>750</v>
      </c>
      <c r="C18" s="64">
        <v>3</v>
      </c>
      <c r="D18" s="64">
        <v>1</v>
      </c>
      <c r="E18" s="64">
        <v>15</v>
      </c>
    </row>
    <row r="19" spans="2:5">
      <c r="B19" s="64" t="s">
        <v>757</v>
      </c>
      <c r="C19" s="64">
        <v>3</v>
      </c>
      <c r="D19" s="64">
        <v>2</v>
      </c>
      <c r="E19" s="64">
        <v>13</v>
      </c>
    </row>
    <row r="20" spans="2:5">
      <c r="B20" s="64" t="s">
        <v>756</v>
      </c>
      <c r="C20" s="64">
        <v>3</v>
      </c>
      <c r="D20" s="64">
        <v>3</v>
      </c>
      <c r="E20" s="64">
        <v>16</v>
      </c>
    </row>
    <row r="21" spans="2:5">
      <c r="B21" s="64" t="s">
        <v>749</v>
      </c>
      <c r="C21" s="64">
        <v>3</v>
      </c>
      <c r="D21" s="64">
        <v>4</v>
      </c>
      <c r="E21" s="64">
        <v>16</v>
      </c>
    </row>
    <row r="22" spans="2:5">
      <c r="B22" s="64" t="s">
        <v>756</v>
      </c>
      <c r="C22" s="64">
        <v>4</v>
      </c>
      <c r="D22" s="64">
        <v>1</v>
      </c>
      <c r="E22" s="64">
        <v>17</v>
      </c>
    </row>
    <row r="23" spans="2:5">
      <c r="B23" s="64" t="s">
        <v>749</v>
      </c>
      <c r="C23" s="64">
        <v>4</v>
      </c>
      <c r="D23" s="64">
        <v>2</v>
      </c>
      <c r="E23" s="64">
        <v>15</v>
      </c>
    </row>
    <row r="24" spans="2:5">
      <c r="B24" s="64" t="s">
        <v>750</v>
      </c>
      <c r="C24" s="64">
        <v>4</v>
      </c>
      <c r="D24" s="64">
        <v>3</v>
      </c>
      <c r="E24" s="64">
        <v>20</v>
      </c>
    </row>
    <row r="25" spans="2:5">
      <c r="B25" s="64" t="s">
        <v>757</v>
      </c>
      <c r="C25" s="64">
        <v>4</v>
      </c>
      <c r="D25" s="64">
        <v>4</v>
      </c>
      <c r="E25" s="64">
        <v>20</v>
      </c>
    </row>
    <row r="27" spans="2:5" ht="17" thickBot="1"/>
    <row r="28" spans="2:5">
      <c r="B28" s="617" t="s">
        <v>762</v>
      </c>
      <c r="C28" s="618"/>
      <c r="D28" s="618"/>
      <c r="E28" s="619"/>
    </row>
    <row r="29" spans="2:5">
      <c r="B29" s="620"/>
      <c r="C29" s="615"/>
      <c r="D29" s="615"/>
      <c r="E29" s="621"/>
    </row>
    <row r="30" spans="2:5">
      <c r="B30" s="620"/>
      <c r="C30" s="615"/>
      <c r="D30" s="615"/>
      <c r="E30" s="621"/>
    </row>
    <row r="31" spans="2:5">
      <c r="B31" s="620"/>
      <c r="C31" s="615"/>
      <c r="D31" s="615"/>
      <c r="E31" s="621"/>
    </row>
    <row r="32" spans="2:5">
      <c r="B32" s="620"/>
      <c r="C32" s="615"/>
      <c r="D32" s="615"/>
      <c r="E32" s="621"/>
    </row>
    <row r="33" spans="2:5">
      <c r="B33" s="620"/>
      <c r="C33" s="615"/>
      <c r="D33" s="615"/>
      <c r="E33" s="621"/>
    </row>
    <row r="34" spans="2:5">
      <c r="B34" s="620"/>
      <c r="C34" s="615"/>
      <c r="D34" s="615"/>
      <c r="E34" s="621"/>
    </row>
    <row r="35" spans="2:5">
      <c r="B35" s="620"/>
      <c r="C35" s="615"/>
      <c r="D35" s="615"/>
      <c r="E35" s="621"/>
    </row>
    <row r="36" spans="2:5">
      <c r="B36" s="620"/>
      <c r="C36" s="615"/>
      <c r="D36" s="615"/>
      <c r="E36" s="621"/>
    </row>
    <row r="37" spans="2:5">
      <c r="B37" s="620"/>
      <c r="C37" s="615"/>
      <c r="D37" s="615"/>
      <c r="E37" s="621"/>
    </row>
    <row r="38" spans="2:5">
      <c r="B38" s="620"/>
      <c r="C38" s="615"/>
      <c r="D38" s="615"/>
      <c r="E38" s="621"/>
    </row>
    <row r="39" spans="2:5">
      <c r="B39" s="620"/>
      <c r="C39" s="615"/>
      <c r="D39" s="615"/>
      <c r="E39" s="621"/>
    </row>
    <row r="40" spans="2:5" ht="17" thickBot="1">
      <c r="B40" s="622"/>
      <c r="C40" s="623"/>
      <c r="D40" s="623"/>
      <c r="E40" s="624"/>
    </row>
    <row r="42" spans="2:5" ht="37">
      <c r="B42" s="343" t="s">
        <v>741</v>
      </c>
    </row>
  </sheetData>
  <mergeCells count="2">
    <mergeCell ref="C2:F2"/>
    <mergeCell ref="B28:E40"/>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1867A-B8B5-394D-AFA8-44C4B0493BA2}">
  <dimension ref="B2:T35"/>
  <sheetViews>
    <sheetView workbookViewId="0">
      <selection activeCell="S26" sqref="S26"/>
    </sheetView>
  </sheetViews>
  <sheetFormatPr baseColWidth="10" defaultRowHeight="16"/>
  <cols>
    <col min="2" max="2" width="13" bestFit="1" customWidth="1"/>
  </cols>
  <sheetData>
    <row r="2" spans="2:20" ht="17" thickBot="1">
      <c r="B2" s="291"/>
      <c r="C2" s="616" t="s">
        <v>724</v>
      </c>
      <c r="D2" s="616"/>
      <c r="E2" s="616"/>
      <c r="F2" s="616"/>
      <c r="G2" s="616"/>
    </row>
    <row r="3" spans="2:20">
      <c r="B3" s="293" t="s">
        <v>725</v>
      </c>
      <c r="C3" s="293">
        <v>1</v>
      </c>
      <c r="D3" s="293">
        <v>2</v>
      </c>
      <c r="E3" s="293">
        <v>3</v>
      </c>
      <c r="F3" s="293">
        <v>4</v>
      </c>
      <c r="G3" s="293">
        <v>5</v>
      </c>
      <c r="Q3" s="585" t="s">
        <v>792</v>
      </c>
      <c r="R3" s="586"/>
      <c r="S3" s="586"/>
      <c r="T3" s="587"/>
    </row>
    <row r="4" spans="2:20">
      <c r="B4" s="292">
        <v>1</v>
      </c>
      <c r="C4" s="292" t="s">
        <v>656</v>
      </c>
      <c r="D4" s="292" t="s">
        <v>654</v>
      </c>
      <c r="E4" s="292" t="s">
        <v>664</v>
      </c>
      <c r="F4" s="292" t="s">
        <v>667</v>
      </c>
      <c r="G4" s="292" t="s">
        <v>672</v>
      </c>
      <c r="Q4" s="588"/>
      <c r="R4" s="589"/>
      <c r="S4" s="589"/>
      <c r="T4" s="590"/>
    </row>
    <row r="5" spans="2:20">
      <c r="B5" s="292">
        <v>2</v>
      </c>
      <c r="C5" s="292" t="s">
        <v>638</v>
      </c>
      <c r="D5" s="292" t="s">
        <v>660</v>
      </c>
      <c r="E5" s="292" t="s">
        <v>665</v>
      </c>
      <c r="F5" s="292" t="s">
        <v>668</v>
      </c>
      <c r="G5" s="292" t="s">
        <v>673</v>
      </c>
      <c r="Q5" s="588"/>
      <c r="R5" s="589"/>
      <c r="S5" s="589"/>
      <c r="T5" s="590"/>
    </row>
    <row r="6" spans="2:20">
      <c r="B6" s="292">
        <v>3</v>
      </c>
      <c r="C6" s="292" t="s">
        <v>657</v>
      </c>
      <c r="D6" s="292" t="s">
        <v>661</v>
      </c>
      <c r="E6" s="294" t="s">
        <v>666</v>
      </c>
      <c r="F6" s="292" t="s">
        <v>669</v>
      </c>
      <c r="G6" s="292" t="s">
        <v>674</v>
      </c>
      <c r="Q6" s="588"/>
      <c r="R6" s="589"/>
      <c r="S6" s="589"/>
      <c r="T6" s="590"/>
    </row>
    <row r="7" spans="2:20">
      <c r="B7" s="292">
        <v>4</v>
      </c>
      <c r="C7" s="292" t="s">
        <v>658</v>
      </c>
      <c r="D7" s="292" t="s">
        <v>662</v>
      </c>
      <c r="E7" s="292" t="s">
        <v>639</v>
      </c>
      <c r="F7" s="292" t="s">
        <v>670</v>
      </c>
      <c r="G7" s="292" t="s">
        <v>675</v>
      </c>
      <c r="Q7" s="588"/>
      <c r="R7" s="589"/>
      <c r="S7" s="589"/>
      <c r="T7" s="590"/>
    </row>
    <row r="8" spans="2:20">
      <c r="B8" s="293">
        <v>5</v>
      </c>
      <c r="C8" s="293" t="s">
        <v>659</v>
      </c>
      <c r="D8" s="293" t="s">
        <v>663</v>
      </c>
      <c r="E8" s="293" t="s">
        <v>654</v>
      </c>
      <c r="F8" s="293" t="s">
        <v>671</v>
      </c>
      <c r="G8" s="293" t="s">
        <v>676</v>
      </c>
      <c r="Q8" s="588"/>
      <c r="R8" s="589"/>
      <c r="S8" s="589"/>
      <c r="T8" s="590"/>
    </row>
    <row r="9" spans="2:20">
      <c r="Q9" s="588"/>
      <c r="R9" s="589"/>
      <c r="S9" s="589"/>
      <c r="T9" s="590"/>
    </row>
    <row r="10" spans="2:20">
      <c r="B10" t="s">
        <v>753</v>
      </c>
      <c r="C10" s="64" t="s">
        <v>754</v>
      </c>
      <c r="D10" s="64" t="s">
        <v>755</v>
      </c>
      <c r="E10" s="64" t="s">
        <v>421</v>
      </c>
      <c r="Q10" s="588"/>
      <c r="R10" s="589"/>
      <c r="S10" s="589"/>
      <c r="T10" s="590"/>
    </row>
    <row r="11" spans="2:20">
      <c r="B11" s="64" t="s">
        <v>749</v>
      </c>
      <c r="C11" s="64">
        <v>1</v>
      </c>
      <c r="D11" s="64">
        <v>1</v>
      </c>
      <c r="E11" s="64">
        <v>24</v>
      </c>
      <c r="Q11" s="588"/>
      <c r="R11" s="589"/>
      <c r="S11" s="589"/>
      <c r="T11" s="590"/>
    </row>
    <row r="12" spans="2:20">
      <c r="B12" s="64" t="s">
        <v>750</v>
      </c>
      <c r="C12" s="64">
        <v>1</v>
      </c>
      <c r="D12" s="64">
        <v>2</v>
      </c>
      <c r="E12" s="64">
        <v>20</v>
      </c>
      <c r="Q12" s="588"/>
      <c r="R12" s="589"/>
      <c r="S12" s="589"/>
      <c r="T12" s="590"/>
    </row>
    <row r="13" spans="2:20">
      <c r="B13" s="64" t="s">
        <v>756</v>
      </c>
      <c r="C13" s="64">
        <v>1</v>
      </c>
      <c r="D13" s="64">
        <v>3</v>
      </c>
      <c r="E13" s="64">
        <v>19</v>
      </c>
      <c r="Q13" s="588"/>
      <c r="R13" s="589"/>
      <c r="S13" s="589"/>
      <c r="T13" s="590"/>
    </row>
    <row r="14" spans="2:20">
      <c r="B14" s="64" t="s">
        <v>757</v>
      </c>
      <c r="C14" s="64">
        <v>1</v>
      </c>
      <c r="D14" s="64">
        <v>4</v>
      </c>
      <c r="E14" s="64">
        <v>24</v>
      </c>
      <c r="Q14" s="588"/>
      <c r="R14" s="589"/>
      <c r="S14" s="589"/>
      <c r="T14" s="590"/>
    </row>
    <row r="15" spans="2:20" ht="17" thickBot="1">
      <c r="B15" s="64" t="s">
        <v>758</v>
      </c>
      <c r="C15" s="64">
        <v>1</v>
      </c>
      <c r="D15" s="64">
        <v>5</v>
      </c>
      <c r="E15" s="64">
        <v>24</v>
      </c>
      <c r="Q15" s="591"/>
      <c r="R15" s="592"/>
      <c r="S15" s="592"/>
      <c r="T15" s="593"/>
    </row>
    <row r="16" spans="2:20">
      <c r="B16" s="64" t="s">
        <v>750</v>
      </c>
      <c r="C16" s="64">
        <v>2</v>
      </c>
      <c r="D16" s="64">
        <v>1</v>
      </c>
      <c r="E16" s="64">
        <v>17</v>
      </c>
    </row>
    <row r="17" spans="2:17" ht="37">
      <c r="B17" s="64" t="s">
        <v>756</v>
      </c>
      <c r="C17" s="64">
        <v>2</v>
      </c>
      <c r="D17" s="64">
        <v>2</v>
      </c>
      <c r="E17" s="64">
        <v>24</v>
      </c>
      <c r="Q17" s="343" t="s">
        <v>741</v>
      </c>
    </row>
    <row r="18" spans="2:17">
      <c r="B18" s="64" t="s">
        <v>757</v>
      </c>
      <c r="C18" s="64">
        <v>2</v>
      </c>
      <c r="D18" s="64">
        <v>3</v>
      </c>
      <c r="E18" s="64">
        <v>30</v>
      </c>
    </row>
    <row r="19" spans="2:17">
      <c r="B19" s="64" t="s">
        <v>758</v>
      </c>
      <c r="C19" s="64">
        <v>2</v>
      </c>
      <c r="D19" s="64">
        <v>4</v>
      </c>
      <c r="E19" s="64">
        <v>27</v>
      </c>
    </row>
    <row r="20" spans="2:17">
      <c r="B20" s="64" t="s">
        <v>749</v>
      </c>
      <c r="C20" s="64">
        <v>2</v>
      </c>
      <c r="D20" s="64">
        <v>5</v>
      </c>
      <c r="E20" s="64">
        <v>36</v>
      </c>
    </row>
    <row r="21" spans="2:17">
      <c r="B21" s="64" t="s">
        <v>756</v>
      </c>
      <c r="C21" s="64">
        <v>3</v>
      </c>
      <c r="D21" s="64">
        <v>1</v>
      </c>
      <c r="E21" s="64">
        <v>18</v>
      </c>
    </row>
    <row r="22" spans="2:17">
      <c r="B22" s="64" t="s">
        <v>757</v>
      </c>
      <c r="C22" s="64">
        <v>3</v>
      </c>
      <c r="D22" s="64">
        <v>2</v>
      </c>
      <c r="E22" s="64">
        <v>38</v>
      </c>
    </row>
    <row r="23" spans="2:17">
      <c r="B23" s="64" t="s">
        <v>758</v>
      </c>
      <c r="C23" s="64">
        <v>3</v>
      </c>
      <c r="D23" s="64">
        <v>3</v>
      </c>
      <c r="E23" s="64">
        <v>26</v>
      </c>
    </row>
    <row r="24" spans="2:17">
      <c r="B24" s="64" t="s">
        <v>749</v>
      </c>
      <c r="C24" s="64">
        <v>3</v>
      </c>
      <c r="D24" s="64">
        <v>4</v>
      </c>
      <c r="E24" s="64">
        <v>27</v>
      </c>
    </row>
    <row r="25" spans="2:17">
      <c r="B25" s="64" t="s">
        <v>750</v>
      </c>
      <c r="C25" s="64">
        <v>3</v>
      </c>
      <c r="D25" s="64">
        <v>5</v>
      </c>
      <c r="E25" s="64">
        <v>21</v>
      </c>
    </row>
    <row r="26" spans="2:17">
      <c r="B26" s="64" t="s">
        <v>757</v>
      </c>
      <c r="C26" s="64">
        <v>4</v>
      </c>
      <c r="D26" s="64">
        <v>1</v>
      </c>
      <c r="E26" s="64">
        <v>26</v>
      </c>
    </row>
    <row r="27" spans="2:17">
      <c r="B27" s="64" t="s">
        <v>758</v>
      </c>
      <c r="C27" s="64">
        <v>4</v>
      </c>
      <c r="D27" s="64">
        <v>2</v>
      </c>
      <c r="E27" s="64">
        <v>31</v>
      </c>
    </row>
    <row r="28" spans="2:17">
      <c r="B28" s="64" t="s">
        <v>749</v>
      </c>
      <c r="C28" s="64">
        <v>4</v>
      </c>
      <c r="D28" s="64">
        <v>3</v>
      </c>
      <c r="E28" s="64">
        <v>26</v>
      </c>
    </row>
    <row r="29" spans="2:17">
      <c r="B29" s="64" t="s">
        <v>750</v>
      </c>
      <c r="C29" s="64">
        <v>4</v>
      </c>
      <c r="D29" s="64">
        <v>4</v>
      </c>
      <c r="E29" s="64">
        <v>23</v>
      </c>
    </row>
    <row r="30" spans="2:17">
      <c r="B30" s="64" t="s">
        <v>756</v>
      </c>
      <c r="C30" s="64">
        <v>4</v>
      </c>
      <c r="D30" s="64">
        <v>5</v>
      </c>
      <c r="E30" s="64">
        <v>22</v>
      </c>
    </row>
    <row r="31" spans="2:17">
      <c r="B31" s="64" t="s">
        <v>758</v>
      </c>
      <c r="C31" s="64">
        <v>5</v>
      </c>
      <c r="D31" s="64">
        <v>1</v>
      </c>
      <c r="E31" s="64">
        <v>22</v>
      </c>
    </row>
    <row r="32" spans="2:17">
      <c r="B32" s="64" t="s">
        <v>749</v>
      </c>
      <c r="C32" s="64">
        <v>5</v>
      </c>
      <c r="D32" s="64">
        <v>2</v>
      </c>
      <c r="E32" s="64">
        <v>30</v>
      </c>
    </row>
    <row r="33" spans="2:5">
      <c r="B33" s="64" t="s">
        <v>750</v>
      </c>
      <c r="C33" s="64">
        <v>5</v>
      </c>
      <c r="D33" s="64">
        <v>3</v>
      </c>
      <c r="E33" s="64">
        <v>20</v>
      </c>
    </row>
    <row r="34" spans="2:5">
      <c r="B34" s="64" t="s">
        <v>756</v>
      </c>
      <c r="C34" s="64">
        <v>5</v>
      </c>
      <c r="D34" s="64">
        <v>4</v>
      </c>
      <c r="E34" s="64">
        <v>29</v>
      </c>
    </row>
    <row r="35" spans="2:5">
      <c r="B35" s="64" t="s">
        <v>757</v>
      </c>
      <c r="C35" s="64">
        <v>5</v>
      </c>
      <c r="D35" s="64">
        <v>5</v>
      </c>
      <c r="E35" s="64">
        <v>31</v>
      </c>
    </row>
  </sheetData>
  <mergeCells count="2">
    <mergeCell ref="C2:G2"/>
    <mergeCell ref="Q3:T15"/>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4D2CC-7699-1843-9F0E-FCD2FA30C90A}">
  <dimension ref="B2:S18"/>
  <sheetViews>
    <sheetView workbookViewId="0">
      <selection activeCell="D33" sqref="D33"/>
    </sheetView>
  </sheetViews>
  <sheetFormatPr baseColWidth="10" defaultRowHeight="16"/>
  <sheetData>
    <row r="2" spans="2:19">
      <c r="B2" s="287"/>
      <c r="C2" s="614" t="s">
        <v>677</v>
      </c>
      <c r="D2" s="614"/>
      <c r="E2" s="614"/>
    </row>
    <row r="3" spans="2:19" ht="17" thickBot="1">
      <c r="B3" s="288" t="s">
        <v>216</v>
      </c>
      <c r="C3" s="288" t="s">
        <v>678</v>
      </c>
      <c r="D3" s="288" t="s">
        <v>679</v>
      </c>
      <c r="E3" s="288" t="s">
        <v>680</v>
      </c>
    </row>
    <row r="4" spans="2:19">
      <c r="B4" s="289" t="s">
        <v>681</v>
      </c>
      <c r="C4" s="289" t="s">
        <v>683</v>
      </c>
      <c r="D4" s="289" t="s">
        <v>686</v>
      </c>
      <c r="E4" s="289" t="s">
        <v>689</v>
      </c>
      <c r="P4" s="617" t="s">
        <v>788</v>
      </c>
      <c r="Q4" s="618"/>
      <c r="R4" s="618"/>
      <c r="S4" s="619"/>
    </row>
    <row r="5" spans="2:19">
      <c r="B5" s="289" t="s">
        <v>170</v>
      </c>
      <c r="C5" s="289" t="s">
        <v>684</v>
      </c>
      <c r="D5" s="289" t="s">
        <v>687</v>
      </c>
      <c r="E5" s="289" t="s">
        <v>690</v>
      </c>
      <c r="P5" s="620"/>
      <c r="Q5" s="615"/>
      <c r="R5" s="615"/>
      <c r="S5" s="621"/>
    </row>
    <row r="6" spans="2:19">
      <c r="B6" s="288" t="s">
        <v>682</v>
      </c>
      <c r="C6" s="288" t="s">
        <v>685</v>
      </c>
      <c r="D6" s="288" t="s">
        <v>688</v>
      </c>
      <c r="E6" s="295" t="s">
        <v>691</v>
      </c>
      <c r="P6" s="620"/>
      <c r="Q6" s="615"/>
      <c r="R6" s="615"/>
      <c r="S6" s="621"/>
    </row>
    <row r="7" spans="2:19">
      <c r="P7" s="620"/>
      <c r="Q7" s="615"/>
      <c r="R7" s="615"/>
      <c r="S7" s="621"/>
    </row>
    <row r="8" spans="2:19">
      <c r="B8" s="64" t="s">
        <v>753</v>
      </c>
      <c r="C8" s="64" t="s">
        <v>754</v>
      </c>
      <c r="D8" s="64" t="s">
        <v>755</v>
      </c>
      <c r="E8" s="64" t="s">
        <v>421</v>
      </c>
      <c r="P8" s="620"/>
      <c r="Q8" s="615"/>
      <c r="R8" s="615"/>
      <c r="S8" s="621"/>
    </row>
    <row r="9" spans="2:19">
      <c r="B9" s="64" t="s">
        <v>749</v>
      </c>
      <c r="C9" s="64">
        <v>1</v>
      </c>
      <c r="D9" s="64">
        <v>1</v>
      </c>
      <c r="E9" s="64">
        <v>258</v>
      </c>
      <c r="P9" s="620"/>
      <c r="Q9" s="615"/>
      <c r="R9" s="615"/>
      <c r="S9" s="621"/>
    </row>
    <row r="10" spans="2:19">
      <c r="B10" s="64" t="s">
        <v>756</v>
      </c>
      <c r="C10" s="64">
        <v>1</v>
      </c>
      <c r="D10" s="64">
        <v>2</v>
      </c>
      <c r="E10" s="64">
        <v>230</v>
      </c>
      <c r="P10" s="620"/>
      <c r="Q10" s="615"/>
      <c r="R10" s="615"/>
      <c r="S10" s="621"/>
    </row>
    <row r="11" spans="2:19">
      <c r="B11" s="64" t="s">
        <v>750</v>
      </c>
      <c r="C11" s="64">
        <v>1</v>
      </c>
      <c r="D11" s="64">
        <v>3</v>
      </c>
      <c r="E11" s="64">
        <v>240</v>
      </c>
      <c r="P11" s="620"/>
      <c r="Q11" s="615"/>
      <c r="R11" s="615"/>
      <c r="S11" s="621"/>
    </row>
    <row r="12" spans="2:19">
      <c r="B12" s="64" t="s">
        <v>750</v>
      </c>
      <c r="C12" s="64">
        <v>2</v>
      </c>
      <c r="D12" s="64">
        <v>1</v>
      </c>
      <c r="E12" s="64">
        <v>235</v>
      </c>
      <c r="P12" s="620"/>
      <c r="Q12" s="615"/>
      <c r="R12" s="615"/>
      <c r="S12" s="621"/>
    </row>
    <row r="13" spans="2:19">
      <c r="B13" s="64" t="s">
        <v>749</v>
      </c>
      <c r="C13" s="64">
        <v>2</v>
      </c>
      <c r="D13" s="64">
        <v>2</v>
      </c>
      <c r="E13" s="64">
        <v>270</v>
      </c>
      <c r="P13" s="620"/>
      <c r="Q13" s="615"/>
      <c r="R13" s="615"/>
      <c r="S13" s="621"/>
    </row>
    <row r="14" spans="2:19">
      <c r="B14" s="64" t="s">
        <v>756</v>
      </c>
      <c r="C14" s="64">
        <v>2</v>
      </c>
      <c r="D14" s="64">
        <v>3</v>
      </c>
      <c r="E14" s="64">
        <v>240</v>
      </c>
      <c r="P14" s="620"/>
      <c r="Q14" s="615"/>
      <c r="R14" s="615"/>
      <c r="S14" s="621"/>
    </row>
    <row r="15" spans="2:19">
      <c r="B15" s="64" t="s">
        <v>756</v>
      </c>
      <c r="C15" s="64">
        <v>3</v>
      </c>
      <c r="D15" s="64">
        <v>1</v>
      </c>
      <c r="E15" s="64">
        <v>220</v>
      </c>
      <c r="P15" s="620"/>
      <c r="Q15" s="615"/>
      <c r="R15" s="615"/>
      <c r="S15" s="621"/>
    </row>
    <row r="16" spans="2:19" ht="17" thickBot="1">
      <c r="B16" s="64" t="s">
        <v>750</v>
      </c>
      <c r="C16" s="64">
        <v>3</v>
      </c>
      <c r="D16" s="64">
        <v>2</v>
      </c>
      <c r="E16" s="64">
        <v>225</v>
      </c>
      <c r="P16" s="622"/>
      <c r="Q16" s="623"/>
      <c r="R16" s="623"/>
      <c r="S16" s="624"/>
    </row>
    <row r="17" spans="2:16">
      <c r="B17" s="64" t="s">
        <v>749</v>
      </c>
      <c r="C17" s="64">
        <v>3</v>
      </c>
      <c r="D17" s="64">
        <v>3</v>
      </c>
      <c r="E17" s="64">
        <v>260</v>
      </c>
    </row>
    <row r="18" spans="2:16" ht="37">
      <c r="P18" s="343" t="s">
        <v>741</v>
      </c>
    </row>
  </sheetData>
  <mergeCells count="2">
    <mergeCell ref="C2:E2"/>
    <mergeCell ref="P4:S16"/>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50739-151C-9F42-BA04-C255C40F0710}">
  <dimension ref="B2:T35"/>
  <sheetViews>
    <sheetView workbookViewId="0">
      <selection activeCell="S36" sqref="S36"/>
    </sheetView>
  </sheetViews>
  <sheetFormatPr baseColWidth="10" defaultRowHeight="16"/>
  <sheetData>
    <row r="2" spans="2:20">
      <c r="B2" s="287"/>
      <c r="C2" s="614" t="s">
        <v>403</v>
      </c>
      <c r="D2" s="614"/>
      <c r="E2" s="614"/>
      <c r="F2" s="614"/>
      <c r="G2" s="614"/>
    </row>
    <row r="3" spans="2:20" ht="17" thickBot="1">
      <c r="B3" s="288" t="s">
        <v>167</v>
      </c>
      <c r="C3" s="288">
        <v>1</v>
      </c>
      <c r="D3" s="288">
        <v>2</v>
      </c>
      <c r="E3" s="288">
        <v>3</v>
      </c>
      <c r="F3" s="288">
        <v>4</v>
      </c>
      <c r="G3" s="288">
        <v>5</v>
      </c>
    </row>
    <row r="4" spans="2:20">
      <c r="B4" s="289">
        <v>1</v>
      </c>
      <c r="C4" s="289" t="s">
        <v>692</v>
      </c>
      <c r="D4" s="289" t="s">
        <v>697</v>
      </c>
      <c r="E4" s="289" t="s">
        <v>702</v>
      </c>
      <c r="F4" s="289" t="s">
        <v>707</v>
      </c>
      <c r="G4" s="289" t="s">
        <v>711</v>
      </c>
      <c r="Q4" s="617" t="s">
        <v>789</v>
      </c>
      <c r="R4" s="618"/>
      <c r="S4" s="618"/>
      <c r="T4" s="619"/>
    </row>
    <row r="5" spans="2:20">
      <c r="B5" s="289">
        <v>2</v>
      </c>
      <c r="C5" s="289" t="s">
        <v>694</v>
      </c>
      <c r="D5" s="289" t="s">
        <v>698</v>
      </c>
      <c r="E5" s="289" t="s">
        <v>703</v>
      </c>
      <c r="F5" s="289" t="s">
        <v>708</v>
      </c>
      <c r="G5" s="289" t="s">
        <v>712</v>
      </c>
      <c r="Q5" s="620"/>
      <c r="R5" s="615"/>
      <c r="S5" s="615"/>
      <c r="T5" s="621"/>
    </row>
    <row r="6" spans="2:20">
      <c r="B6" s="289">
        <v>3</v>
      </c>
      <c r="C6" s="289" t="s">
        <v>693</v>
      </c>
      <c r="D6" s="289" t="s">
        <v>699</v>
      </c>
      <c r="E6" s="290" t="s">
        <v>704</v>
      </c>
      <c r="F6" s="289" t="s">
        <v>709</v>
      </c>
      <c r="G6" s="289" t="s">
        <v>713</v>
      </c>
      <c r="Q6" s="620"/>
      <c r="R6" s="615"/>
      <c r="S6" s="615"/>
      <c r="T6" s="621"/>
    </row>
    <row r="7" spans="2:20">
      <c r="B7" s="289">
        <v>4</v>
      </c>
      <c r="C7" s="289" t="s">
        <v>695</v>
      </c>
      <c r="D7" s="289" t="s">
        <v>700</v>
      </c>
      <c r="E7" s="289" t="s">
        <v>705</v>
      </c>
      <c r="F7" s="289" t="s">
        <v>710</v>
      </c>
      <c r="G7" s="289" t="s">
        <v>714</v>
      </c>
      <c r="Q7" s="620"/>
      <c r="R7" s="615"/>
      <c r="S7" s="615"/>
      <c r="T7" s="621"/>
    </row>
    <row r="8" spans="2:20">
      <c r="B8" s="288">
        <v>5</v>
      </c>
      <c r="C8" s="288" t="s">
        <v>696</v>
      </c>
      <c r="D8" s="288" t="s">
        <v>701</v>
      </c>
      <c r="E8" s="288" t="s">
        <v>706</v>
      </c>
      <c r="F8" s="288" t="s">
        <v>692</v>
      </c>
      <c r="G8" s="288" t="s">
        <v>700</v>
      </c>
      <c r="Q8" s="620"/>
      <c r="R8" s="615"/>
      <c r="S8" s="615"/>
      <c r="T8" s="621"/>
    </row>
    <row r="9" spans="2:20">
      <c r="Q9" s="620"/>
      <c r="R9" s="615"/>
      <c r="S9" s="615"/>
      <c r="T9" s="621"/>
    </row>
    <row r="10" spans="2:20">
      <c r="B10" t="s">
        <v>753</v>
      </c>
      <c r="C10" s="64" t="s">
        <v>754</v>
      </c>
      <c r="D10" s="64" t="s">
        <v>755</v>
      </c>
      <c r="E10" s="64" t="s">
        <v>421</v>
      </c>
      <c r="Q10" s="620"/>
      <c r="R10" s="615"/>
      <c r="S10" s="615"/>
      <c r="T10" s="621"/>
    </row>
    <row r="11" spans="2:20">
      <c r="B11" s="64" t="s">
        <v>749</v>
      </c>
      <c r="C11" s="64">
        <v>1</v>
      </c>
      <c r="D11" s="64">
        <v>1</v>
      </c>
      <c r="E11" s="64">
        <v>8</v>
      </c>
      <c r="Q11" s="620"/>
      <c r="R11" s="615"/>
      <c r="S11" s="615"/>
      <c r="T11" s="621"/>
    </row>
    <row r="12" spans="2:20">
      <c r="B12" s="64" t="s">
        <v>750</v>
      </c>
      <c r="C12" s="64">
        <v>1</v>
      </c>
      <c r="D12" s="64">
        <v>2</v>
      </c>
      <c r="E12" s="64">
        <v>7</v>
      </c>
      <c r="Q12" s="620"/>
      <c r="R12" s="615"/>
      <c r="S12" s="615"/>
      <c r="T12" s="621"/>
    </row>
    <row r="13" spans="2:20">
      <c r="B13" s="64" t="s">
        <v>757</v>
      </c>
      <c r="C13" s="64">
        <v>1</v>
      </c>
      <c r="D13" s="64">
        <v>3</v>
      </c>
      <c r="E13" s="64">
        <v>1</v>
      </c>
      <c r="Q13" s="620"/>
      <c r="R13" s="615"/>
      <c r="S13" s="615"/>
      <c r="T13" s="621"/>
    </row>
    <row r="14" spans="2:20">
      <c r="B14" s="64" t="s">
        <v>756</v>
      </c>
      <c r="C14" s="64">
        <v>1</v>
      </c>
      <c r="D14" s="64">
        <v>4</v>
      </c>
      <c r="E14" s="64">
        <v>7</v>
      </c>
      <c r="Q14" s="620"/>
      <c r="R14" s="615"/>
      <c r="S14" s="615"/>
      <c r="T14" s="621"/>
    </row>
    <row r="15" spans="2:20">
      <c r="B15" s="64" t="s">
        <v>758</v>
      </c>
      <c r="C15" s="64">
        <v>1</v>
      </c>
      <c r="D15" s="64">
        <v>5</v>
      </c>
      <c r="E15" s="64">
        <v>3</v>
      </c>
      <c r="Q15" s="620"/>
      <c r="R15" s="615"/>
      <c r="S15" s="615"/>
      <c r="T15" s="621"/>
    </row>
    <row r="16" spans="2:20" ht="17" thickBot="1">
      <c r="B16" s="64" t="s">
        <v>756</v>
      </c>
      <c r="C16" s="64">
        <v>2</v>
      </c>
      <c r="D16" s="64">
        <v>1</v>
      </c>
      <c r="E16" s="64">
        <v>11</v>
      </c>
      <c r="Q16" s="622"/>
      <c r="R16" s="623"/>
      <c r="S16" s="623"/>
      <c r="T16" s="624"/>
    </row>
    <row r="17" spans="2:17">
      <c r="B17" s="64" t="s">
        <v>758</v>
      </c>
      <c r="C17" s="64">
        <v>2</v>
      </c>
      <c r="D17" s="64">
        <v>2</v>
      </c>
      <c r="E17" s="64">
        <v>2</v>
      </c>
    </row>
    <row r="18" spans="2:17" ht="37">
      <c r="B18" s="64" t="s">
        <v>749</v>
      </c>
      <c r="C18" s="64">
        <v>2</v>
      </c>
      <c r="D18" s="64">
        <v>3</v>
      </c>
      <c r="E18" s="64">
        <v>7</v>
      </c>
      <c r="Q18" s="343" t="s">
        <v>741</v>
      </c>
    </row>
    <row r="19" spans="2:17">
      <c r="B19" s="64" t="s">
        <v>757</v>
      </c>
      <c r="C19" s="64">
        <v>2</v>
      </c>
      <c r="D19" s="64">
        <v>4</v>
      </c>
      <c r="E19" s="64">
        <v>3</v>
      </c>
    </row>
    <row r="20" spans="2:17">
      <c r="B20" s="64" t="s">
        <v>750</v>
      </c>
      <c r="C20" s="64">
        <v>2</v>
      </c>
      <c r="D20" s="64">
        <v>5</v>
      </c>
      <c r="E20" s="64">
        <v>8</v>
      </c>
    </row>
    <row r="21" spans="2:17">
      <c r="B21" s="64" t="s">
        <v>750</v>
      </c>
      <c r="C21" s="64">
        <v>3</v>
      </c>
      <c r="D21" s="64">
        <v>1</v>
      </c>
      <c r="E21" s="64">
        <v>4</v>
      </c>
    </row>
    <row r="22" spans="2:17">
      <c r="B22" s="64" t="s">
        <v>749</v>
      </c>
      <c r="C22" s="64">
        <v>3</v>
      </c>
      <c r="D22" s="64">
        <v>2</v>
      </c>
      <c r="E22" s="64">
        <v>9</v>
      </c>
    </row>
    <row r="23" spans="2:17">
      <c r="B23" s="64" t="s">
        <v>756</v>
      </c>
      <c r="C23" s="64">
        <v>3</v>
      </c>
      <c r="D23" s="64">
        <v>3</v>
      </c>
      <c r="E23" s="64">
        <v>10</v>
      </c>
    </row>
    <row r="24" spans="2:17">
      <c r="B24" s="64" t="s">
        <v>758</v>
      </c>
      <c r="C24" s="64">
        <v>3</v>
      </c>
      <c r="D24" s="64">
        <v>4</v>
      </c>
      <c r="E24" s="64">
        <v>1</v>
      </c>
    </row>
    <row r="25" spans="2:17">
      <c r="B25" s="64" t="s">
        <v>757</v>
      </c>
      <c r="C25" s="64">
        <v>3</v>
      </c>
      <c r="D25" s="64">
        <v>5</v>
      </c>
      <c r="E25" s="64">
        <v>5</v>
      </c>
    </row>
    <row r="26" spans="2:17">
      <c r="B26" s="64" t="s">
        <v>757</v>
      </c>
      <c r="C26" s="64">
        <v>4</v>
      </c>
      <c r="D26" s="64">
        <v>1</v>
      </c>
      <c r="E26" s="64">
        <v>6</v>
      </c>
    </row>
    <row r="27" spans="2:17">
      <c r="B27" s="64" t="s">
        <v>756</v>
      </c>
      <c r="C27" s="64">
        <v>4</v>
      </c>
      <c r="D27" s="64">
        <v>2</v>
      </c>
      <c r="E27" s="64">
        <v>8</v>
      </c>
    </row>
    <row r="28" spans="2:17">
      <c r="B28" s="64" t="s">
        <v>758</v>
      </c>
      <c r="C28" s="64">
        <v>4</v>
      </c>
      <c r="D28" s="64">
        <v>3</v>
      </c>
      <c r="E28" s="64">
        <v>6</v>
      </c>
    </row>
    <row r="29" spans="2:17">
      <c r="B29" s="64" t="s">
        <v>750</v>
      </c>
      <c r="C29" s="64">
        <v>4</v>
      </c>
      <c r="D29" s="64">
        <v>4</v>
      </c>
      <c r="E29" s="64">
        <v>6</v>
      </c>
    </row>
    <row r="30" spans="2:17">
      <c r="B30" s="64" t="s">
        <v>749</v>
      </c>
      <c r="C30" s="64">
        <v>4</v>
      </c>
      <c r="D30" s="64">
        <v>5</v>
      </c>
      <c r="E30" s="64">
        <v>10</v>
      </c>
    </row>
    <row r="31" spans="2:17">
      <c r="B31" s="64" t="s">
        <v>758</v>
      </c>
      <c r="C31" s="64">
        <v>5</v>
      </c>
      <c r="D31" s="64">
        <v>1</v>
      </c>
      <c r="E31" s="64">
        <v>4</v>
      </c>
    </row>
    <row r="32" spans="2:17">
      <c r="B32" s="64" t="s">
        <v>757</v>
      </c>
      <c r="C32" s="64">
        <v>5</v>
      </c>
      <c r="D32" s="64">
        <v>2</v>
      </c>
      <c r="E32" s="64">
        <v>2</v>
      </c>
    </row>
    <row r="33" spans="2:5">
      <c r="B33" s="64" t="s">
        <v>750</v>
      </c>
      <c r="C33" s="64">
        <v>5</v>
      </c>
      <c r="D33" s="64">
        <v>3</v>
      </c>
      <c r="E33" s="64">
        <v>3</v>
      </c>
    </row>
    <row r="34" spans="2:5">
      <c r="B34" s="64" t="s">
        <v>749</v>
      </c>
      <c r="C34" s="64">
        <v>5</v>
      </c>
      <c r="D34" s="64">
        <v>4</v>
      </c>
      <c r="E34" s="64">
        <v>8</v>
      </c>
    </row>
    <row r="35" spans="2:5">
      <c r="B35" s="64" t="s">
        <v>756</v>
      </c>
      <c r="C35" s="64">
        <v>5</v>
      </c>
      <c r="D35" s="64">
        <v>5</v>
      </c>
      <c r="E35" s="64">
        <v>8</v>
      </c>
    </row>
  </sheetData>
  <mergeCells count="2">
    <mergeCell ref="C2:G2"/>
    <mergeCell ref="Q4:T16"/>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26C5F-8132-5641-A2A1-EDDB59F9F7D6}">
  <dimension ref="B2:R18"/>
  <sheetViews>
    <sheetView workbookViewId="0">
      <selection activeCell="T35" sqref="T35"/>
    </sheetView>
  </sheetViews>
  <sheetFormatPr baseColWidth="10" defaultRowHeight="16"/>
  <sheetData>
    <row r="2" spans="2:18">
      <c r="B2" s="291"/>
      <c r="C2" s="616" t="s">
        <v>715</v>
      </c>
      <c r="D2" s="616"/>
      <c r="E2" s="616"/>
    </row>
    <row r="3" spans="2:18" ht="17" thickBot="1">
      <c r="B3" s="293" t="s">
        <v>716</v>
      </c>
      <c r="C3" s="293">
        <v>1</v>
      </c>
      <c r="D3" s="293">
        <v>2</v>
      </c>
      <c r="E3" s="293">
        <v>3</v>
      </c>
    </row>
    <row r="4" spans="2:18">
      <c r="B4" s="292" t="s">
        <v>717</v>
      </c>
      <c r="C4" s="292" t="s">
        <v>644</v>
      </c>
      <c r="D4" s="292" t="s">
        <v>721</v>
      </c>
      <c r="E4" s="292" t="s">
        <v>694</v>
      </c>
      <c r="O4" s="585" t="s">
        <v>791</v>
      </c>
      <c r="P4" s="586"/>
      <c r="Q4" s="586"/>
      <c r="R4" s="587"/>
    </row>
    <row r="5" spans="2:18">
      <c r="B5" s="292" t="s">
        <v>174</v>
      </c>
      <c r="C5" s="292" t="s">
        <v>719</v>
      </c>
      <c r="D5" s="292" t="s">
        <v>722</v>
      </c>
      <c r="E5" s="292" t="s">
        <v>714</v>
      </c>
      <c r="O5" s="588"/>
      <c r="P5" s="589"/>
      <c r="Q5" s="589"/>
      <c r="R5" s="590"/>
    </row>
    <row r="6" spans="2:18">
      <c r="B6" s="293" t="s">
        <v>718</v>
      </c>
      <c r="C6" s="293" t="s">
        <v>720</v>
      </c>
      <c r="D6" s="293" t="s">
        <v>723</v>
      </c>
      <c r="E6" s="296" t="s">
        <v>790</v>
      </c>
      <c r="O6" s="588"/>
      <c r="P6" s="589"/>
      <c r="Q6" s="589"/>
      <c r="R6" s="590"/>
    </row>
    <row r="7" spans="2:18">
      <c r="O7" s="588"/>
      <c r="P7" s="589"/>
      <c r="Q7" s="589"/>
      <c r="R7" s="590"/>
    </row>
    <row r="8" spans="2:18">
      <c r="B8" s="64" t="s">
        <v>753</v>
      </c>
      <c r="C8" s="64" t="s">
        <v>754</v>
      </c>
      <c r="D8" s="64" t="s">
        <v>755</v>
      </c>
      <c r="E8" s="64" t="s">
        <v>421</v>
      </c>
      <c r="O8" s="588"/>
      <c r="P8" s="589"/>
      <c r="Q8" s="589"/>
      <c r="R8" s="590"/>
    </row>
    <row r="9" spans="2:18">
      <c r="B9" s="64" t="s">
        <v>749</v>
      </c>
      <c r="C9" s="64">
        <v>1</v>
      </c>
      <c r="D9" s="64">
        <v>1</v>
      </c>
      <c r="E9" s="64">
        <v>16</v>
      </c>
      <c r="O9" s="588"/>
      <c r="P9" s="589"/>
      <c r="Q9" s="589"/>
      <c r="R9" s="590"/>
    </row>
    <row r="10" spans="2:18">
      <c r="B10" s="64" t="s">
        <v>750</v>
      </c>
      <c r="C10" s="64">
        <v>1</v>
      </c>
      <c r="D10" s="64">
        <v>2</v>
      </c>
      <c r="E10" s="64">
        <v>10</v>
      </c>
      <c r="O10" s="588"/>
      <c r="P10" s="589"/>
      <c r="Q10" s="589"/>
      <c r="R10" s="590"/>
    </row>
    <row r="11" spans="2:18">
      <c r="B11" s="64" t="s">
        <v>756</v>
      </c>
      <c r="C11" s="64">
        <v>1</v>
      </c>
      <c r="D11" s="64">
        <v>3</v>
      </c>
      <c r="E11" s="64">
        <v>11</v>
      </c>
      <c r="O11" s="588"/>
      <c r="P11" s="589"/>
      <c r="Q11" s="589"/>
      <c r="R11" s="590"/>
    </row>
    <row r="12" spans="2:18">
      <c r="B12" s="64" t="s">
        <v>750</v>
      </c>
      <c r="C12" s="64">
        <v>2</v>
      </c>
      <c r="D12" s="64">
        <v>1</v>
      </c>
      <c r="E12" s="64">
        <v>15</v>
      </c>
      <c r="O12" s="588"/>
      <c r="P12" s="589"/>
      <c r="Q12" s="589"/>
      <c r="R12" s="590"/>
    </row>
    <row r="13" spans="2:18">
      <c r="B13" s="64" t="s">
        <v>756</v>
      </c>
      <c r="C13" s="64">
        <v>2</v>
      </c>
      <c r="D13" s="64">
        <v>2</v>
      </c>
      <c r="E13" s="64">
        <v>9</v>
      </c>
      <c r="O13" s="588"/>
      <c r="P13" s="589"/>
      <c r="Q13" s="589"/>
      <c r="R13" s="590"/>
    </row>
    <row r="14" spans="2:18">
      <c r="B14" s="64" t="s">
        <v>749</v>
      </c>
      <c r="C14" s="64">
        <v>2</v>
      </c>
      <c r="D14" s="64">
        <v>3</v>
      </c>
      <c r="E14" s="64">
        <v>10</v>
      </c>
      <c r="O14" s="588"/>
      <c r="P14" s="589"/>
      <c r="Q14" s="589"/>
      <c r="R14" s="590"/>
    </row>
    <row r="15" spans="2:18">
      <c r="B15" s="64" t="s">
        <v>756</v>
      </c>
      <c r="C15" s="64">
        <v>3</v>
      </c>
      <c r="D15" s="64">
        <v>1</v>
      </c>
      <c r="E15" s="64">
        <v>13</v>
      </c>
      <c r="O15" s="588"/>
      <c r="P15" s="589"/>
      <c r="Q15" s="589"/>
      <c r="R15" s="590"/>
    </row>
    <row r="16" spans="2:18" ht="17" thickBot="1">
      <c r="B16" s="64" t="s">
        <v>749</v>
      </c>
      <c r="C16" s="64">
        <v>3</v>
      </c>
      <c r="D16" s="64">
        <v>2</v>
      </c>
      <c r="E16" s="64">
        <v>11</v>
      </c>
      <c r="O16" s="591"/>
      <c r="P16" s="592"/>
      <c r="Q16" s="592"/>
      <c r="R16" s="593"/>
    </row>
    <row r="17" spans="2:15">
      <c r="B17" s="64" t="s">
        <v>750</v>
      </c>
      <c r="C17" s="64">
        <v>3</v>
      </c>
      <c r="D17" s="64">
        <v>3</v>
      </c>
      <c r="E17" s="64">
        <v>13</v>
      </c>
    </row>
    <row r="18" spans="2:15" ht="37">
      <c r="O18" s="343" t="s">
        <v>741</v>
      </c>
    </row>
  </sheetData>
  <mergeCells count="2">
    <mergeCell ref="C2:E2"/>
    <mergeCell ref="O4:R1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21C19-35D3-224B-A29E-FE270A672EED}">
  <dimension ref="B1:S62"/>
  <sheetViews>
    <sheetView topLeftCell="A16" zoomScale="110" zoomScaleNormal="110" workbookViewId="0">
      <selection activeCell="B37" sqref="B37"/>
    </sheetView>
  </sheetViews>
  <sheetFormatPr baseColWidth="10" defaultRowHeight="13"/>
  <cols>
    <col min="1" max="6" width="10.83203125" style="1"/>
    <col min="7" max="7" width="5.5" style="1" customWidth="1"/>
    <col min="8" max="11" width="10.83203125" style="1"/>
    <col min="12" max="12" width="8.1640625" style="1" customWidth="1"/>
    <col min="13" max="2000" width="10.83203125" style="1"/>
    <col min="2001" max="2001" width="2.33203125" style="1" customWidth="1"/>
    <col min="2002" max="16384" width="10.83203125" style="1"/>
  </cols>
  <sheetData>
    <row r="1" spans="2:17" ht="14" thickBot="1"/>
    <row r="2" spans="2:17" ht="18">
      <c r="B2" s="419" t="s">
        <v>115</v>
      </c>
      <c r="C2" s="387"/>
      <c r="D2" s="387"/>
      <c r="E2" s="387"/>
      <c r="F2" s="387"/>
      <c r="G2" s="387"/>
      <c r="H2" s="387"/>
      <c r="I2" s="387"/>
      <c r="J2" s="387"/>
      <c r="K2" s="387"/>
      <c r="L2" s="422" t="s">
        <v>741</v>
      </c>
    </row>
    <row r="3" spans="2:17" ht="18">
      <c r="B3" s="420" t="s">
        <v>113</v>
      </c>
      <c r="L3" s="423" t="s">
        <v>741</v>
      </c>
    </row>
    <row r="4" spans="2:17" ht="18">
      <c r="B4" s="420" t="s">
        <v>114</v>
      </c>
      <c r="L4" s="423" t="s">
        <v>741</v>
      </c>
    </row>
    <row r="5" spans="2:17" ht="19" thickBot="1">
      <c r="B5" s="421" t="s">
        <v>112</v>
      </c>
      <c r="C5" s="376"/>
      <c r="D5" s="376"/>
      <c r="E5" s="376"/>
      <c r="F5" s="376"/>
      <c r="G5" s="376"/>
      <c r="H5" s="376"/>
      <c r="I5" s="376"/>
      <c r="J5" s="376"/>
      <c r="K5" s="376"/>
      <c r="L5" s="424" t="s">
        <v>741</v>
      </c>
    </row>
    <row r="8" spans="2:17">
      <c r="C8" s="451" t="s">
        <v>24</v>
      </c>
      <c r="D8" s="451"/>
      <c r="E8" s="451"/>
      <c r="F8" s="451"/>
      <c r="H8" s="451" t="s">
        <v>117</v>
      </c>
      <c r="I8" s="451"/>
      <c r="J8" s="451"/>
      <c r="K8" s="451"/>
      <c r="M8" s="451" t="s">
        <v>25</v>
      </c>
      <c r="N8" s="451"/>
      <c r="O8" s="451"/>
      <c r="P8" s="451"/>
    </row>
    <row r="9" spans="2:17">
      <c r="C9" s="4" t="s">
        <v>16</v>
      </c>
      <c r="D9" s="4" t="s">
        <v>17</v>
      </c>
      <c r="E9" s="4" t="s">
        <v>18</v>
      </c>
      <c r="F9" s="4" t="s">
        <v>45</v>
      </c>
      <c r="H9" s="4" t="s">
        <v>16</v>
      </c>
      <c r="I9" s="4" t="s">
        <v>17</v>
      </c>
      <c r="J9" s="4" t="s">
        <v>18</v>
      </c>
      <c r="K9" s="4" t="s">
        <v>45</v>
      </c>
      <c r="M9" s="4" t="s">
        <v>16</v>
      </c>
      <c r="N9" s="4" t="s">
        <v>17</v>
      </c>
      <c r="O9" s="4" t="s">
        <v>18</v>
      </c>
      <c r="P9" s="4" t="s">
        <v>45</v>
      </c>
    </row>
    <row r="10" spans="2:17">
      <c r="C10" s="4">
        <v>1E-3</v>
      </c>
      <c r="D10" s="5">
        <f>C10*125</f>
        <v>0.125</v>
      </c>
      <c r="E10" s="11">
        <f>POISSON(2,D10,TRUE)</f>
        <v>0.99970352245911198</v>
      </c>
      <c r="F10" s="11">
        <f>C10*E10</f>
        <v>9.99703522459112E-4</v>
      </c>
      <c r="H10" s="4">
        <v>1E-3</v>
      </c>
      <c r="I10" s="5">
        <f>H10*125</f>
        <v>0.125</v>
      </c>
      <c r="J10" s="11">
        <f>POISSON(1,I10,TRUE)</f>
        <v>0.99280901540766986</v>
      </c>
      <c r="K10" s="18">
        <f>H10*J10</f>
        <v>9.9280901540766981E-4</v>
      </c>
      <c r="M10" s="4">
        <v>1E-3</v>
      </c>
      <c r="N10" s="5">
        <f>M10*50</f>
        <v>0.05</v>
      </c>
      <c r="O10" s="11">
        <f>POISSON(1,N10,TRUE)</f>
        <v>0.99879089572574964</v>
      </c>
      <c r="P10" s="18">
        <f>M10*O10</f>
        <v>9.987908957257497E-4</v>
      </c>
    </row>
    <row r="11" spans="2:17">
      <c r="C11" s="4">
        <v>5.0000000000000001E-3</v>
      </c>
      <c r="D11" s="5">
        <f>C11*125</f>
        <v>0.625</v>
      </c>
      <c r="E11" s="11">
        <f>POISSON(2,D11,TRUE)</f>
        <v>0.97434306910097446</v>
      </c>
      <c r="F11" s="11">
        <f t="shared" ref="F11:F22" si="0">C11*E11</f>
        <v>4.8717153455048725E-3</v>
      </c>
      <c r="H11" s="4">
        <v>5.0000000000000001E-3</v>
      </c>
      <c r="I11" s="5">
        <f>H11*125</f>
        <v>0.625</v>
      </c>
      <c r="J11" s="11">
        <f t="shared" ref="J11:J22" si="1">POISSON(1,I11,TRUE)</f>
        <v>0.8697998213433592</v>
      </c>
      <c r="K11" s="18">
        <f t="shared" ref="K11:K22" si="2">H11*J11</f>
        <v>4.3489991067167961E-3</v>
      </c>
      <c r="M11" s="4">
        <v>5.0000000000000001E-3</v>
      </c>
      <c r="N11" s="5">
        <f t="shared" ref="N11:N22" si="3">M11*50</f>
        <v>0.25</v>
      </c>
      <c r="O11" s="11">
        <f t="shared" ref="O11:O22" si="4">POISSON(1,N11,TRUE)</f>
        <v>0.97350097883925613</v>
      </c>
      <c r="P11" s="18">
        <f t="shared" ref="P11:P22" si="5">M11*O11</f>
        <v>4.8675048941962803E-3</v>
      </c>
    </row>
    <row r="12" spans="2:17">
      <c r="C12" s="4">
        <v>8.9999999999999993E-3</v>
      </c>
      <c r="D12" s="5">
        <f>C12*125</f>
        <v>1.125</v>
      </c>
      <c r="E12" s="11">
        <f>POISSON(2,D12,TRUE)</f>
        <v>0.89533063263669888</v>
      </c>
      <c r="F12" s="11">
        <f t="shared" si="0"/>
        <v>8.0579756937302887E-3</v>
      </c>
      <c r="H12" s="4">
        <v>8.9999999999999993E-3</v>
      </c>
      <c r="I12" s="5">
        <f>H12*125</f>
        <v>1.125</v>
      </c>
      <c r="J12" s="11">
        <f t="shared" si="1"/>
        <v>0.68988649313649308</v>
      </c>
      <c r="K12" s="18">
        <f t="shared" si="2"/>
        <v>6.2089784382284375E-3</v>
      </c>
      <c r="M12" s="4">
        <v>8.9999999999999993E-3</v>
      </c>
      <c r="N12" s="5">
        <f t="shared" si="3"/>
        <v>0.44999999999999996</v>
      </c>
      <c r="O12" s="11">
        <f t="shared" si="4"/>
        <v>0.92456081985157135</v>
      </c>
      <c r="P12" s="18">
        <f t="shared" si="5"/>
        <v>8.3210473786641415E-3</v>
      </c>
    </row>
    <row r="13" spans="2:17">
      <c r="C13" s="4">
        <v>0.01</v>
      </c>
      <c r="D13" s="5">
        <f>C13*125</f>
        <v>1.25</v>
      </c>
      <c r="E13" s="11">
        <f>POISSON(2,D13,TRUE)</f>
        <v>0.86846766548245113</v>
      </c>
      <c r="F13" s="11">
        <f t="shared" si="0"/>
        <v>8.6846766548245111E-3</v>
      </c>
      <c r="H13" s="4">
        <v>0.01</v>
      </c>
      <c r="I13" s="5">
        <f>H13*125</f>
        <v>1.25</v>
      </c>
      <c r="J13" s="11">
        <f t="shared" si="1"/>
        <v>0.64463579293542783</v>
      </c>
      <c r="K13" s="29">
        <f t="shared" si="2"/>
        <v>6.4463579293542782E-3</v>
      </c>
      <c r="L13" s="28" t="s">
        <v>116</v>
      </c>
      <c r="M13" s="4">
        <v>0.01</v>
      </c>
      <c r="N13" s="5">
        <f t="shared" si="3"/>
        <v>0.5</v>
      </c>
      <c r="O13" s="11">
        <f t="shared" si="4"/>
        <v>0.90979598956895014</v>
      </c>
      <c r="P13" s="18">
        <f t="shared" si="5"/>
        <v>9.0979598956895009E-3</v>
      </c>
    </row>
    <row r="14" spans="2:17">
      <c r="C14" s="4">
        <v>0.02</v>
      </c>
      <c r="D14" s="5">
        <f t="shared" ref="D14:D22" si="6">C14*125</f>
        <v>2.5</v>
      </c>
      <c r="E14" s="11">
        <f t="shared" ref="E14:E22" si="7">POISSON(2,D14,TRUE)</f>
        <v>0.54381311588332959</v>
      </c>
      <c r="F14" s="27">
        <f t="shared" si="0"/>
        <v>1.0876262317666592E-2</v>
      </c>
      <c r="G14" s="28" t="s">
        <v>116</v>
      </c>
      <c r="H14" s="4">
        <v>0.02</v>
      </c>
      <c r="I14" s="5">
        <f t="shared" ref="I14:I22" si="8">H14*125</f>
        <v>2.5</v>
      </c>
      <c r="J14" s="11">
        <f t="shared" si="1"/>
        <v>0.28729749518364578</v>
      </c>
      <c r="K14" s="18">
        <f t="shared" si="2"/>
        <v>5.7459499036729153E-3</v>
      </c>
      <c r="M14" s="4">
        <v>0.02</v>
      </c>
      <c r="N14" s="5">
        <f t="shared" si="3"/>
        <v>1</v>
      </c>
      <c r="O14" s="11">
        <f t="shared" si="4"/>
        <v>0.73575888234288478</v>
      </c>
      <c r="P14" s="18">
        <f t="shared" si="5"/>
        <v>1.4715177646857695E-2</v>
      </c>
    </row>
    <row r="15" spans="2:17">
      <c r="C15" s="4">
        <v>0.03</v>
      </c>
      <c r="D15" s="5">
        <f t="shared" si="6"/>
        <v>3.75</v>
      </c>
      <c r="E15" s="11">
        <f t="shared" si="7"/>
        <v>0.27706844336610731</v>
      </c>
      <c r="F15" s="11">
        <f t="shared" si="0"/>
        <v>8.3120533009832191E-3</v>
      </c>
      <c r="H15" s="4">
        <v>0.03</v>
      </c>
      <c r="I15" s="5">
        <f t="shared" si="8"/>
        <v>3.75</v>
      </c>
      <c r="J15" s="11">
        <f t="shared" si="1"/>
        <v>0.11170929281604326</v>
      </c>
      <c r="K15" s="18">
        <f t="shared" si="2"/>
        <v>3.3512787844812977E-3</v>
      </c>
      <c r="M15" s="4">
        <v>0.03</v>
      </c>
      <c r="N15" s="5">
        <f t="shared" si="3"/>
        <v>1.5</v>
      </c>
      <c r="O15" s="11">
        <f t="shared" si="4"/>
        <v>0.55782540037107464</v>
      </c>
      <c r="P15" s="29">
        <f t="shared" si="5"/>
        <v>1.6734762011132238E-2</v>
      </c>
      <c r="Q15" s="28" t="s">
        <v>116</v>
      </c>
    </row>
    <row r="16" spans="2:17">
      <c r="C16" s="4">
        <v>0.04</v>
      </c>
      <c r="D16" s="5">
        <f t="shared" si="6"/>
        <v>5</v>
      </c>
      <c r="E16" s="11">
        <f t="shared" si="7"/>
        <v>0.12465201948308113</v>
      </c>
      <c r="F16" s="11">
        <f t="shared" si="0"/>
        <v>4.9860807793232452E-3</v>
      </c>
      <c r="H16" s="4">
        <v>0.04</v>
      </c>
      <c r="I16" s="5">
        <f t="shared" si="8"/>
        <v>5</v>
      </c>
      <c r="J16" s="11">
        <f t="shared" si="1"/>
        <v>4.0427681994512799E-2</v>
      </c>
      <c r="K16" s="18">
        <f t="shared" si="2"/>
        <v>1.6171072797805119E-3</v>
      </c>
      <c r="M16" s="4">
        <v>0.04</v>
      </c>
      <c r="N16" s="5">
        <f t="shared" si="3"/>
        <v>2</v>
      </c>
      <c r="O16" s="11">
        <f t="shared" si="4"/>
        <v>0.40600584970983811</v>
      </c>
      <c r="P16" s="18">
        <f t="shared" si="5"/>
        <v>1.6240233988393523E-2</v>
      </c>
    </row>
    <row r="17" spans="3:19">
      <c r="C17" s="4">
        <v>0.05</v>
      </c>
      <c r="D17" s="5">
        <f t="shared" si="6"/>
        <v>6.25</v>
      </c>
      <c r="E17" s="11">
        <f t="shared" si="7"/>
        <v>5.1699974835848338E-2</v>
      </c>
      <c r="F17" s="11">
        <f t="shared" si="0"/>
        <v>2.5849987417924172E-3</v>
      </c>
      <c r="H17" s="4">
        <v>0.05</v>
      </c>
      <c r="I17" s="5">
        <f t="shared" si="8"/>
        <v>6.25</v>
      </c>
      <c r="J17" s="11">
        <f t="shared" si="1"/>
        <v>1.3995792487650892E-2</v>
      </c>
      <c r="K17" s="18">
        <f t="shared" si="2"/>
        <v>6.9978962438254461E-4</v>
      </c>
      <c r="M17" s="4">
        <v>0.05</v>
      </c>
      <c r="N17" s="5">
        <f t="shared" si="3"/>
        <v>2.5</v>
      </c>
      <c r="O17" s="11">
        <f t="shared" si="4"/>
        <v>0.28729749518364578</v>
      </c>
      <c r="P17" s="18">
        <f t="shared" si="5"/>
        <v>1.436487475918229E-2</v>
      </c>
    </row>
    <row r="18" spans="3:19">
      <c r="C18" s="4">
        <v>0.06</v>
      </c>
      <c r="D18" s="5">
        <f t="shared" si="6"/>
        <v>7.5</v>
      </c>
      <c r="E18" s="11">
        <f t="shared" si="7"/>
        <v>2.0256715056664407E-2</v>
      </c>
      <c r="F18" s="11">
        <f t="shared" si="0"/>
        <v>1.2154029033998644E-3</v>
      </c>
      <c r="H18" s="4">
        <v>0.06</v>
      </c>
      <c r="I18" s="5">
        <f t="shared" si="8"/>
        <v>7.5</v>
      </c>
      <c r="J18" s="11">
        <f t="shared" si="1"/>
        <v>4.7012171462565856E-3</v>
      </c>
      <c r="K18" s="18">
        <f t="shared" si="2"/>
        <v>2.8207302877539513E-4</v>
      </c>
      <c r="M18" s="4">
        <v>0.06</v>
      </c>
      <c r="N18" s="5">
        <f t="shared" si="3"/>
        <v>3</v>
      </c>
      <c r="O18" s="11">
        <f t="shared" si="4"/>
        <v>0.19914827347145578</v>
      </c>
      <c r="P18" s="18">
        <f t="shared" si="5"/>
        <v>1.1948896408287345E-2</v>
      </c>
    </row>
    <row r="19" spans="3:19">
      <c r="C19" s="4">
        <v>7.0000000000000007E-2</v>
      </c>
      <c r="D19" s="5">
        <f t="shared" si="6"/>
        <v>8.75</v>
      </c>
      <c r="E19" s="11">
        <f t="shared" si="7"/>
        <v>7.6110955219659271E-3</v>
      </c>
      <c r="F19" s="11">
        <f t="shared" si="0"/>
        <v>5.3277668653761495E-4</v>
      </c>
      <c r="H19" s="4">
        <v>7.0000000000000007E-2</v>
      </c>
      <c r="I19" s="5">
        <f t="shared" si="8"/>
        <v>8.75</v>
      </c>
      <c r="J19" s="11">
        <f t="shared" si="1"/>
        <v>1.5449979198785748E-3</v>
      </c>
      <c r="K19" s="18">
        <f t="shared" si="2"/>
        <v>1.0814985439150024E-4</v>
      </c>
      <c r="M19" s="4">
        <v>7.0000000000000007E-2</v>
      </c>
      <c r="N19" s="5">
        <f t="shared" si="3"/>
        <v>3.5000000000000004</v>
      </c>
      <c r="O19" s="11">
        <f t="shared" si="4"/>
        <v>0.13588822540043319</v>
      </c>
      <c r="P19" s="18">
        <f t="shared" si="5"/>
        <v>9.5121757780303236E-3</v>
      </c>
    </row>
    <row r="20" spans="3:19">
      <c r="C20" s="4">
        <v>0.08</v>
      </c>
      <c r="D20" s="5">
        <f t="shared" si="6"/>
        <v>10</v>
      </c>
      <c r="E20" s="11">
        <f t="shared" si="7"/>
        <v>2.7693957155115762E-3</v>
      </c>
      <c r="F20" s="11">
        <f t="shared" si="0"/>
        <v>2.2155165724092611E-4</v>
      </c>
      <c r="H20" s="4">
        <v>0.08</v>
      </c>
      <c r="I20" s="5">
        <f t="shared" si="8"/>
        <v>10</v>
      </c>
      <c r="J20" s="11">
        <f t="shared" si="1"/>
        <v>4.9939922738733344E-4</v>
      </c>
      <c r="K20" s="18">
        <f t="shared" si="2"/>
        <v>3.9951938190986675E-5</v>
      </c>
      <c r="M20" s="4">
        <v>0.08</v>
      </c>
      <c r="N20" s="5">
        <f t="shared" si="3"/>
        <v>4</v>
      </c>
      <c r="O20" s="11">
        <f t="shared" si="4"/>
        <v>9.1578194443670893E-2</v>
      </c>
      <c r="P20" s="18">
        <f t="shared" si="5"/>
        <v>7.3262555554936713E-3</v>
      </c>
    </row>
    <row r="21" spans="3:19">
      <c r="C21" s="4">
        <v>0.09</v>
      </c>
      <c r="D21" s="5">
        <f t="shared" si="6"/>
        <v>11.25</v>
      </c>
      <c r="E21" s="11">
        <f t="shared" si="7"/>
        <v>9.8245745093379503E-4</v>
      </c>
      <c r="F21" s="11">
        <f t="shared" si="0"/>
        <v>8.8421170584041548E-5</v>
      </c>
      <c r="H21" s="4">
        <v>0.09</v>
      </c>
      <c r="I21" s="5">
        <f t="shared" si="8"/>
        <v>11.25</v>
      </c>
      <c r="J21" s="11">
        <f t="shared" si="1"/>
        <v>1.5933939626232836E-4</v>
      </c>
      <c r="K21" s="18">
        <f t="shared" si="2"/>
        <v>1.4340545663609552E-5</v>
      </c>
      <c r="M21" s="4">
        <v>0.09</v>
      </c>
      <c r="N21" s="5">
        <f t="shared" si="3"/>
        <v>4.5</v>
      </c>
      <c r="O21" s="11">
        <f t="shared" si="4"/>
        <v>6.1099480960332686E-2</v>
      </c>
      <c r="P21" s="18">
        <f t="shared" si="5"/>
        <v>5.4989532864299414E-3</v>
      </c>
    </row>
    <row r="22" spans="3:19">
      <c r="C22" s="4">
        <v>0.1</v>
      </c>
      <c r="D22" s="5">
        <f t="shared" si="6"/>
        <v>12.5</v>
      </c>
      <c r="E22" s="11">
        <f t="shared" si="7"/>
        <v>3.4145459689170825E-4</v>
      </c>
      <c r="F22" s="11">
        <f t="shared" si="0"/>
        <v>3.4145459689170829E-5</v>
      </c>
      <c r="H22" s="4">
        <v>0.1</v>
      </c>
      <c r="I22" s="5">
        <f t="shared" si="8"/>
        <v>12.5</v>
      </c>
      <c r="J22" s="11">
        <f t="shared" si="1"/>
        <v>5.0309817823062061E-5</v>
      </c>
      <c r="K22" s="18">
        <f t="shared" si="2"/>
        <v>5.0309817823062066E-6</v>
      </c>
      <c r="M22" s="4">
        <v>0.1</v>
      </c>
      <c r="N22" s="5">
        <f t="shared" si="3"/>
        <v>5</v>
      </c>
      <c r="O22" s="11">
        <f t="shared" si="4"/>
        <v>4.0427681994512799E-2</v>
      </c>
      <c r="P22" s="18">
        <f t="shared" si="5"/>
        <v>4.0427681994512797E-3</v>
      </c>
    </row>
    <row r="23" spans="3:19">
      <c r="F23" s="4"/>
    </row>
    <row r="24" spans="3:19">
      <c r="F24" s="4"/>
    </row>
    <row r="25" spans="3:19">
      <c r="F25" s="4"/>
      <c r="H25" s="470" t="s">
        <v>799</v>
      </c>
      <c r="I25" s="470"/>
      <c r="J25" s="470"/>
      <c r="K25" s="470"/>
      <c r="L25" s="470"/>
      <c r="M25" s="470"/>
      <c r="N25" s="470"/>
      <c r="O25" s="470"/>
      <c r="P25" s="470"/>
      <c r="Q25" s="470"/>
      <c r="R25" s="470"/>
      <c r="S25" s="470"/>
    </row>
    <row r="26" spans="3:19">
      <c r="C26" s="4" t="s">
        <v>16</v>
      </c>
      <c r="D26" s="1" t="s">
        <v>118</v>
      </c>
      <c r="E26" s="1" t="s">
        <v>119</v>
      </c>
      <c r="F26" s="4" t="s">
        <v>120</v>
      </c>
    </row>
    <row r="27" spans="3:19">
      <c r="C27" s="18">
        <v>1E-3</v>
      </c>
      <c r="D27" s="18">
        <v>9.99703522459112E-4</v>
      </c>
      <c r="E27" s="18">
        <v>9.9280901540766981E-4</v>
      </c>
      <c r="F27" s="18">
        <v>9.987908957257497E-4</v>
      </c>
    </row>
    <row r="28" spans="3:19">
      <c r="C28" s="18">
        <v>5.0000000000000001E-3</v>
      </c>
      <c r="D28" s="18">
        <v>4.8717153455048725E-3</v>
      </c>
      <c r="E28" s="18">
        <v>4.3489991067167961E-3</v>
      </c>
      <c r="F28" s="18">
        <v>4.8675048941962803E-3</v>
      </c>
    </row>
    <row r="29" spans="3:19">
      <c r="C29" s="18">
        <v>8.9999999999999993E-3</v>
      </c>
      <c r="D29" s="18">
        <v>8.0579756937302887E-3</v>
      </c>
      <c r="E29" s="18">
        <v>6.2089784382284375E-3</v>
      </c>
      <c r="F29" s="18">
        <v>8.3210473786641415E-3</v>
      </c>
    </row>
    <row r="30" spans="3:19">
      <c r="C30" s="18">
        <v>0.01</v>
      </c>
      <c r="D30" s="18">
        <v>8.6846766548245111E-3</v>
      </c>
      <c r="E30" s="18">
        <v>6.4463579293542782E-3</v>
      </c>
      <c r="F30" s="18">
        <v>9.0979598956895009E-3</v>
      </c>
    </row>
    <row r="31" spans="3:19">
      <c r="C31" s="18">
        <v>0.02</v>
      </c>
      <c r="D31" s="18">
        <v>1.0876262317666592E-2</v>
      </c>
      <c r="E31" s="18">
        <v>5.7459499036729153E-3</v>
      </c>
      <c r="F31" s="18">
        <v>1.4715177646857695E-2</v>
      </c>
    </row>
    <row r="32" spans="3:19">
      <c r="C32" s="18">
        <v>0.03</v>
      </c>
      <c r="D32" s="18">
        <v>8.3120533009832191E-3</v>
      </c>
      <c r="E32" s="18">
        <v>3.3512787844812977E-3</v>
      </c>
      <c r="F32" s="18">
        <v>1.6734762011132238E-2</v>
      </c>
    </row>
    <row r="33" spans="3:6">
      <c r="C33" s="18">
        <v>0.04</v>
      </c>
      <c r="D33" s="18">
        <v>4.9860807793232452E-3</v>
      </c>
      <c r="E33" s="18">
        <v>1.6171072797805119E-3</v>
      </c>
      <c r="F33" s="18">
        <v>1.6240233988393523E-2</v>
      </c>
    </row>
    <row r="34" spans="3:6">
      <c r="C34" s="18">
        <v>0.05</v>
      </c>
      <c r="D34" s="18">
        <v>2.5849987417924172E-3</v>
      </c>
      <c r="E34" s="18">
        <v>6.9978962438254461E-4</v>
      </c>
      <c r="F34" s="18">
        <v>1.436487475918229E-2</v>
      </c>
    </row>
    <row r="35" spans="3:6">
      <c r="C35" s="18">
        <v>0.06</v>
      </c>
      <c r="D35" s="18">
        <v>1.2154029033998644E-3</v>
      </c>
      <c r="E35" s="18">
        <v>2.8207302877539513E-4</v>
      </c>
      <c r="F35" s="18">
        <v>1.1948896408287345E-2</v>
      </c>
    </row>
    <row r="36" spans="3:6">
      <c r="C36" s="18">
        <v>7.0000000000000007E-2</v>
      </c>
      <c r="D36" s="18">
        <v>5.3277668653761495E-4</v>
      </c>
      <c r="E36" s="18">
        <v>1.0814985439150024E-4</v>
      </c>
      <c r="F36" s="18">
        <v>9.5121757780303236E-3</v>
      </c>
    </row>
    <row r="37" spans="3:6">
      <c r="C37" s="18">
        <v>0.08</v>
      </c>
      <c r="D37" s="18">
        <v>2.2155165724092611E-4</v>
      </c>
      <c r="E37" s="18">
        <v>3.9951938190986675E-5</v>
      </c>
      <c r="F37" s="18">
        <v>7.3262555554936713E-3</v>
      </c>
    </row>
    <row r="38" spans="3:6">
      <c r="C38" s="18">
        <v>0.09</v>
      </c>
      <c r="D38" s="18">
        <v>8.8421170584041548E-5</v>
      </c>
      <c r="E38" s="18">
        <v>1.4340545663609552E-5</v>
      </c>
      <c r="F38" s="18">
        <v>5.4989532864299414E-3</v>
      </c>
    </row>
    <row r="39" spans="3:6">
      <c r="C39" s="18">
        <v>0.1</v>
      </c>
      <c r="D39" s="18">
        <v>3.4145459689170829E-5</v>
      </c>
      <c r="E39" s="18">
        <v>5.0309817823062066E-6</v>
      </c>
      <c r="F39" s="18">
        <v>4.0427681994512797E-3</v>
      </c>
    </row>
    <row r="45" spans="3:6">
      <c r="C45" s="4" t="s">
        <v>16</v>
      </c>
      <c r="D45" s="4" t="s">
        <v>121</v>
      </c>
      <c r="E45" s="4" t="s">
        <v>122</v>
      </c>
      <c r="F45" s="4" t="s">
        <v>123</v>
      </c>
    </row>
    <row r="46" spans="3:6">
      <c r="C46" s="11">
        <v>1E-3</v>
      </c>
      <c r="D46" s="11">
        <v>0.99970352245911198</v>
      </c>
      <c r="E46" s="11">
        <v>0.99280901540766986</v>
      </c>
      <c r="F46" s="11">
        <v>0.99879089572574964</v>
      </c>
    </row>
    <row r="47" spans="3:6">
      <c r="C47" s="11">
        <v>5.0000000000000001E-3</v>
      </c>
      <c r="D47" s="11">
        <v>0.97434306910097446</v>
      </c>
      <c r="E47" s="11">
        <v>0.8697998213433592</v>
      </c>
      <c r="F47" s="11">
        <v>0.97350097883925613</v>
      </c>
    </row>
    <row r="48" spans="3:6">
      <c r="C48" s="11">
        <v>8.9999999999999993E-3</v>
      </c>
      <c r="D48" s="11">
        <v>0.89533063263669888</v>
      </c>
      <c r="E48" s="11">
        <v>0.68988649313649308</v>
      </c>
      <c r="F48" s="11">
        <v>0.92456081985157135</v>
      </c>
    </row>
    <row r="49" spans="3:19">
      <c r="C49" s="11">
        <v>0.01</v>
      </c>
      <c r="D49" s="11">
        <v>0.86846766548245113</v>
      </c>
      <c r="E49" s="11">
        <v>0.64463579293542783</v>
      </c>
      <c r="F49" s="11">
        <v>0.90979598956895014</v>
      </c>
    </row>
    <row r="50" spans="3:19">
      <c r="C50" s="11">
        <v>0.02</v>
      </c>
      <c r="D50" s="11">
        <v>0.54381311588332959</v>
      </c>
      <c r="E50" s="11">
        <v>0.28729749518364578</v>
      </c>
      <c r="F50" s="11">
        <v>0.73575888234288478</v>
      </c>
    </row>
    <row r="51" spans="3:19">
      <c r="C51" s="11">
        <v>0.03</v>
      </c>
      <c r="D51" s="11">
        <v>0.27706844336610731</v>
      </c>
      <c r="E51" s="11">
        <v>0.11170929281604326</v>
      </c>
      <c r="F51" s="11">
        <v>0.55782540037107464</v>
      </c>
    </row>
    <row r="52" spans="3:19">
      <c r="C52" s="11">
        <v>0.04</v>
      </c>
      <c r="D52" s="11">
        <v>0.12465201948308113</v>
      </c>
      <c r="E52" s="11">
        <v>4.0427681994512799E-2</v>
      </c>
      <c r="F52" s="11">
        <v>0.40600584970983811</v>
      </c>
    </row>
    <row r="53" spans="3:19">
      <c r="C53" s="11">
        <v>0.05</v>
      </c>
      <c r="D53" s="11">
        <v>5.1699974835848338E-2</v>
      </c>
      <c r="E53" s="11">
        <v>1.3995792487650892E-2</v>
      </c>
      <c r="F53" s="11">
        <v>0.28729749518364578</v>
      </c>
    </row>
    <row r="54" spans="3:19">
      <c r="C54" s="11">
        <v>0.06</v>
      </c>
      <c r="D54" s="11">
        <v>2.0256715056664407E-2</v>
      </c>
      <c r="E54" s="11">
        <v>4.7012171462565856E-3</v>
      </c>
      <c r="F54" s="11">
        <v>0.19914827347145578</v>
      </c>
    </row>
    <row r="55" spans="3:19">
      <c r="C55" s="11">
        <v>7.0000000000000007E-2</v>
      </c>
      <c r="D55" s="11">
        <v>7.6110955219659271E-3</v>
      </c>
      <c r="E55" s="11">
        <v>1.5449979198785748E-3</v>
      </c>
      <c r="F55" s="11">
        <v>0.13588822540043319</v>
      </c>
    </row>
    <row r="56" spans="3:19">
      <c r="C56" s="11">
        <v>0.08</v>
      </c>
      <c r="D56" s="11">
        <v>2.7693957155115762E-3</v>
      </c>
      <c r="E56" s="11">
        <v>4.9939922738733344E-4</v>
      </c>
      <c r="F56" s="11">
        <v>9.1578194443670893E-2</v>
      </c>
    </row>
    <row r="57" spans="3:19">
      <c r="C57" s="11">
        <v>0.09</v>
      </c>
      <c r="D57" s="11">
        <v>9.8245745093379503E-4</v>
      </c>
      <c r="E57" s="11">
        <v>1.5933939626232836E-4</v>
      </c>
      <c r="F57" s="11">
        <v>6.1099480960332686E-2</v>
      </c>
    </row>
    <row r="58" spans="3:19" ht="14" thickBot="1">
      <c r="C58" s="11">
        <v>0.1</v>
      </c>
      <c r="D58" s="11">
        <v>3.4145459689170825E-4</v>
      </c>
      <c r="E58" s="11">
        <v>5.0309817823062061E-5</v>
      </c>
      <c r="F58" s="11">
        <v>4.0427681994512799E-2</v>
      </c>
    </row>
    <row r="59" spans="3:19">
      <c r="H59" s="461" t="s">
        <v>124</v>
      </c>
      <c r="I59" s="462"/>
      <c r="J59" s="462"/>
      <c r="K59" s="462"/>
      <c r="L59" s="462"/>
      <c r="M59" s="462"/>
      <c r="N59" s="462"/>
      <c r="O59" s="462"/>
      <c r="P59" s="462"/>
      <c r="Q59" s="462"/>
      <c r="R59" s="462"/>
      <c r="S59" s="463"/>
    </row>
    <row r="60" spans="3:19">
      <c r="H60" s="464"/>
      <c r="I60" s="465"/>
      <c r="J60" s="465"/>
      <c r="K60" s="465"/>
      <c r="L60" s="465"/>
      <c r="M60" s="465"/>
      <c r="N60" s="465"/>
      <c r="O60" s="465"/>
      <c r="P60" s="465"/>
      <c r="Q60" s="465"/>
      <c r="R60" s="465"/>
      <c r="S60" s="466"/>
    </row>
    <row r="61" spans="3:19">
      <c r="H61" s="464"/>
      <c r="I61" s="465"/>
      <c r="J61" s="465"/>
      <c r="K61" s="465"/>
      <c r="L61" s="465"/>
      <c r="M61" s="465"/>
      <c r="N61" s="465"/>
      <c r="O61" s="465"/>
      <c r="P61" s="465"/>
      <c r="Q61" s="465"/>
      <c r="R61" s="465"/>
      <c r="S61" s="466"/>
    </row>
    <row r="62" spans="3:19" ht="14" thickBot="1">
      <c r="H62" s="467"/>
      <c r="I62" s="468"/>
      <c r="J62" s="468"/>
      <c r="K62" s="468"/>
      <c r="L62" s="468"/>
      <c r="M62" s="468"/>
      <c r="N62" s="468"/>
      <c r="O62" s="468"/>
      <c r="P62" s="468"/>
      <c r="Q62" s="468"/>
      <c r="R62" s="468"/>
      <c r="S62" s="469"/>
    </row>
  </sheetData>
  <mergeCells count="5">
    <mergeCell ref="C8:F8"/>
    <mergeCell ref="H8:K8"/>
    <mergeCell ref="M8:P8"/>
    <mergeCell ref="H59:S62"/>
    <mergeCell ref="H25:S25"/>
  </mergeCells>
  <pageMargins left="0.75" right="0.75" top="1" bottom="1" header="0.5" footer="0.5"/>
  <pageSetup paperSize="0" orientation="portrait" horizontalDpi="4294967292" verticalDpi="4294967292"/>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3A3E-522D-974E-BC9B-F23395B503BF}">
  <dimension ref="B2:V35"/>
  <sheetViews>
    <sheetView zoomScale="80" zoomScaleNormal="80" workbookViewId="0">
      <selection activeCell="D44" sqref="D44"/>
    </sheetView>
  </sheetViews>
  <sheetFormatPr baseColWidth="10" defaultRowHeight="16"/>
  <sheetData>
    <row r="2" spans="2:22">
      <c r="B2" s="287"/>
      <c r="C2" s="614" t="s">
        <v>655</v>
      </c>
      <c r="D2" s="614"/>
      <c r="E2" s="614"/>
      <c r="F2" s="614"/>
      <c r="G2" s="614"/>
    </row>
    <row r="3" spans="2:22">
      <c r="B3" s="288" t="s">
        <v>99</v>
      </c>
      <c r="C3" s="288">
        <v>1</v>
      </c>
      <c r="D3" s="288">
        <v>2</v>
      </c>
      <c r="E3" s="288">
        <v>3</v>
      </c>
      <c r="F3" s="288">
        <v>4</v>
      </c>
      <c r="G3" s="288">
        <v>5</v>
      </c>
    </row>
    <row r="4" spans="2:22" ht="17" thickBot="1">
      <c r="B4" s="289">
        <v>1</v>
      </c>
      <c r="C4" s="289" t="s">
        <v>726</v>
      </c>
      <c r="D4" s="289" t="s">
        <v>728</v>
      </c>
      <c r="E4" s="289" t="s">
        <v>664</v>
      </c>
      <c r="F4" s="289" t="s">
        <v>667</v>
      </c>
      <c r="G4" s="289" t="s">
        <v>672</v>
      </c>
    </row>
    <row r="5" spans="2:22">
      <c r="B5" s="289">
        <v>2</v>
      </c>
      <c r="C5" s="289" t="s">
        <v>727</v>
      </c>
      <c r="D5" s="289" t="s">
        <v>660</v>
      </c>
      <c r="E5" s="289" t="s">
        <v>665</v>
      </c>
      <c r="F5" s="289" t="s">
        <v>668</v>
      </c>
      <c r="G5" s="289" t="s">
        <v>645</v>
      </c>
      <c r="S5" s="617" t="s">
        <v>787</v>
      </c>
      <c r="T5" s="618"/>
      <c r="U5" s="618"/>
      <c r="V5" s="619"/>
    </row>
    <row r="6" spans="2:22">
      <c r="B6" s="289">
        <v>3</v>
      </c>
      <c r="C6" s="289" t="s">
        <v>657</v>
      </c>
      <c r="D6" s="289" t="s">
        <v>661</v>
      </c>
      <c r="E6" s="290" t="s">
        <v>666</v>
      </c>
      <c r="F6" s="289" t="s">
        <v>637</v>
      </c>
      <c r="G6" s="289" t="s">
        <v>729</v>
      </c>
      <c r="S6" s="620"/>
      <c r="T6" s="615"/>
      <c r="U6" s="615"/>
      <c r="V6" s="621"/>
    </row>
    <row r="7" spans="2:22">
      <c r="B7" s="289">
        <v>4</v>
      </c>
      <c r="C7" s="289" t="s">
        <v>658</v>
      </c>
      <c r="D7" s="289" t="s">
        <v>662</v>
      </c>
      <c r="E7" s="289" t="s">
        <v>643</v>
      </c>
      <c r="F7" s="289" t="s">
        <v>649</v>
      </c>
      <c r="G7" s="289" t="s">
        <v>675</v>
      </c>
      <c r="S7" s="620"/>
      <c r="T7" s="615"/>
      <c r="U7" s="615"/>
      <c r="V7" s="621"/>
    </row>
    <row r="8" spans="2:22">
      <c r="B8" s="288">
        <v>5</v>
      </c>
      <c r="C8" s="288" t="s">
        <v>659</v>
      </c>
      <c r="D8" s="288" t="s">
        <v>643</v>
      </c>
      <c r="E8" s="288" t="s">
        <v>640</v>
      </c>
      <c r="F8" s="288" t="s">
        <v>671</v>
      </c>
      <c r="G8" s="288" t="s">
        <v>676</v>
      </c>
      <c r="S8" s="620"/>
      <c r="T8" s="615"/>
      <c r="U8" s="615"/>
      <c r="V8" s="621"/>
    </row>
    <row r="9" spans="2:22">
      <c r="S9" s="620"/>
      <c r="T9" s="615"/>
      <c r="U9" s="615"/>
      <c r="V9" s="621"/>
    </row>
    <row r="10" spans="2:22">
      <c r="B10" t="s">
        <v>753</v>
      </c>
      <c r="C10" s="64" t="s">
        <v>754</v>
      </c>
      <c r="D10" s="64" t="s">
        <v>755</v>
      </c>
      <c r="E10" s="64" t="s">
        <v>421</v>
      </c>
      <c r="S10" s="620"/>
      <c r="T10" s="615"/>
      <c r="U10" s="615"/>
      <c r="V10" s="621"/>
    </row>
    <row r="11" spans="2:22">
      <c r="B11" s="64" t="s">
        <v>749</v>
      </c>
      <c r="C11" s="64">
        <v>1</v>
      </c>
      <c r="D11" s="64">
        <v>1</v>
      </c>
      <c r="E11" s="64">
        <v>17</v>
      </c>
      <c r="S11" s="620"/>
      <c r="T11" s="615"/>
      <c r="U11" s="615"/>
      <c r="V11" s="621"/>
    </row>
    <row r="12" spans="2:22">
      <c r="B12" s="64" t="s">
        <v>750</v>
      </c>
      <c r="C12" s="64">
        <v>1</v>
      </c>
      <c r="D12" s="64">
        <v>2</v>
      </c>
      <c r="E12" s="64">
        <v>30</v>
      </c>
      <c r="S12" s="620"/>
      <c r="T12" s="615"/>
      <c r="U12" s="615"/>
      <c r="V12" s="621"/>
    </row>
    <row r="13" spans="2:22">
      <c r="B13" s="64" t="s">
        <v>756</v>
      </c>
      <c r="C13" s="64">
        <v>1</v>
      </c>
      <c r="D13" s="64">
        <v>3</v>
      </c>
      <c r="E13" s="64">
        <v>19</v>
      </c>
      <c r="S13" s="620"/>
      <c r="T13" s="615"/>
      <c r="U13" s="615"/>
      <c r="V13" s="621"/>
    </row>
    <row r="14" spans="2:22">
      <c r="B14" s="64" t="s">
        <v>757</v>
      </c>
      <c r="C14" s="64">
        <v>1</v>
      </c>
      <c r="D14" s="64">
        <v>4</v>
      </c>
      <c r="E14" s="64">
        <v>24</v>
      </c>
      <c r="S14" s="620"/>
      <c r="T14" s="615"/>
      <c r="U14" s="615"/>
      <c r="V14" s="621"/>
    </row>
    <row r="15" spans="2:22">
      <c r="B15" s="64" t="s">
        <v>758</v>
      </c>
      <c r="C15" s="64">
        <v>1</v>
      </c>
      <c r="D15" s="64">
        <v>5</v>
      </c>
      <c r="E15" s="64">
        <v>24</v>
      </c>
      <c r="S15" s="620"/>
      <c r="T15" s="615"/>
      <c r="U15" s="615"/>
      <c r="V15" s="621"/>
    </row>
    <row r="16" spans="2:22">
      <c r="B16" s="64" t="s">
        <v>750</v>
      </c>
      <c r="C16" s="64">
        <v>2</v>
      </c>
      <c r="D16" s="64">
        <v>1</v>
      </c>
      <c r="E16" s="64">
        <v>24</v>
      </c>
      <c r="S16" s="620"/>
      <c r="T16" s="615"/>
      <c r="U16" s="615"/>
      <c r="V16" s="621"/>
    </row>
    <row r="17" spans="2:22" ht="17" thickBot="1">
      <c r="B17" s="64" t="s">
        <v>756</v>
      </c>
      <c r="C17" s="64">
        <v>2</v>
      </c>
      <c r="D17" s="64">
        <v>2</v>
      </c>
      <c r="E17" s="64">
        <v>24</v>
      </c>
      <c r="S17" s="622"/>
      <c r="T17" s="623"/>
      <c r="U17" s="623"/>
      <c r="V17" s="624"/>
    </row>
    <row r="18" spans="2:22">
      <c r="B18" s="64" t="s">
        <v>757</v>
      </c>
      <c r="C18" s="64">
        <v>2</v>
      </c>
      <c r="D18" s="64">
        <v>3</v>
      </c>
      <c r="E18" s="64">
        <v>30</v>
      </c>
    </row>
    <row r="19" spans="2:22" ht="37">
      <c r="B19" s="64" t="s">
        <v>758</v>
      </c>
      <c r="C19" s="64">
        <v>2</v>
      </c>
      <c r="D19" s="64">
        <v>4</v>
      </c>
      <c r="E19" s="64">
        <v>27</v>
      </c>
      <c r="S19" s="343" t="s">
        <v>741</v>
      </c>
    </row>
    <row r="20" spans="2:22">
      <c r="B20" s="64" t="s">
        <v>749</v>
      </c>
      <c r="C20" s="64">
        <v>2</v>
      </c>
      <c r="D20" s="64">
        <v>5</v>
      </c>
      <c r="E20" s="64">
        <v>21</v>
      </c>
    </row>
    <row r="21" spans="2:22">
      <c r="B21" s="64" t="s">
        <v>756</v>
      </c>
      <c r="C21" s="64">
        <v>3</v>
      </c>
      <c r="D21" s="64">
        <v>1</v>
      </c>
      <c r="E21" s="64">
        <v>18</v>
      </c>
    </row>
    <row r="22" spans="2:22">
      <c r="B22" s="64" t="s">
        <v>757</v>
      </c>
      <c r="C22" s="64">
        <v>3</v>
      </c>
      <c r="D22" s="64">
        <v>2</v>
      </c>
      <c r="E22" s="64">
        <v>38</v>
      </c>
    </row>
    <row r="23" spans="2:22">
      <c r="B23" s="64" t="s">
        <v>758</v>
      </c>
      <c r="C23" s="64">
        <v>3</v>
      </c>
      <c r="D23" s="64">
        <v>3</v>
      </c>
      <c r="E23" s="64">
        <v>26</v>
      </c>
    </row>
    <row r="24" spans="2:22">
      <c r="B24" s="64" t="s">
        <v>749</v>
      </c>
      <c r="C24" s="64">
        <v>3</v>
      </c>
      <c r="D24" s="64">
        <v>4</v>
      </c>
      <c r="E24" s="64">
        <v>23</v>
      </c>
    </row>
    <row r="25" spans="2:22">
      <c r="B25" s="64" t="s">
        <v>750</v>
      </c>
      <c r="C25" s="64">
        <v>3</v>
      </c>
      <c r="D25" s="64">
        <v>5</v>
      </c>
      <c r="E25" s="64">
        <v>36</v>
      </c>
    </row>
    <row r="26" spans="2:22">
      <c r="B26" s="64" t="s">
        <v>757</v>
      </c>
      <c r="C26" s="64">
        <v>4</v>
      </c>
      <c r="D26" s="64">
        <v>1</v>
      </c>
      <c r="E26" s="64">
        <v>26</v>
      </c>
    </row>
    <row r="27" spans="2:22">
      <c r="B27" s="64" t="s">
        <v>758</v>
      </c>
      <c r="C27" s="64">
        <v>4</v>
      </c>
      <c r="D27" s="64">
        <v>2</v>
      </c>
      <c r="E27" s="64">
        <v>31</v>
      </c>
    </row>
    <row r="28" spans="2:22">
      <c r="B28" s="64" t="s">
        <v>749</v>
      </c>
      <c r="C28" s="64">
        <v>4</v>
      </c>
      <c r="D28" s="64">
        <v>3</v>
      </c>
      <c r="E28" s="64">
        <v>20</v>
      </c>
    </row>
    <row r="29" spans="2:22">
      <c r="B29" s="64" t="s">
        <v>750</v>
      </c>
      <c r="C29" s="64">
        <v>4</v>
      </c>
      <c r="D29" s="64">
        <v>4</v>
      </c>
      <c r="E29" s="64">
        <v>27</v>
      </c>
    </row>
    <row r="30" spans="2:22">
      <c r="B30" s="64" t="s">
        <v>756</v>
      </c>
      <c r="C30" s="64">
        <v>4</v>
      </c>
      <c r="D30" s="64">
        <v>5</v>
      </c>
      <c r="E30" s="64">
        <v>22</v>
      </c>
    </row>
    <row r="31" spans="2:22">
      <c r="B31" s="64" t="s">
        <v>758</v>
      </c>
      <c r="C31" s="64">
        <v>5</v>
      </c>
      <c r="D31" s="64">
        <v>1</v>
      </c>
      <c r="E31" s="64">
        <v>22</v>
      </c>
    </row>
    <row r="32" spans="2:22">
      <c r="B32" s="64" t="s">
        <v>749</v>
      </c>
      <c r="C32" s="64">
        <v>5</v>
      </c>
      <c r="D32" s="64">
        <v>2</v>
      </c>
      <c r="E32" s="64">
        <v>20</v>
      </c>
    </row>
    <row r="33" spans="2:5">
      <c r="B33" s="64" t="s">
        <v>750</v>
      </c>
      <c r="C33" s="64">
        <v>5</v>
      </c>
      <c r="D33" s="64">
        <v>3</v>
      </c>
      <c r="E33" s="64">
        <v>26</v>
      </c>
    </row>
    <row r="34" spans="2:5">
      <c r="B34" s="64" t="s">
        <v>756</v>
      </c>
      <c r="C34" s="64">
        <v>5</v>
      </c>
      <c r="D34" s="64">
        <v>4</v>
      </c>
      <c r="E34" s="64">
        <v>29</v>
      </c>
    </row>
    <row r="35" spans="2:5">
      <c r="B35" s="64" t="s">
        <v>757</v>
      </c>
      <c r="C35" s="64">
        <v>5</v>
      </c>
      <c r="D35" s="64">
        <v>5</v>
      </c>
      <c r="E35" s="64">
        <v>31</v>
      </c>
    </row>
  </sheetData>
  <mergeCells count="2">
    <mergeCell ref="C2:G2"/>
    <mergeCell ref="S5:V17"/>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2F50F-CFA8-B14D-9171-B62537EF0173}">
  <dimension ref="B2:K36"/>
  <sheetViews>
    <sheetView zoomScale="80" zoomScaleNormal="80" workbookViewId="0">
      <selection activeCell="I34" sqref="I34"/>
    </sheetView>
  </sheetViews>
  <sheetFormatPr baseColWidth="10" defaultRowHeight="16"/>
  <cols>
    <col min="3" max="3" width="16.33203125" customWidth="1"/>
  </cols>
  <sheetData>
    <row r="2" spans="2:3" ht="37" customHeight="1">
      <c r="B2" s="70" t="s">
        <v>730</v>
      </c>
      <c r="C2" s="297" t="s">
        <v>731</v>
      </c>
    </row>
    <row r="3" spans="2:3">
      <c r="B3" s="65">
        <v>1</v>
      </c>
      <c r="C3" s="65">
        <v>2158.6999999999998</v>
      </c>
    </row>
    <row r="4" spans="2:3">
      <c r="B4" s="65">
        <v>2</v>
      </c>
      <c r="C4" s="65">
        <v>1678.15</v>
      </c>
    </row>
    <row r="5" spans="2:3">
      <c r="B5" s="65">
        <v>3</v>
      </c>
      <c r="C5" s="65">
        <v>2316</v>
      </c>
    </row>
    <row r="6" spans="2:3">
      <c r="B6" s="65">
        <v>4</v>
      </c>
      <c r="C6" s="65">
        <v>2016.3</v>
      </c>
    </row>
    <row r="7" spans="2:3">
      <c r="B7" s="65">
        <v>5</v>
      </c>
      <c r="C7" s="65">
        <v>2207.5</v>
      </c>
    </row>
    <row r="8" spans="2:3">
      <c r="B8" s="65">
        <v>6</v>
      </c>
      <c r="C8" s="65">
        <v>1708.3</v>
      </c>
    </row>
    <row r="9" spans="2:3">
      <c r="B9" s="65">
        <v>7</v>
      </c>
      <c r="C9" s="65">
        <v>1784.7</v>
      </c>
    </row>
    <row r="10" spans="2:3">
      <c r="B10" s="65">
        <v>8</v>
      </c>
      <c r="C10" s="65">
        <v>2575.1</v>
      </c>
    </row>
    <row r="11" spans="2:3">
      <c r="B11" s="65">
        <v>9</v>
      </c>
      <c r="C11" s="65">
        <v>2357.9</v>
      </c>
    </row>
    <row r="12" spans="2:3">
      <c r="B12" s="65">
        <v>10</v>
      </c>
      <c r="C12" s="65">
        <v>2256.6999999999998</v>
      </c>
    </row>
    <row r="13" spans="2:3">
      <c r="B13" s="65">
        <v>11</v>
      </c>
      <c r="C13" s="65">
        <v>2165.1999999999998</v>
      </c>
    </row>
    <row r="14" spans="2:3">
      <c r="B14" s="65">
        <f>B13+1</f>
        <v>12</v>
      </c>
      <c r="C14" s="65">
        <v>2399.5500000000002</v>
      </c>
    </row>
    <row r="15" spans="2:3">
      <c r="B15" s="65">
        <f t="shared" ref="B15:B22" si="0">B14+1</f>
        <v>13</v>
      </c>
      <c r="C15" s="65">
        <v>1779.8</v>
      </c>
    </row>
    <row r="16" spans="2:3">
      <c r="B16" s="65">
        <f t="shared" si="0"/>
        <v>14</v>
      </c>
      <c r="C16" s="65">
        <v>2335.75</v>
      </c>
    </row>
    <row r="17" spans="2:11">
      <c r="B17" s="65">
        <f t="shared" si="0"/>
        <v>15</v>
      </c>
      <c r="C17" s="65">
        <v>1765.3</v>
      </c>
    </row>
    <row r="18" spans="2:11">
      <c r="B18" s="65">
        <f t="shared" si="0"/>
        <v>16</v>
      </c>
      <c r="C18" s="65">
        <v>2053.5</v>
      </c>
    </row>
    <row r="19" spans="2:11">
      <c r="B19" s="65">
        <f t="shared" si="0"/>
        <v>17</v>
      </c>
      <c r="C19" s="65">
        <v>2414.4</v>
      </c>
    </row>
    <row r="20" spans="2:11">
      <c r="B20" s="65">
        <f t="shared" si="0"/>
        <v>18</v>
      </c>
      <c r="C20" s="65">
        <v>2200.5</v>
      </c>
    </row>
    <row r="21" spans="2:11">
      <c r="B21" s="65">
        <f t="shared" si="0"/>
        <v>19</v>
      </c>
      <c r="C21" s="65">
        <v>2654.2</v>
      </c>
    </row>
    <row r="22" spans="2:11">
      <c r="B22" s="65">
        <f t="shared" si="0"/>
        <v>20</v>
      </c>
      <c r="C22" s="65">
        <v>1753.7</v>
      </c>
    </row>
    <row r="24" spans="2:11" ht="17" thickBot="1"/>
    <row r="25" spans="2:11" ht="16" customHeight="1">
      <c r="E25" s="605" t="s">
        <v>763</v>
      </c>
      <c r="F25" s="606"/>
      <c r="G25" s="606"/>
      <c r="H25" s="606"/>
      <c r="I25" s="606"/>
      <c r="J25" s="606"/>
      <c r="K25" s="607"/>
    </row>
    <row r="26" spans="2:11" ht="16" customHeight="1">
      <c r="E26" s="608"/>
      <c r="F26" s="609"/>
      <c r="G26" s="609"/>
      <c r="H26" s="609"/>
      <c r="I26" s="609"/>
      <c r="J26" s="609"/>
      <c r="K26" s="610"/>
    </row>
    <row r="27" spans="2:11" ht="16" customHeight="1">
      <c r="E27" s="608"/>
      <c r="F27" s="609"/>
      <c r="G27" s="609"/>
      <c r="H27" s="609"/>
      <c r="I27" s="609"/>
      <c r="J27" s="609"/>
      <c r="K27" s="610"/>
    </row>
    <row r="28" spans="2:11" ht="16" customHeight="1">
      <c r="E28" s="608"/>
      <c r="F28" s="609"/>
      <c r="G28" s="609"/>
      <c r="H28" s="609"/>
      <c r="I28" s="609"/>
      <c r="J28" s="609"/>
      <c r="K28" s="610"/>
    </row>
    <row r="29" spans="2:11" ht="16" customHeight="1">
      <c r="E29" s="608"/>
      <c r="F29" s="609"/>
      <c r="G29" s="609"/>
      <c r="H29" s="609"/>
      <c r="I29" s="609"/>
      <c r="J29" s="609"/>
      <c r="K29" s="610"/>
    </row>
    <row r="30" spans="2:11" ht="16" customHeight="1">
      <c r="E30" s="608"/>
      <c r="F30" s="609"/>
      <c r="G30" s="609"/>
      <c r="H30" s="609"/>
      <c r="I30" s="609"/>
      <c r="J30" s="609"/>
      <c r="K30" s="610"/>
    </row>
    <row r="31" spans="2:11" ht="16" customHeight="1" thickBot="1">
      <c r="E31" s="611"/>
      <c r="F31" s="612"/>
      <c r="G31" s="612"/>
      <c r="H31" s="612"/>
      <c r="I31" s="612"/>
      <c r="J31" s="612"/>
      <c r="K31" s="613"/>
    </row>
    <row r="32" spans="2:11" ht="16" customHeight="1">
      <c r="E32" s="342"/>
      <c r="F32" s="342"/>
      <c r="G32" s="342"/>
      <c r="H32" s="342"/>
      <c r="I32" s="342"/>
      <c r="J32" s="342"/>
    </row>
    <row r="33" spans="5:10" ht="37">
      <c r="E33" s="343" t="s">
        <v>741</v>
      </c>
      <c r="F33" s="342"/>
      <c r="G33" s="342"/>
      <c r="H33" s="342"/>
      <c r="I33" s="342"/>
      <c r="J33" s="342"/>
    </row>
    <row r="34" spans="5:10" ht="16" customHeight="1">
      <c r="E34" s="342"/>
      <c r="F34" s="342"/>
      <c r="G34" s="342"/>
      <c r="H34" s="342"/>
      <c r="I34" s="342"/>
      <c r="J34" s="342"/>
    </row>
    <row r="35" spans="5:10" ht="16" customHeight="1">
      <c r="E35" s="342"/>
      <c r="F35" s="342"/>
      <c r="G35" s="342"/>
      <c r="H35" s="342"/>
      <c r="I35" s="342"/>
      <c r="J35" s="342"/>
    </row>
    <row r="36" spans="5:10" ht="17" customHeight="1">
      <c r="E36" s="342"/>
      <c r="F36" s="342"/>
      <c r="G36" s="342"/>
      <c r="H36" s="342"/>
      <c r="I36" s="342"/>
      <c r="J36" s="342"/>
    </row>
  </sheetData>
  <mergeCells count="1">
    <mergeCell ref="E25:K31"/>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9DF5-9C53-0947-A48B-5C2F80EA3DA5}">
  <dimension ref="B2:H36"/>
  <sheetViews>
    <sheetView zoomScale="90" zoomScaleNormal="90" workbookViewId="0">
      <selection activeCell="B28" sqref="B28:G35"/>
    </sheetView>
  </sheetViews>
  <sheetFormatPr baseColWidth="10" defaultRowHeight="16"/>
  <sheetData>
    <row r="2" spans="2:2">
      <c r="B2" s="73" t="s">
        <v>764</v>
      </c>
    </row>
    <row r="3" spans="2:2">
      <c r="B3" s="64">
        <v>1.5</v>
      </c>
    </row>
    <row r="4" spans="2:2">
      <c r="B4" s="64">
        <v>2.2000000000000002</v>
      </c>
    </row>
    <row r="5" spans="2:2">
      <c r="B5" s="64">
        <v>0.9</v>
      </c>
    </row>
    <row r="6" spans="2:2">
      <c r="B6" s="64">
        <v>1.3</v>
      </c>
    </row>
    <row r="7" spans="2:2">
      <c r="B7" s="64">
        <v>2</v>
      </c>
    </row>
    <row r="8" spans="2:2">
      <c r="B8" s="64">
        <v>1.6</v>
      </c>
    </row>
    <row r="9" spans="2:2">
      <c r="B9" s="64">
        <v>1.8</v>
      </c>
    </row>
    <row r="10" spans="2:2">
      <c r="B10" s="64">
        <v>1.5</v>
      </c>
    </row>
    <row r="11" spans="2:2">
      <c r="B11" s="64">
        <v>2</v>
      </c>
    </row>
    <row r="12" spans="2:2">
      <c r="B12" s="64">
        <v>1.2</v>
      </c>
    </row>
    <row r="13" spans="2:2">
      <c r="B13" s="64">
        <v>1.7</v>
      </c>
    </row>
    <row r="27" spans="2:8" ht="17" thickBot="1"/>
    <row r="28" spans="2:8" ht="16" customHeight="1">
      <c r="B28" s="605" t="s">
        <v>767</v>
      </c>
      <c r="C28" s="606"/>
      <c r="D28" s="606"/>
      <c r="E28" s="606"/>
      <c r="F28" s="606"/>
      <c r="G28" s="607"/>
      <c r="H28" s="342"/>
    </row>
    <row r="29" spans="2:8" ht="16" customHeight="1">
      <c r="B29" s="608"/>
      <c r="C29" s="609"/>
      <c r="D29" s="609"/>
      <c r="E29" s="609"/>
      <c r="F29" s="609"/>
      <c r="G29" s="610"/>
      <c r="H29" s="342"/>
    </row>
    <row r="30" spans="2:8" ht="16" customHeight="1">
      <c r="B30" s="608"/>
      <c r="C30" s="609"/>
      <c r="D30" s="609"/>
      <c r="E30" s="609"/>
      <c r="F30" s="609"/>
      <c r="G30" s="610"/>
      <c r="H30" s="342"/>
    </row>
    <row r="31" spans="2:8" ht="16" customHeight="1">
      <c r="B31" s="608"/>
      <c r="C31" s="609"/>
      <c r="D31" s="609"/>
      <c r="E31" s="609"/>
      <c r="F31" s="609"/>
      <c r="G31" s="610"/>
      <c r="H31" s="342"/>
    </row>
    <row r="32" spans="2:8" ht="16" customHeight="1">
      <c r="B32" s="608"/>
      <c r="C32" s="609"/>
      <c r="D32" s="609"/>
      <c r="E32" s="609"/>
      <c r="F32" s="609"/>
      <c r="G32" s="610"/>
      <c r="H32" s="342"/>
    </row>
    <row r="33" spans="2:8" ht="16" customHeight="1">
      <c r="B33" s="608"/>
      <c r="C33" s="609"/>
      <c r="D33" s="609"/>
      <c r="E33" s="609"/>
      <c r="F33" s="609"/>
      <c r="G33" s="610"/>
      <c r="H33" s="342"/>
    </row>
    <row r="34" spans="2:8" ht="16" customHeight="1">
      <c r="B34" s="608"/>
      <c r="C34" s="609"/>
      <c r="D34" s="609"/>
      <c r="E34" s="609"/>
      <c r="F34" s="609"/>
      <c r="G34" s="610"/>
      <c r="H34" s="342"/>
    </row>
    <row r="35" spans="2:8" ht="34" customHeight="1" thickBot="1">
      <c r="B35" s="611"/>
      <c r="C35" s="612"/>
      <c r="D35" s="612"/>
      <c r="E35" s="612"/>
      <c r="F35" s="612"/>
      <c r="G35" s="613"/>
    </row>
    <row r="36" spans="2:8" ht="37">
      <c r="B36" s="343" t="s">
        <v>741</v>
      </c>
      <c r="C36" s="342"/>
      <c r="D36" s="342"/>
      <c r="E36" s="342"/>
      <c r="F36" s="342"/>
      <c r="G36" s="342"/>
    </row>
  </sheetData>
  <mergeCells count="1">
    <mergeCell ref="B28:G35"/>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31CB-C69B-AC40-8DA4-3C7C01766807}">
  <dimension ref="B1:I33"/>
  <sheetViews>
    <sheetView zoomScaleNormal="100" workbookViewId="0">
      <selection activeCell="H38" sqref="H38"/>
    </sheetView>
  </sheetViews>
  <sheetFormatPr baseColWidth="10" defaultRowHeight="16"/>
  <sheetData>
    <row r="1" spans="2:2">
      <c r="B1" s="64" t="s">
        <v>765</v>
      </c>
    </row>
    <row r="2" spans="2:2">
      <c r="B2" s="64">
        <v>17</v>
      </c>
    </row>
    <row r="3" spans="2:2">
      <c r="B3" s="64">
        <v>32</v>
      </c>
    </row>
    <row r="4" spans="2:2">
      <c r="B4" s="64">
        <v>25</v>
      </c>
    </row>
    <row r="5" spans="2:2">
      <c r="B5" s="64">
        <v>15</v>
      </c>
    </row>
    <row r="6" spans="2:2">
      <c r="B6" s="64">
        <v>28</v>
      </c>
    </row>
    <row r="7" spans="2:2">
      <c r="B7" s="64">
        <v>25</v>
      </c>
    </row>
    <row r="8" spans="2:2">
      <c r="B8" s="64">
        <v>20</v>
      </c>
    </row>
    <row r="9" spans="2:2">
      <c r="B9" s="64">
        <v>12</v>
      </c>
    </row>
    <row r="10" spans="2:2">
      <c r="B10" s="64">
        <v>35</v>
      </c>
    </row>
    <row r="11" spans="2:2">
      <c r="B11" s="64">
        <v>20</v>
      </c>
    </row>
    <row r="12" spans="2:2">
      <c r="B12" s="64">
        <v>26</v>
      </c>
    </row>
    <row r="13" spans="2:2">
      <c r="B13" s="64">
        <v>24</v>
      </c>
    </row>
    <row r="24" spans="3:9" ht="17" thickBot="1"/>
    <row r="25" spans="3:9" ht="16" customHeight="1">
      <c r="C25" s="605" t="s">
        <v>766</v>
      </c>
      <c r="D25" s="606"/>
      <c r="E25" s="606"/>
      <c r="F25" s="606"/>
      <c r="G25" s="606"/>
      <c r="H25" s="607"/>
      <c r="I25" s="342"/>
    </row>
    <row r="26" spans="3:9" ht="16" customHeight="1">
      <c r="C26" s="608"/>
      <c r="D26" s="609"/>
      <c r="E26" s="609"/>
      <c r="F26" s="609"/>
      <c r="G26" s="609"/>
      <c r="H26" s="610"/>
      <c r="I26" s="342"/>
    </row>
    <row r="27" spans="3:9" ht="16" customHeight="1">
      <c r="C27" s="608"/>
      <c r="D27" s="609"/>
      <c r="E27" s="609"/>
      <c r="F27" s="609"/>
      <c r="G27" s="609"/>
      <c r="H27" s="610"/>
      <c r="I27" s="342"/>
    </row>
    <row r="28" spans="3:9" ht="16" customHeight="1">
      <c r="C28" s="608"/>
      <c r="D28" s="609"/>
      <c r="E28" s="609"/>
      <c r="F28" s="609"/>
      <c r="G28" s="609"/>
      <c r="H28" s="610"/>
      <c r="I28" s="342"/>
    </row>
    <row r="29" spans="3:9" ht="16" customHeight="1">
      <c r="C29" s="608"/>
      <c r="D29" s="609"/>
      <c r="E29" s="609"/>
      <c r="F29" s="609"/>
      <c r="G29" s="609"/>
      <c r="H29" s="610"/>
      <c r="I29" s="342"/>
    </row>
    <row r="30" spans="3:9" ht="16" customHeight="1">
      <c r="C30" s="608"/>
      <c r="D30" s="609"/>
      <c r="E30" s="609"/>
      <c r="F30" s="609"/>
      <c r="G30" s="609"/>
      <c r="H30" s="610"/>
      <c r="I30" s="342"/>
    </row>
    <row r="31" spans="3:9" ht="16" customHeight="1">
      <c r="C31" s="608"/>
      <c r="D31" s="609"/>
      <c r="E31" s="609"/>
      <c r="F31" s="609"/>
      <c r="G31" s="609"/>
      <c r="H31" s="610"/>
      <c r="I31" s="342"/>
    </row>
    <row r="32" spans="3:9" ht="34" customHeight="1" thickBot="1">
      <c r="C32" s="611"/>
      <c r="D32" s="612"/>
      <c r="E32" s="612"/>
      <c r="F32" s="612"/>
      <c r="G32" s="612"/>
      <c r="H32" s="613"/>
    </row>
    <row r="33" spans="3:8" ht="37">
      <c r="C33" s="343" t="s">
        <v>741</v>
      </c>
      <c r="D33" s="342"/>
      <c r="E33" s="342"/>
      <c r="F33" s="342"/>
      <c r="G33" s="342"/>
      <c r="H33" s="342"/>
    </row>
  </sheetData>
  <mergeCells count="1">
    <mergeCell ref="C25:H32"/>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06C7A-46AD-3348-B2EE-13BD36C54800}">
  <dimension ref="B2:I34"/>
  <sheetViews>
    <sheetView zoomScaleNormal="100" workbookViewId="0">
      <selection activeCell="I37" sqref="I37"/>
    </sheetView>
  </sheetViews>
  <sheetFormatPr baseColWidth="10" defaultRowHeight="16"/>
  <sheetData>
    <row r="2" spans="2:3">
      <c r="B2" s="67" t="s">
        <v>403</v>
      </c>
      <c r="C2" s="67" t="s">
        <v>732</v>
      </c>
    </row>
    <row r="3" spans="2:3">
      <c r="B3" s="68">
        <v>1</v>
      </c>
      <c r="C3" s="68">
        <v>19</v>
      </c>
    </row>
    <row r="4" spans="2:3">
      <c r="B4" s="68">
        <v>2</v>
      </c>
      <c r="C4" s="68">
        <v>21</v>
      </c>
    </row>
    <row r="5" spans="2:3">
      <c r="B5" s="68">
        <v>3</v>
      </c>
      <c r="C5" s="68">
        <v>15</v>
      </c>
    </row>
    <row r="6" spans="2:3">
      <c r="B6" s="68">
        <v>4</v>
      </c>
      <c r="C6" s="68">
        <v>17</v>
      </c>
    </row>
    <row r="7" spans="2:3">
      <c r="B7" s="68">
        <v>5</v>
      </c>
      <c r="C7" s="68">
        <v>24</v>
      </c>
    </row>
    <row r="8" spans="2:3">
      <c r="B8" s="68">
        <v>6</v>
      </c>
      <c r="C8" s="68">
        <v>12</v>
      </c>
    </row>
    <row r="9" spans="2:3">
      <c r="B9" s="68">
        <v>7</v>
      </c>
      <c r="C9" s="68">
        <v>19</v>
      </c>
    </row>
    <row r="10" spans="2:3">
      <c r="B10" s="68">
        <v>8</v>
      </c>
      <c r="C10" s="68">
        <v>14</v>
      </c>
    </row>
    <row r="11" spans="2:3">
      <c r="B11" s="68">
        <v>9</v>
      </c>
      <c r="C11" s="68">
        <v>20</v>
      </c>
    </row>
    <row r="12" spans="2:3">
      <c r="B12" s="68">
        <v>10</v>
      </c>
      <c r="C12" s="68">
        <v>18</v>
      </c>
    </row>
    <row r="13" spans="2:3">
      <c r="B13" s="68">
        <v>11</v>
      </c>
      <c r="C13" s="68">
        <v>23</v>
      </c>
    </row>
    <row r="14" spans="2:3">
      <c r="B14" s="68">
        <v>12</v>
      </c>
      <c r="C14" s="68">
        <v>21</v>
      </c>
    </row>
    <row r="15" spans="2:3">
      <c r="B15" s="68">
        <v>13</v>
      </c>
      <c r="C15" s="68">
        <v>17</v>
      </c>
    </row>
    <row r="16" spans="2:3">
      <c r="B16" s="68">
        <v>14</v>
      </c>
      <c r="C16" s="68">
        <v>12</v>
      </c>
    </row>
    <row r="17" spans="2:9">
      <c r="B17" s="68">
        <v>15</v>
      </c>
      <c r="C17" s="68">
        <v>16</v>
      </c>
    </row>
    <row r="18" spans="2:9">
      <c r="B18" s="68">
        <v>16</v>
      </c>
      <c r="C18" s="68">
        <v>15</v>
      </c>
    </row>
    <row r="19" spans="2:9">
      <c r="B19" s="68">
        <v>17</v>
      </c>
      <c r="C19" s="68">
        <v>20</v>
      </c>
    </row>
    <row r="20" spans="2:9">
      <c r="B20" s="68">
        <v>18</v>
      </c>
      <c r="C20" s="68">
        <v>18</v>
      </c>
    </row>
    <row r="21" spans="2:9">
      <c r="B21" s="68">
        <v>19</v>
      </c>
      <c r="C21" s="68">
        <v>14</v>
      </c>
    </row>
    <row r="22" spans="2:9">
      <c r="B22" s="68">
        <v>20</v>
      </c>
      <c r="C22" s="68">
        <v>22</v>
      </c>
    </row>
    <row r="24" spans="2:9">
      <c r="B24" s="336" t="s">
        <v>733</v>
      </c>
      <c r="C24" s="336">
        <v>17</v>
      </c>
    </row>
    <row r="25" spans="2:9" ht="17" thickBot="1"/>
    <row r="26" spans="2:9">
      <c r="D26" s="605" t="s">
        <v>768</v>
      </c>
      <c r="E26" s="606"/>
      <c r="F26" s="606"/>
      <c r="G26" s="606"/>
      <c r="H26" s="606"/>
      <c r="I26" s="607"/>
    </row>
    <row r="27" spans="2:9">
      <c r="D27" s="608"/>
      <c r="E27" s="609"/>
      <c r="F27" s="609"/>
      <c r="G27" s="609"/>
      <c r="H27" s="609"/>
      <c r="I27" s="610"/>
    </row>
    <row r="28" spans="2:9">
      <c r="D28" s="608"/>
      <c r="E28" s="609"/>
      <c r="F28" s="609"/>
      <c r="G28" s="609"/>
      <c r="H28" s="609"/>
      <c r="I28" s="610"/>
    </row>
    <row r="29" spans="2:9">
      <c r="D29" s="608"/>
      <c r="E29" s="609"/>
      <c r="F29" s="609"/>
      <c r="G29" s="609"/>
      <c r="H29" s="609"/>
      <c r="I29" s="610"/>
    </row>
    <row r="30" spans="2:9">
      <c r="D30" s="608"/>
      <c r="E30" s="609"/>
      <c r="F30" s="609"/>
      <c r="G30" s="609"/>
      <c r="H30" s="609"/>
      <c r="I30" s="610"/>
    </row>
    <row r="31" spans="2:9">
      <c r="D31" s="608"/>
      <c r="E31" s="609"/>
      <c r="F31" s="609"/>
      <c r="G31" s="609"/>
      <c r="H31" s="609"/>
      <c r="I31" s="610"/>
    </row>
    <row r="32" spans="2:9">
      <c r="D32" s="608"/>
      <c r="E32" s="609"/>
      <c r="F32" s="609"/>
      <c r="G32" s="609"/>
      <c r="H32" s="609"/>
      <c r="I32" s="610"/>
    </row>
    <row r="33" spans="4:9" ht="17" thickBot="1">
      <c r="D33" s="611"/>
      <c r="E33" s="612"/>
      <c r="F33" s="612"/>
      <c r="G33" s="612"/>
      <c r="H33" s="612"/>
      <c r="I33" s="613"/>
    </row>
    <row r="34" spans="4:9" ht="37">
      <c r="D34" s="343" t="s">
        <v>741</v>
      </c>
      <c r="E34" s="342"/>
      <c r="F34" s="342"/>
      <c r="G34" s="342"/>
      <c r="H34" s="342"/>
      <c r="I34" s="342"/>
    </row>
  </sheetData>
  <mergeCells count="1">
    <mergeCell ref="D26:I33"/>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59740-D8F9-C843-8B37-0FFE5D065112}">
  <dimension ref="B2:G25"/>
  <sheetViews>
    <sheetView zoomScale="90" zoomScaleNormal="90" workbookViewId="0">
      <selection activeCell="O27" sqref="O27"/>
    </sheetView>
  </sheetViews>
  <sheetFormatPr baseColWidth="10" defaultRowHeight="16"/>
  <cols>
    <col min="4" max="4" width="12.1640625" bestFit="1" customWidth="1"/>
  </cols>
  <sheetData>
    <row r="2" spans="2:7">
      <c r="B2" s="67" t="s">
        <v>734</v>
      </c>
      <c r="C2" s="67" t="s">
        <v>735</v>
      </c>
      <c r="D2" s="67" t="s">
        <v>736</v>
      </c>
    </row>
    <row r="3" spans="2:7">
      <c r="B3" s="65">
        <v>1</v>
      </c>
      <c r="C3" s="65">
        <v>58.5</v>
      </c>
      <c r="D3" s="65">
        <v>60</v>
      </c>
    </row>
    <row r="4" spans="2:7">
      <c r="B4" s="65">
        <v>2</v>
      </c>
      <c r="C4" s="65">
        <v>60.3</v>
      </c>
      <c r="D4" s="65">
        <v>54.9</v>
      </c>
    </row>
    <row r="5" spans="2:7">
      <c r="B5" s="65">
        <v>3</v>
      </c>
      <c r="C5" s="65">
        <v>61.7</v>
      </c>
      <c r="D5" s="65">
        <v>58.1</v>
      </c>
    </row>
    <row r="6" spans="2:7">
      <c r="B6" s="65">
        <v>4</v>
      </c>
      <c r="C6" s="65">
        <v>69</v>
      </c>
      <c r="D6" s="65">
        <v>62.1</v>
      </c>
    </row>
    <row r="7" spans="2:7">
      <c r="B7" s="65">
        <v>5</v>
      </c>
      <c r="C7" s="65">
        <v>64</v>
      </c>
      <c r="D7" s="65">
        <v>58.5</v>
      </c>
    </row>
    <row r="8" spans="2:7">
      <c r="B8" s="65">
        <v>6</v>
      </c>
      <c r="C8" s="65">
        <v>62.6</v>
      </c>
      <c r="D8" s="65">
        <v>59.9</v>
      </c>
    </row>
    <row r="9" spans="2:7">
      <c r="B9" s="65">
        <v>7</v>
      </c>
      <c r="C9" s="65">
        <v>56.7</v>
      </c>
      <c r="D9" s="65">
        <v>54.4</v>
      </c>
    </row>
    <row r="10" spans="2:7">
      <c r="B10" s="65">
        <v>8</v>
      </c>
      <c r="C10" s="65">
        <v>63.6</v>
      </c>
      <c r="D10" s="65">
        <v>60.2</v>
      </c>
    </row>
    <row r="11" spans="2:7">
      <c r="B11" s="65">
        <v>9</v>
      </c>
      <c r="C11" s="65">
        <v>68.2</v>
      </c>
      <c r="D11" s="65">
        <v>62.3</v>
      </c>
    </row>
    <row r="12" spans="2:7">
      <c r="B12" s="65">
        <v>10</v>
      </c>
      <c r="C12" s="65">
        <v>59.4</v>
      </c>
      <c r="D12" s="65">
        <v>58.7</v>
      </c>
    </row>
    <row r="13" spans="2:7" ht="17" thickBot="1"/>
    <row r="14" spans="2:7" ht="16" customHeight="1">
      <c r="B14" s="617" t="s">
        <v>769</v>
      </c>
      <c r="C14" s="618"/>
      <c r="D14" s="619"/>
      <c r="E14" s="348"/>
      <c r="F14" s="348"/>
      <c r="G14" s="348"/>
    </row>
    <row r="15" spans="2:7" ht="16" customHeight="1">
      <c r="B15" s="620"/>
      <c r="C15" s="615"/>
      <c r="D15" s="621"/>
      <c r="E15" s="348"/>
      <c r="F15" s="348"/>
      <c r="G15" s="348"/>
    </row>
    <row r="16" spans="2:7" ht="16" customHeight="1">
      <c r="B16" s="620"/>
      <c r="C16" s="615"/>
      <c r="D16" s="621"/>
      <c r="E16" s="348"/>
      <c r="F16" s="348"/>
      <c r="G16" s="348"/>
    </row>
    <row r="17" spans="2:7" ht="16" customHeight="1">
      <c r="B17" s="620"/>
      <c r="C17" s="615"/>
      <c r="D17" s="621"/>
      <c r="E17" s="348"/>
      <c r="F17" s="348"/>
      <c r="G17" s="348"/>
    </row>
    <row r="18" spans="2:7" ht="16" customHeight="1">
      <c r="B18" s="620"/>
      <c r="C18" s="615"/>
      <c r="D18" s="621"/>
      <c r="E18" s="348"/>
      <c r="F18" s="348"/>
      <c r="G18" s="348"/>
    </row>
    <row r="19" spans="2:7" ht="16" customHeight="1">
      <c r="B19" s="620"/>
      <c r="C19" s="615"/>
      <c r="D19" s="621"/>
      <c r="E19" s="348"/>
      <c r="F19" s="348"/>
      <c r="G19" s="348"/>
    </row>
    <row r="20" spans="2:7" ht="16" customHeight="1">
      <c r="B20" s="620"/>
      <c r="C20" s="615"/>
      <c r="D20" s="621"/>
      <c r="E20" s="348"/>
      <c r="F20" s="348"/>
      <c r="G20" s="348"/>
    </row>
    <row r="21" spans="2:7" ht="17" customHeight="1">
      <c r="B21" s="620"/>
      <c r="C21" s="615"/>
      <c r="D21" s="621"/>
      <c r="E21" s="348"/>
      <c r="F21" s="348"/>
      <c r="G21" s="348"/>
    </row>
    <row r="22" spans="2:7" ht="37" customHeight="1">
      <c r="B22" s="620"/>
      <c r="C22" s="615"/>
      <c r="D22" s="621"/>
      <c r="E22" s="349" t="s">
        <v>770</v>
      </c>
      <c r="F22" s="342"/>
      <c r="G22" s="342"/>
    </row>
    <row r="23" spans="2:7" ht="16" customHeight="1">
      <c r="B23" s="620"/>
      <c r="C23" s="615"/>
      <c r="D23" s="621"/>
    </row>
    <row r="24" spans="2:7">
      <c r="B24" s="620"/>
      <c r="C24" s="615"/>
      <c r="D24" s="621"/>
    </row>
    <row r="25" spans="2:7" ht="17" thickBot="1">
      <c r="B25" s="622"/>
      <c r="C25" s="623"/>
      <c r="D25" s="624"/>
    </row>
  </sheetData>
  <mergeCells count="1">
    <mergeCell ref="B14:D25"/>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A90C0-82C1-8044-BCFC-882D8903E780}">
  <dimension ref="B1:L15"/>
  <sheetViews>
    <sheetView zoomScale="120" zoomScaleNormal="120" workbookViewId="0">
      <selection activeCell="L28" sqref="L28"/>
    </sheetView>
  </sheetViews>
  <sheetFormatPr baseColWidth="10" defaultRowHeight="16"/>
  <sheetData>
    <row r="1" spans="2:12">
      <c r="B1" s="64" t="s">
        <v>771</v>
      </c>
    </row>
    <row r="2" spans="2:12" ht="17" thickBot="1">
      <c r="B2" s="64">
        <v>7.91</v>
      </c>
    </row>
    <row r="3" spans="2:12">
      <c r="B3" s="64">
        <v>7.85</v>
      </c>
      <c r="J3" s="585" t="s">
        <v>772</v>
      </c>
      <c r="K3" s="586"/>
      <c r="L3" s="587"/>
    </row>
    <row r="4" spans="2:12">
      <c r="B4" s="64">
        <v>6.82</v>
      </c>
      <c r="J4" s="588"/>
      <c r="K4" s="589"/>
      <c r="L4" s="590"/>
    </row>
    <row r="5" spans="2:12">
      <c r="B5" s="64">
        <v>8.01</v>
      </c>
      <c r="J5" s="588"/>
      <c r="K5" s="589"/>
      <c r="L5" s="590"/>
    </row>
    <row r="6" spans="2:12">
      <c r="B6" s="64">
        <v>7.46</v>
      </c>
      <c r="J6" s="588"/>
      <c r="K6" s="589"/>
      <c r="L6" s="590"/>
    </row>
    <row r="7" spans="2:12">
      <c r="B7" s="64">
        <v>6.95</v>
      </c>
      <c r="J7" s="588"/>
      <c r="K7" s="589"/>
      <c r="L7" s="590"/>
    </row>
    <row r="8" spans="2:12">
      <c r="B8" s="64">
        <v>7.05</v>
      </c>
      <c r="J8" s="588"/>
      <c r="K8" s="589"/>
      <c r="L8" s="590"/>
    </row>
    <row r="9" spans="2:12">
      <c r="B9" s="64">
        <v>7.35</v>
      </c>
      <c r="J9" s="588"/>
      <c r="K9" s="589"/>
      <c r="L9" s="590"/>
    </row>
    <row r="10" spans="2:12">
      <c r="B10" s="64">
        <v>7.25</v>
      </c>
      <c r="J10" s="588"/>
      <c r="K10" s="589"/>
      <c r="L10" s="590"/>
    </row>
    <row r="11" spans="2:12">
      <c r="B11" s="64">
        <v>7.42</v>
      </c>
      <c r="J11" s="588"/>
      <c r="K11" s="589"/>
      <c r="L11" s="590"/>
    </row>
    <row r="12" spans="2:12">
      <c r="J12" s="588"/>
      <c r="K12" s="589"/>
      <c r="L12" s="590"/>
    </row>
    <row r="13" spans="2:12">
      <c r="J13" s="588"/>
      <c r="K13" s="589"/>
      <c r="L13" s="590"/>
    </row>
    <row r="14" spans="2:12" ht="17" thickBot="1">
      <c r="J14" s="591"/>
      <c r="K14" s="592"/>
      <c r="L14" s="593"/>
    </row>
    <row r="15" spans="2:12" ht="35">
      <c r="J15" s="349" t="s">
        <v>770</v>
      </c>
    </row>
  </sheetData>
  <mergeCells count="1">
    <mergeCell ref="J3:L1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0371-7C9E-F943-8815-32D7E5BD05B2}">
  <dimension ref="B2:M24"/>
  <sheetViews>
    <sheetView zoomScale="110" zoomScaleNormal="110" workbookViewId="0">
      <selection activeCell="K24" sqref="K24"/>
    </sheetView>
  </sheetViews>
  <sheetFormatPr baseColWidth="10" defaultRowHeight="16"/>
  <sheetData>
    <row r="2" spans="2:13" ht="17" thickBot="1">
      <c r="B2" s="64" t="s">
        <v>773</v>
      </c>
    </row>
    <row r="3" spans="2:13">
      <c r="B3" s="68">
        <v>2.4</v>
      </c>
      <c r="K3" s="625" t="s">
        <v>774</v>
      </c>
      <c r="L3" s="626"/>
      <c r="M3" s="627"/>
    </row>
    <row r="4" spans="2:13">
      <c r="B4" s="68">
        <v>2.5</v>
      </c>
      <c r="K4" s="628"/>
      <c r="L4" s="629"/>
      <c r="M4" s="630"/>
    </row>
    <row r="5" spans="2:13">
      <c r="B5" s="68">
        <v>1.7</v>
      </c>
      <c r="K5" s="628"/>
      <c r="L5" s="629"/>
      <c r="M5" s="630"/>
    </row>
    <row r="6" spans="2:13">
      <c r="B6" s="68">
        <v>1.6</v>
      </c>
      <c r="K6" s="628"/>
      <c r="L6" s="629"/>
      <c r="M6" s="630"/>
    </row>
    <row r="7" spans="2:13">
      <c r="B7" s="68">
        <v>1.9</v>
      </c>
      <c r="K7" s="628"/>
      <c r="L7" s="629"/>
      <c r="M7" s="630"/>
    </row>
    <row r="8" spans="2:13">
      <c r="B8" s="68">
        <v>2.6</v>
      </c>
      <c r="K8" s="628"/>
      <c r="L8" s="629"/>
      <c r="M8" s="630"/>
    </row>
    <row r="9" spans="2:13">
      <c r="B9" s="68">
        <v>1.3</v>
      </c>
      <c r="K9" s="628"/>
      <c r="L9" s="629"/>
      <c r="M9" s="630"/>
    </row>
    <row r="10" spans="2:13">
      <c r="B10" s="68">
        <v>1.9</v>
      </c>
      <c r="K10" s="628"/>
      <c r="L10" s="629"/>
      <c r="M10" s="630"/>
    </row>
    <row r="11" spans="2:13">
      <c r="B11" s="68">
        <v>2</v>
      </c>
      <c r="K11" s="628"/>
      <c r="L11" s="629"/>
      <c r="M11" s="630"/>
    </row>
    <row r="12" spans="2:13">
      <c r="B12" s="68">
        <v>2.5</v>
      </c>
      <c r="K12" s="628"/>
      <c r="L12" s="629"/>
      <c r="M12" s="630"/>
    </row>
    <row r="13" spans="2:13">
      <c r="B13" s="68">
        <v>2.6</v>
      </c>
      <c r="K13" s="628"/>
      <c r="L13" s="629"/>
      <c r="M13" s="630"/>
    </row>
    <row r="14" spans="2:13" ht="17" thickBot="1">
      <c r="B14" s="68">
        <v>2.2999999999999998</v>
      </c>
      <c r="K14" s="631"/>
      <c r="L14" s="632"/>
      <c r="M14" s="633"/>
    </row>
    <row r="15" spans="2:13" ht="35">
      <c r="B15" s="68">
        <v>2</v>
      </c>
      <c r="K15" s="349" t="s">
        <v>770</v>
      </c>
    </row>
    <row r="16" spans="2:13">
      <c r="B16" s="68">
        <v>1.8</v>
      </c>
    </row>
    <row r="17" spans="2:2">
      <c r="B17" s="68">
        <v>1.3</v>
      </c>
    </row>
    <row r="18" spans="2:2">
      <c r="B18" s="68">
        <v>1.7</v>
      </c>
    </row>
    <row r="19" spans="2:2">
      <c r="B19" s="68">
        <v>2</v>
      </c>
    </row>
    <row r="20" spans="2:2">
      <c r="B20" s="68">
        <v>1.9</v>
      </c>
    </row>
    <row r="21" spans="2:2">
      <c r="B21" s="68">
        <v>2.2999999999999998</v>
      </c>
    </row>
    <row r="22" spans="2:2">
      <c r="B22" s="68">
        <v>1.9</v>
      </c>
    </row>
    <row r="23" spans="2:2">
      <c r="B23" s="68">
        <v>2.4</v>
      </c>
    </row>
    <row r="24" spans="2:2">
      <c r="B24" s="68">
        <v>1.6</v>
      </c>
    </row>
  </sheetData>
  <mergeCells count="1">
    <mergeCell ref="K3:M1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FA60A-8092-2A47-B80C-00EC1C36A7F9}">
  <dimension ref="A2:M15"/>
  <sheetViews>
    <sheetView workbookViewId="0">
      <selection activeCell="B17" sqref="B17"/>
    </sheetView>
  </sheetViews>
  <sheetFormatPr baseColWidth="10" defaultRowHeight="16"/>
  <sheetData>
    <row r="2" spans="1:13">
      <c r="A2" s="67" t="s">
        <v>739</v>
      </c>
      <c r="B2" s="67" t="s">
        <v>737</v>
      </c>
      <c r="C2" s="67" t="s">
        <v>738</v>
      </c>
    </row>
    <row r="3" spans="1:13" ht="17" thickBot="1">
      <c r="A3" s="68">
        <v>1</v>
      </c>
      <c r="B3" s="68">
        <v>66</v>
      </c>
      <c r="C3" s="68">
        <v>71</v>
      </c>
    </row>
    <row r="4" spans="1:13" ht="31">
      <c r="A4" s="68">
        <v>2</v>
      </c>
      <c r="B4" s="68">
        <v>80</v>
      </c>
      <c r="C4" s="68">
        <v>82</v>
      </c>
      <c r="J4" s="585" t="s">
        <v>775</v>
      </c>
      <c r="K4" s="586"/>
      <c r="L4" s="587"/>
      <c r="M4" s="348"/>
    </row>
    <row r="5" spans="1:13" ht="31">
      <c r="A5" s="68">
        <v>3</v>
      </c>
      <c r="B5" s="68">
        <v>69</v>
      </c>
      <c r="C5" s="68">
        <v>68</v>
      </c>
      <c r="J5" s="588"/>
      <c r="K5" s="589"/>
      <c r="L5" s="590"/>
      <c r="M5" s="348"/>
    </row>
    <row r="6" spans="1:13" ht="31">
      <c r="A6" s="68">
        <v>4</v>
      </c>
      <c r="B6" s="68">
        <v>52</v>
      </c>
      <c r="C6" s="68">
        <v>56</v>
      </c>
      <c r="J6" s="588"/>
      <c r="K6" s="589"/>
      <c r="L6" s="590"/>
      <c r="M6" s="348"/>
    </row>
    <row r="7" spans="1:13" ht="31">
      <c r="A7" s="68">
        <v>5</v>
      </c>
      <c r="B7" s="68">
        <v>75</v>
      </c>
      <c r="C7" s="68">
        <v>73</v>
      </c>
      <c r="J7" s="588"/>
      <c r="K7" s="589"/>
      <c r="L7" s="590"/>
      <c r="M7" s="348"/>
    </row>
    <row r="8" spans="1:13" ht="31">
      <c r="J8" s="588"/>
      <c r="K8" s="589"/>
      <c r="L8" s="590"/>
      <c r="M8" s="348"/>
    </row>
    <row r="9" spans="1:13" ht="31">
      <c r="J9" s="588"/>
      <c r="K9" s="589"/>
      <c r="L9" s="590"/>
      <c r="M9" s="348"/>
    </row>
    <row r="10" spans="1:13" ht="31">
      <c r="J10" s="588"/>
      <c r="K10" s="589"/>
      <c r="L10" s="590"/>
      <c r="M10" s="348"/>
    </row>
    <row r="11" spans="1:13" ht="31">
      <c r="J11" s="588"/>
      <c r="K11" s="589"/>
      <c r="L11" s="590"/>
      <c r="M11" s="348"/>
    </row>
    <row r="12" spans="1:13" ht="35">
      <c r="J12" s="588"/>
      <c r="K12" s="589"/>
      <c r="L12" s="590"/>
      <c r="M12" s="349" t="s">
        <v>770</v>
      </c>
    </row>
    <row r="13" spans="1:13">
      <c r="J13" s="588"/>
      <c r="K13" s="589"/>
      <c r="L13" s="590"/>
    </row>
    <row r="14" spans="1:13">
      <c r="J14" s="588"/>
      <c r="K14" s="589"/>
      <c r="L14" s="590"/>
    </row>
    <row r="15" spans="1:13" ht="17" thickBot="1">
      <c r="J15" s="591"/>
      <c r="K15" s="592"/>
      <c r="L15" s="593"/>
    </row>
  </sheetData>
  <mergeCells count="1">
    <mergeCell ref="J4:L1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AD850-E44C-614A-AB81-414B7BA625AA}">
  <dimension ref="B2:F39"/>
  <sheetViews>
    <sheetView zoomScale="110" zoomScaleNormal="110" workbookViewId="0">
      <selection activeCell="Q41" sqref="Q41"/>
    </sheetView>
  </sheetViews>
  <sheetFormatPr baseColWidth="10" defaultRowHeight="13"/>
  <cols>
    <col min="1" max="1" width="7.5" style="33" customWidth="1"/>
    <col min="2" max="2" width="10.83203125" style="33"/>
    <col min="3" max="3" width="11.6640625" style="33" customWidth="1"/>
    <col min="4" max="16384" width="10.83203125" style="33"/>
  </cols>
  <sheetData>
    <row r="2" spans="2:6">
      <c r="B2" s="425" t="s">
        <v>800</v>
      </c>
    </row>
    <row r="3" spans="2:6">
      <c r="B3" s="30" t="s">
        <v>14</v>
      </c>
      <c r="C3" s="31">
        <v>75</v>
      </c>
      <c r="D3" s="32"/>
      <c r="E3" s="32"/>
    </row>
    <row r="4" spans="2:6">
      <c r="B4" s="30" t="s">
        <v>15</v>
      </c>
      <c r="C4" s="31">
        <v>2</v>
      </c>
      <c r="D4" s="32"/>
      <c r="E4" s="32"/>
    </row>
    <row r="5" spans="2:6">
      <c r="B5" s="34" t="s">
        <v>16</v>
      </c>
      <c r="C5" s="34" t="s">
        <v>17</v>
      </c>
      <c r="D5" s="34" t="s">
        <v>18</v>
      </c>
      <c r="E5" s="34" t="s">
        <v>19</v>
      </c>
    </row>
    <row r="6" spans="2:6">
      <c r="B6" s="35">
        <v>5.0000000000000001E-3</v>
      </c>
      <c r="C6" s="35">
        <f>C3*B6</f>
        <v>0.375</v>
      </c>
      <c r="D6" s="35">
        <v>0.99399999999999999</v>
      </c>
      <c r="E6" s="35">
        <f>B6*D6</f>
        <v>4.9700000000000005E-3</v>
      </c>
    </row>
    <row r="7" spans="2:6">
      <c r="B7" s="35">
        <v>0.01</v>
      </c>
      <c r="C7" s="35">
        <f>B7*$C$3</f>
        <v>0.75</v>
      </c>
      <c r="D7" s="36">
        <v>0.95899999999999996</v>
      </c>
      <c r="E7" s="37">
        <f>B7*D7</f>
        <v>9.5899999999999996E-3</v>
      </c>
    </row>
    <row r="8" spans="2:6">
      <c r="B8" s="35">
        <v>0.02</v>
      </c>
      <c r="C8" s="35">
        <f t="shared" ref="C8:C14" si="0">B8*$C$3</f>
        <v>1.5</v>
      </c>
      <c r="D8" s="36">
        <v>0.80900000000000005</v>
      </c>
      <c r="E8" s="37">
        <f t="shared" ref="E8:E14" si="1">B8*D8</f>
        <v>1.618E-2</v>
      </c>
    </row>
    <row r="9" spans="2:6">
      <c r="B9" s="35">
        <v>0.03</v>
      </c>
      <c r="C9" s="35">
        <f t="shared" si="0"/>
        <v>2.25</v>
      </c>
      <c r="D9" s="36">
        <v>0.60899999999999999</v>
      </c>
      <c r="E9" s="38">
        <f t="shared" si="1"/>
        <v>1.8269999999999998E-2</v>
      </c>
      <c r="F9" s="32" t="s">
        <v>125</v>
      </c>
    </row>
    <row r="10" spans="2:6">
      <c r="B10" s="35">
        <v>0.04</v>
      </c>
      <c r="C10" s="35">
        <f t="shared" si="0"/>
        <v>3</v>
      </c>
      <c r="D10" s="36">
        <v>0.42299999999999999</v>
      </c>
      <c r="E10" s="37">
        <f t="shared" si="1"/>
        <v>1.6920000000000001E-2</v>
      </c>
    </row>
    <row r="11" spans="2:6">
      <c r="B11" s="35">
        <v>0.05</v>
      </c>
      <c r="C11" s="35">
        <f t="shared" si="0"/>
        <v>3.75</v>
      </c>
      <c r="D11" s="36">
        <v>0.27700000000000002</v>
      </c>
      <c r="E11" s="37">
        <f t="shared" si="1"/>
        <v>1.3850000000000001E-2</v>
      </c>
    </row>
    <row r="12" spans="2:6">
      <c r="B12" s="35">
        <v>0.06</v>
      </c>
      <c r="C12" s="35">
        <f t="shared" si="0"/>
        <v>4.5</v>
      </c>
      <c r="D12" s="36">
        <v>0.17399999999999999</v>
      </c>
      <c r="E12" s="37">
        <f t="shared" si="1"/>
        <v>1.044E-2</v>
      </c>
    </row>
    <row r="13" spans="2:6">
      <c r="B13" s="35">
        <v>7.0000000000000007E-2</v>
      </c>
      <c r="C13" s="35">
        <f t="shared" si="0"/>
        <v>5.2500000000000009</v>
      </c>
      <c r="D13" s="36">
        <v>0.105</v>
      </c>
      <c r="E13" s="37">
        <f t="shared" si="1"/>
        <v>7.3500000000000006E-3</v>
      </c>
    </row>
    <row r="14" spans="2:6">
      <c r="B14" s="35">
        <v>0.08</v>
      </c>
      <c r="C14" s="35">
        <f t="shared" si="0"/>
        <v>6</v>
      </c>
      <c r="D14" s="36">
        <v>6.2E-2</v>
      </c>
      <c r="E14" s="37">
        <f t="shared" si="1"/>
        <v>4.96E-3</v>
      </c>
    </row>
    <row r="16" spans="2:6">
      <c r="B16" s="33" t="s">
        <v>126</v>
      </c>
      <c r="D16" s="33" t="s">
        <v>127</v>
      </c>
    </row>
    <row r="17" spans="2:5">
      <c r="B17" s="35">
        <v>5.0000000000000001E-3</v>
      </c>
      <c r="C17" s="35">
        <f t="shared" ref="C17:C25" si="2">D6</f>
        <v>0.99399999999999999</v>
      </c>
      <c r="D17" s="36">
        <f>B6</f>
        <v>5.0000000000000001E-3</v>
      </c>
      <c r="E17" s="36">
        <f>E6</f>
        <v>4.9700000000000005E-3</v>
      </c>
    </row>
    <row r="18" spans="2:5">
      <c r="B18" s="35">
        <v>0.01</v>
      </c>
      <c r="C18" s="36">
        <f t="shared" si="2"/>
        <v>0.95899999999999996</v>
      </c>
      <c r="D18" s="36">
        <v>0.01</v>
      </c>
      <c r="E18" s="36">
        <v>9.980000000000001E-3</v>
      </c>
    </row>
    <row r="19" spans="2:5">
      <c r="B19" s="35">
        <v>0.02</v>
      </c>
      <c r="C19" s="36">
        <f t="shared" si="2"/>
        <v>0.80900000000000005</v>
      </c>
      <c r="D19" s="36">
        <v>0.02</v>
      </c>
      <c r="E19" s="36">
        <v>1.9019999999999999E-2</v>
      </c>
    </row>
    <row r="20" spans="2:5">
      <c r="B20" s="35">
        <v>0.03</v>
      </c>
      <c r="C20" s="36">
        <f t="shared" si="2"/>
        <v>0.60899999999999999</v>
      </c>
      <c r="D20" s="36">
        <v>0.03</v>
      </c>
      <c r="E20" s="36">
        <v>2.4E-2</v>
      </c>
    </row>
    <row r="21" spans="2:5">
      <c r="B21" s="35">
        <v>0.04</v>
      </c>
      <c r="C21" s="36">
        <f t="shared" si="2"/>
        <v>0.42299999999999999</v>
      </c>
      <c r="D21" s="36">
        <v>0.04</v>
      </c>
      <c r="E21" s="36">
        <v>2.324E-2</v>
      </c>
    </row>
    <row r="22" spans="2:5">
      <c r="B22" s="35">
        <v>0.05</v>
      </c>
      <c r="C22" s="36">
        <f t="shared" si="2"/>
        <v>0.27700000000000002</v>
      </c>
      <c r="D22" s="36">
        <v>0.05</v>
      </c>
      <c r="E22" s="36">
        <v>1.8450000000000001E-2</v>
      </c>
    </row>
    <row r="23" spans="2:5">
      <c r="B23" s="35">
        <v>0.06</v>
      </c>
      <c r="C23" s="36">
        <f t="shared" si="2"/>
        <v>0.17399999999999999</v>
      </c>
      <c r="D23" s="36">
        <v>0.06</v>
      </c>
      <c r="E23" s="36">
        <v>1.2599999999999998E-2</v>
      </c>
    </row>
    <row r="24" spans="2:5">
      <c r="B24" s="35">
        <v>7.0000000000000007E-2</v>
      </c>
      <c r="C24" s="36">
        <f t="shared" si="2"/>
        <v>0.105</v>
      </c>
      <c r="D24" s="36">
        <v>7.0000000000000007E-2</v>
      </c>
      <c r="E24" s="36">
        <v>7.7000000000000011E-3</v>
      </c>
    </row>
    <row r="25" spans="2:5">
      <c r="B25" s="35">
        <v>0.08</v>
      </c>
      <c r="C25" s="36">
        <f t="shared" si="2"/>
        <v>6.2E-2</v>
      </c>
      <c r="D25" s="36">
        <v>0.08</v>
      </c>
      <c r="E25" s="36">
        <v>4.2399999999999998E-3</v>
      </c>
    </row>
    <row r="30" spans="2:5">
      <c r="B30" s="425" t="s">
        <v>801</v>
      </c>
    </row>
    <row r="31" spans="2:5">
      <c r="B31" s="33" t="s">
        <v>128</v>
      </c>
      <c r="C31" s="39">
        <v>10000</v>
      </c>
    </row>
    <row r="32" spans="2:5">
      <c r="B32" s="33" t="s">
        <v>129</v>
      </c>
      <c r="C32" s="33">
        <f>C31*0.04</f>
        <v>400</v>
      </c>
    </row>
    <row r="33" spans="2:6">
      <c r="B33" s="33" t="s">
        <v>130</v>
      </c>
      <c r="C33" s="40">
        <f>C31*(1-E10)</f>
        <v>9830.7999999999993</v>
      </c>
    </row>
    <row r="35" spans="2:6">
      <c r="B35" s="425" t="s">
        <v>802</v>
      </c>
      <c r="D35" s="33" t="s">
        <v>131</v>
      </c>
      <c r="E35" s="33" t="s">
        <v>132</v>
      </c>
      <c r="F35" s="33" t="s">
        <v>133</v>
      </c>
    </row>
    <row r="36" spans="2:6">
      <c r="D36" s="41">
        <v>2</v>
      </c>
      <c r="E36" s="41">
        <v>15</v>
      </c>
    </row>
    <row r="37" spans="2:6">
      <c r="B37" s="33" t="s">
        <v>134</v>
      </c>
      <c r="D37" s="42">
        <f>$D$36*C3</f>
        <v>150</v>
      </c>
      <c r="E37" s="42">
        <f>E36*(C31*E9)</f>
        <v>2740.5</v>
      </c>
      <c r="F37" s="41">
        <f>SUM(D37:E37)</f>
        <v>2890.5</v>
      </c>
    </row>
    <row r="38" spans="2:6">
      <c r="B38" s="33" t="s">
        <v>135</v>
      </c>
      <c r="D38" s="42">
        <f>D36*0</f>
        <v>0</v>
      </c>
      <c r="E38" s="42">
        <f>E36*(C31*0.04)</f>
        <v>6000</v>
      </c>
      <c r="F38" s="41">
        <f>SUM(D38:E38)</f>
        <v>6000</v>
      </c>
    </row>
    <row r="39" spans="2:6">
      <c r="B39" s="425" t="s">
        <v>272</v>
      </c>
      <c r="F39" s="41">
        <f>F37+F38</f>
        <v>8890.5</v>
      </c>
    </row>
  </sheetData>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597F9-280A-DF47-AE84-6C0893ED1414}">
  <dimension ref="B2:R66"/>
  <sheetViews>
    <sheetView zoomScaleNormal="100" workbookViewId="0">
      <selection activeCell="J19" sqref="J19"/>
    </sheetView>
  </sheetViews>
  <sheetFormatPr baseColWidth="10" defaultRowHeight="13"/>
  <cols>
    <col min="1" max="1" width="10.83203125" style="44"/>
    <col min="2" max="2" width="17.6640625" style="44" customWidth="1"/>
    <col min="3" max="3" width="20" style="44" bestFit="1" customWidth="1"/>
    <col min="4" max="4" width="21.33203125" style="44" bestFit="1" customWidth="1"/>
    <col min="5" max="5" width="11.6640625" style="44" bestFit="1" customWidth="1"/>
    <col min="6" max="17" width="10.83203125" style="44"/>
    <col min="18" max="18" width="13.6640625" style="44" customWidth="1"/>
    <col min="19" max="1999" width="10.83203125" style="44"/>
    <col min="2000" max="2000" width="2.33203125" style="44" customWidth="1"/>
    <col min="2001" max="16384" width="10.83203125" style="44"/>
  </cols>
  <sheetData>
    <row r="2" spans="2:8" ht="16">
      <c r="B2" s="43" t="s">
        <v>46</v>
      </c>
      <c r="C2" s="44">
        <v>0.05</v>
      </c>
      <c r="D2" s="44" t="s">
        <v>47</v>
      </c>
      <c r="E2" s="44">
        <v>3000</v>
      </c>
      <c r="G2" s="44" t="s">
        <v>136</v>
      </c>
      <c r="H2" s="44" t="s">
        <v>49</v>
      </c>
    </row>
    <row r="3" spans="2:8" ht="16">
      <c r="B3" s="43" t="s">
        <v>50</v>
      </c>
      <c r="C3" s="44">
        <v>0.1</v>
      </c>
      <c r="D3" s="44" t="s">
        <v>51</v>
      </c>
      <c r="E3" s="45">
        <v>1.3</v>
      </c>
      <c r="G3" s="44" t="s">
        <v>137</v>
      </c>
      <c r="H3" s="44" t="s">
        <v>53</v>
      </c>
    </row>
    <row r="4" spans="2:8" ht="16">
      <c r="B4" s="43" t="s">
        <v>0</v>
      </c>
      <c r="C4" s="46">
        <v>0.03</v>
      </c>
      <c r="D4" s="44" t="s">
        <v>54</v>
      </c>
      <c r="E4" s="45">
        <v>20</v>
      </c>
      <c r="G4" s="44" t="s">
        <v>136</v>
      </c>
      <c r="H4" s="47">
        <f>1.35/C4</f>
        <v>45.000000000000007</v>
      </c>
    </row>
    <row r="5" spans="2:8" ht="16">
      <c r="B5" s="43" t="s">
        <v>55</v>
      </c>
      <c r="C5" s="46">
        <v>0.06</v>
      </c>
      <c r="G5" s="44" t="s">
        <v>137</v>
      </c>
      <c r="H5" s="47">
        <f>10/C5</f>
        <v>166.66666666666669</v>
      </c>
    </row>
    <row r="6" spans="2:8" ht="15">
      <c r="G6" s="44" t="s">
        <v>138</v>
      </c>
      <c r="H6" s="47">
        <f>(H4+H5)/2</f>
        <v>105.83333333333334</v>
      </c>
    </row>
    <row r="7" spans="2:8" ht="14" thickBot="1"/>
    <row r="8" spans="2:8" ht="16">
      <c r="B8" s="426" t="s">
        <v>803</v>
      </c>
      <c r="C8" s="427" t="s">
        <v>14</v>
      </c>
      <c r="D8" s="427">
        <v>106</v>
      </c>
      <c r="E8" s="427" t="s">
        <v>15</v>
      </c>
      <c r="F8" s="428">
        <v>3</v>
      </c>
    </row>
    <row r="9" spans="2:8">
      <c r="B9" s="429"/>
      <c r="C9" s="48" t="s">
        <v>16</v>
      </c>
      <c r="D9" s="48" t="s">
        <v>17</v>
      </c>
      <c r="E9" s="48" t="s">
        <v>18</v>
      </c>
      <c r="F9" s="430" t="s">
        <v>45</v>
      </c>
    </row>
    <row r="10" spans="2:8">
      <c r="B10" s="429"/>
      <c r="C10" s="48">
        <v>0.01</v>
      </c>
      <c r="D10" s="48">
        <f t="shared" ref="D10:D16" si="0">$D$8*C10</f>
        <v>1.06</v>
      </c>
      <c r="E10" s="48">
        <v>0.96199999999999997</v>
      </c>
      <c r="F10" s="431">
        <f t="shared" ref="F10:F16" si="1">C10*E10</f>
        <v>9.6200000000000001E-3</v>
      </c>
    </row>
    <row r="11" spans="2:8">
      <c r="B11" s="429"/>
      <c r="C11" s="48">
        <v>0.02</v>
      </c>
      <c r="D11" s="48">
        <f t="shared" si="0"/>
        <v>2.12</v>
      </c>
      <c r="E11" s="48">
        <v>0.75800000000000001</v>
      </c>
      <c r="F11" s="431">
        <f t="shared" si="1"/>
        <v>1.516E-2</v>
      </c>
    </row>
    <row r="12" spans="2:8">
      <c r="B12" s="429"/>
      <c r="C12" s="48">
        <v>0.03</v>
      </c>
      <c r="D12" s="48">
        <f t="shared" si="0"/>
        <v>3.1799999999999997</v>
      </c>
      <c r="E12" s="48">
        <v>0.47299999999999998</v>
      </c>
      <c r="F12" s="431">
        <f t="shared" si="1"/>
        <v>1.4189999999999999E-2</v>
      </c>
    </row>
    <row r="13" spans="2:8">
      <c r="B13" s="429"/>
      <c r="C13" s="48">
        <v>0.04</v>
      </c>
      <c r="D13" s="48">
        <f t="shared" si="0"/>
        <v>4.24</v>
      </c>
      <c r="E13" s="48">
        <v>0.251</v>
      </c>
      <c r="F13" s="431">
        <f t="shared" si="1"/>
        <v>1.004E-2</v>
      </c>
    </row>
    <row r="14" spans="2:8">
      <c r="B14" s="429"/>
      <c r="C14" s="48">
        <v>0.05</v>
      </c>
      <c r="D14" s="48">
        <f t="shared" si="0"/>
        <v>5.3000000000000007</v>
      </c>
      <c r="E14" s="50">
        <v>0.14699999999999999</v>
      </c>
      <c r="F14" s="431">
        <f t="shared" si="1"/>
        <v>7.3499999999999998E-3</v>
      </c>
    </row>
    <row r="15" spans="2:8">
      <c r="B15" s="429"/>
      <c r="C15" s="48">
        <v>0.06</v>
      </c>
      <c r="D15" s="48">
        <f t="shared" si="0"/>
        <v>6.3599999999999994</v>
      </c>
      <c r="E15" s="48">
        <v>5.5E-2</v>
      </c>
      <c r="F15" s="431">
        <f t="shared" si="1"/>
        <v>3.3E-3</v>
      </c>
    </row>
    <row r="16" spans="2:8" ht="14" thickBot="1">
      <c r="B16" s="432"/>
      <c r="C16" s="433">
        <v>7.0000000000000007E-2</v>
      </c>
      <c r="D16" s="433">
        <f t="shared" si="0"/>
        <v>7.4200000000000008</v>
      </c>
      <c r="E16" s="433">
        <v>2.4E-2</v>
      </c>
      <c r="F16" s="434">
        <f t="shared" si="1"/>
        <v>1.6800000000000003E-3</v>
      </c>
    </row>
    <row r="17" spans="2:6" ht="16">
      <c r="B17" s="426" t="s">
        <v>804</v>
      </c>
      <c r="C17" s="427"/>
      <c r="D17" s="427"/>
      <c r="E17" s="427"/>
      <c r="F17" s="428"/>
    </row>
    <row r="18" spans="2:6" ht="16">
      <c r="B18" s="435" t="s">
        <v>57</v>
      </c>
      <c r="C18" s="48" t="s">
        <v>58</v>
      </c>
      <c r="D18" s="51">
        <f>C5/C4</f>
        <v>2</v>
      </c>
      <c r="F18" s="436"/>
    </row>
    <row r="19" spans="2:6">
      <c r="B19" s="429"/>
      <c r="C19" s="48" t="s">
        <v>14</v>
      </c>
      <c r="D19" s="47">
        <f>12.44/C4</f>
        <v>414.66666666666669</v>
      </c>
      <c r="E19" s="48" t="s">
        <v>15</v>
      </c>
      <c r="F19" s="430">
        <v>18</v>
      </c>
    </row>
    <row r="20" spans="2:6">
      <c r="B20" s="429"/>
      <c r="C20" s="48" t="s">
        <v>18</v>
      </c>
      <c r="D20" s="48" t="s">
        <v>59</v>
      </c>
      <c r="E20" s="48" t="s">
        <v>16</v>
      </c>
      <c r="F20" s="430" t="s">
        <v>45</v>
      </c>
    </row>
    <row r="21" spans="2:6">
      <c r="B21" s="429"/>
      <c r="C21" s="50">
        <v>0.995</v>
      </c>
      <c r="D21" s="48">
        <v>9.64</v>
      </c>
      <c r="E21" s="51">
        <f t="shared" ref="E21:E32" si="2">D21/$D$19</f>
        <v>2.3247588424437301E-2</v>
      </c>
      <c r="F21" s="431">
        <f t="shared" ref="F21:F32" si="3">C21*E21</f>
        <v>2.3131350482315113E-2</v>
      </c>
    </row>
    <row r="22" spans="2:6">
      <c r="B22" s="429"/>
      <c r="C22" s="50">
        <v>0.97499999999999998</v>
      </c>
      <c r="D22" s="48">
        <v>11.43</v>
      </c>
      <c r="E22" s="51">
        <f t="shared" si="2"/>
        <v>2.7564308681672024E-2</v>
      </c>
      <c r="F22" s="431">
        <f t="shared" si="3"/>
        <v>2.6875200964630221E-2</v>
      </c>
    </row>
    <row r="23" spans="2:6">
      <c r="B23" s="429"/>
      <c r="C23" s="50">
        <v>0.95</v>
      </c>
      <c r="D23" s="48">
        <v>12.44</v>
      </c>
      <c r="E23" s="51">
        <f t="shared" si="2"/>
        <v>0.03</v>
      </c>
      <c r="F23" s="431">
        <f t="shared" si="3"/>
        <v>2.8499999999999998E-2</v>
      </c>
    </row>
    <row r="24" spans="2:6">
      <c r="B24" s="429"/>
      <c r="C24" s="50">
        <v>0.9</v>
      </c>
      <c r="D24" s="48">
        <v>13.67</v>
      </c>
      <c r="E24" s="51">
        <f t="shared" si="2"/>
        <v>3.2966237942122188E-2</v>
      </c>
      <c r="F24" s="431">
        <f t="shared" si="3"/>
        <v>2.9669614147909969E-2</v>
      </c>
    </row>
    <row r="25" spans="2:6">
      <c r="B25" s="429"/>
      <c r="C25" s="50">
        <v>0.75</v>
      </c>
      <c r="D25" s="48">
        <v>15.9</v>
      </c>
      <c r="E25" s="51">
        <f t="shared" si="2"/>
        <v>3.8344051446945339E-2</v>
      </c>
      <c r="F25" s="431">
        <f t="shared" si="3"/>
        <v>2.8758038585209006E-2</v>
      </c>
    </row>
    <row r="26" spans="2:6">
      <c r="B26" s="429"/>
      <c r="C26" s="50">
        <v>0.5</v>
      </c>
      <c r="D26" s="48">
        <v>18.670000000000002</v>
      </c>
      <c r="E26" s="51">
        <f t="shared" si="2"/>
        <v>4.5024115755627009E-2</v>
      </c>
      <c r="F26" s="431">
        <f t="shared" si="3"/>
        <v>2.2512057877813504E-2</v>
      </c>
    </row>
    <row r="27" spans="2:6">
      <c r="B27" s="429"/>
      <c r="C27" s="50">
        <v>0.25</v>
      </c>
      <c r="D27" s="48">
        <v>21.7</v>
      </c>
      <c r="E27" s="51">
        <f t="shared" si="2"/>
        <v>5.2331189710610931E-2</v>
      </c>
      <c r="F27" s="431">
        <f t="shared" si="3"/>
        <v>1.3082797427652733E-2</v>
      </c>
    </row>
    <row r="28" spans="2:6">
      <c r="B28" s="429"/>
      <c r="C28" s="50">
        <v>0.1</v>
      </c>
      <c r="D28" s="48">
        <v>24.7</v>
      </c>
      <c r="E28" s="51">
        <f t="shared" si="2"/>
        <v>5.9565916398713822E-2</v>
      </c>
      <c r="F28" s="431">
        <f t="shared" si="3"/>
        <v>5.9565916398713822E-3</v>
      </c>
    </row>
    <row r="29" spans="2:6">
      <c r="B29" s="429"/>
      <c r="C29" s="50">
        <v>0.05</v>
      </c>
      <c r="D29" s="48">
        <v>26.6</v>
      </c>
      <c r="E29" s="51">
        <f t="shared" si="2"/>
        <v>6.4147909967845654E-2</v>
      </c>
      <c r="F29" s="431">
        <f t="shared" si="3"/>
        <v>3.2073954983922828E-3</v>
      </c>
    </row>
    <row r="30" spans="2:6">
      <c r="B30" s="429"/>
      <c r="C30" s="50">
        <v>2.5000000000000001E-2</v>
      </c>
      <c r="D30" s="48">
        <v>28.4</v>
      </c>
      <c r="E30" s="51">
        <f t="shared" si="2"/>
        <v>6.8488745980707394E-2</v>
      </c>
      <c r="F30" s="431">
        <f t="shared" si="3"/>
        <v>1.712218649517685E-3</v>
      </c>
    </row>
    <row r="31" spans="2:6">
      <c r="B31" s="429"/>
      <c r="C31" s="50">
        <v>0.01</v>
      </c>
      <c r="D31" s="48">
        <v>30.5</v>
      </c>
      <c r="E31" s="51">
        <f t="shared" si="2"/>
        <v>7.3553054662379422E-2</v>
      </c>
      <c r="F31" s="431">
        <f t="shared" si="3"/>
        <v>7.3553054662379427E-4</v>
      </c>
    </row>
    <row r="32" spans="2:6" ht="14" thickBot="1">
      <c r="B32" s="432"/>
      <c r="C32" s="437">
        <v>5.0000000000000001E-3</v>
      </c>
      <c r="D32" s="433">
        <v>32.1</v>
      </c>
      <c r="E32" s="438">
        <f t="shared" si="2"/>
        <v>7.7411575562700966E-2</v>
      </c>
      <c r="F32" s="434">
        <f t="shared" si="3"/>
        <v>3.8705787781350483E-4</v>
      </c>
    </row>
    <row r="33" spans="2:18" ht="16">
      <c r="B33" s="426" t="s">
        <v>796</v>
      </c>
      <c r="C33" s="439"/>
      <c r="D33" s="439"/>
      <c r="E33" s="439"/>
      <c r="F33" s="440"/>
    </row>
    <row r="34" spans="2:18" ht="17" thickBot="1">
      <c r="B34" s="435" t="s">
        <v>20</v>
      </c>
      <c r="C34" s="48" t="s">
        <v>14</v>
      </c>
      <c r="D34" s="48">
        <v>125</v>
      </c>
      <c r="E34" s="48" t="s">
        <v>61</v>
      </c>
      <c r="F34" s="430">
        <v>7</v>
      </c>
      <c r="G34" s="48" t="s">
        <v>62</v>
      </c>
      <c r="H34" s="48">
        <v>8</v>
      </c>
    </row>
    <row r="35" spans="2:18">
      <c r="B35" s="429"/>
      <c r="C35" s="48" t="s">
        <v>16</v>
      </c>
      <c r="D35" s="48" t="s">
        <v>17</v>
      </c>
      <c r="E35" s="48" t="s">
        <v>18</v>
      </c>
      <c r="F35" s="430" t="s">
        <v>45</v>
      </c>
      <c r="H35" s="446"/>
      <c r="I35" s="439"/>
      <c r="J35" s="439"/>
      <c r="K35" s="439"/>
      <c r="L35" s="439"/>
      <c r="M35" s="439"/>
      <c r="N35" s="439"/>
      <c r="O35" s="439"/>
      <c r="P35" s="439"/>
      <c r="Q35" s="439"/>
      <c r="R35" s="440"/>
    </row>
    <row r="36" spans="2:18">
      <c r="B36" s="429"/>
      <c r="C36" s="48">
        <v>0.01</v>
      </c>
      <c r="D36" s="48">
        <f>C36*$D$34</f>
        <v>1.25</v>
      </c>
      <c r="E36" s="48">
        <f>_xlfn.POISSON.DIST(7,D36,TRUE)</f>
        <v>0.99995093534061397</v>
      </c>
      <c r="F36" s="431">
        <f>C36*E36</f>
        <v>9.9995093534061396E-3</v>
      </c>
      <c r="H36" s="429"/>
      <c r="R36" s="436"/>
    </row>
    <row r="37" spans="2:18">
      <c r="B37" s="429"/>
      <c r="C37" s="48">
        <v>0.02</v>
      </c>
      <c r="D37" s="48">
        <f t="shared" ref="D37:D46" si="4">C37*$D$34</f>
        <v>2.5</v>
      </c>
      <c r="E37" s="48">
        <f t="shared" ref="E37:E46" si="5">_xlfn.POISSON.DIST(7,D37,TRUE)</f>
        <v>0.99575330451065547</v>
      </c>
      <c r="F37" s="431">
        <f t="shared" ref="F37:F46" si="6">C37*E37</f>
        <v>1.991506609021311E-2</v>
      </c>
      <c r="H37" s="429"/>
      <c r="R37" s="436"/>
    </row>
    <row r="38" spans="2:18">
      <c r="B38" s="429"/>
      <c r="C38" s="48">
        <v>0.03</v>
      </c>
      <c r="D38" s="48">
        <f t="shared" si="4"/>
        <v>3.75</v>
      </c>
      <c r="E38" s="48">
        <f t="shared" si="5"/>
        <v>0.96237865758163932</v>
      </c>
      <c r="F38" s="431">
        <f t="shared" si="6"/>
        <v>2.887135972744918E-2</v>
      </c>
      <c r="H38" s="429"/>
      <c r="R38" s="436"/>
    </row>
    <row r="39" spans="2:18">
      <c r="B39" s="429"/>
      <c r="C39" s="48">
        <v>0.04</v>
      </c>
      <c r="D39" s="48">
        <f t="shared" si="4"/>
        <v>5</v>
      </c>
      <c r="E39" s="48">
        <f t="shared" si="5"/>
        <v>0.86662832592999273</v>
      </c>
      <c r="F39" s="431">
        <f t="shared" si="6"/>
        <v>3.4665133037199709E-2</v>
      </c>
      <c r="H39" s="429"/>
      <c r="R39" s="436"/>
    </row>
    <row r="40" spans="2:18">
      <c r="B40" s="429"/>
      <c r="C40" s="48">
        <v>0.05</v>
      </c>
      <c r="D40" s="48">
        <f t="shared" si="4"/>
        <v>6.25</v>
      </c>
      <c r="E40" s="48">
        <f t="shared" si="5"/>
        <v>0.70890372408496727</v>
      </c>
      <c r="F40" s="431">
        <f t="shared" si="6"/>
        <v>3.5445186204248365E-2</v>
      </c>
      <c r="H40" s="429"/>
      <c r="R40" s="436"/>
    </row>
    <row r="41" spans="2:18">
      <c r="B41" s="429"/>
      <c r="C41" s="48">
        <v>0.06</v>
      </c>
      <c r="D41" s="48">
        <f t="shared" si="4"/>
        <v>7.5</v>
      </c>
      <c r="E41" s="48">
        <f t="shared" si="5"/>
        <v>0.52463852648760545</v>
      </c>
      <c r="F41" s="431">
        <f t="shared" si="6"/>
        <v>3.1478311589256326E-2</v>
      </c>
      <c r="H41" s="429"/>
      <c r="R41" s="436"/>
    </row>
    <row r="42" spans="2:18">
      <c r="B42" s="429"/>
      <c r="C42" s="48">
        <v>7.0000000000000007E-2</v>
      </c>
      <c r="D42" s="48">
        <f t="shared" si="4"/>
        <v>8.75</v>
      </c>
      <c r="E42" s="48">
        <f t="shared" si="5"/>
        <v>0.3539767282781951</v>
      </c>
      <c r="F42" s="431">
        <f t="shared" si="6"/>
        <v>2.4778370979473659E-2</v>
      </c>
      <c r="H42" s="429"/>
      <c r="R42" s="436"/>
    </row>
    <row r="43" spans="2:18">
      <c r="B43" s="429"/>
      <c r="C43" s="48">
        <v>0.08</v>
      </c>
      <c r="D43" s="48">
        <f t="shared" si="4"/>
        <v>10</v>
      </c>
      <c r="E43" s="48">
        <f t="shared" si="5"/>
        <v>0.22022064660169899</v>
      </c>
      <c r="F43" s="431">
        <f t="shared" si="6"/>
        <v>1.7617651728135921E-2</v>
      </c>
      <c r="H43" s="429"/>
      <c r="R43" s="436"/>
    </row>
    <row r="44" spans="2:18">
      <c r="B44" s="429"/>
      <c r="C44" s="48">
        <v>0.09</v>
      </c>
      <c r="D44" s="48">
        <f t="shared" si="4"/>
        <v>11.25</v>
      </c>
      <c r="E44" s="50">
        <f t="shared" si="5"/>
        <v>0.12776831724742893</v>
      </c>
      <c r="F44" s="431">
        <f t="shared" si="6"/>
        <v>1.1499148552268603E-2</v>
      </c>
      <c r="H44" s="429"/>
      <c r="R44" s="436"/>
    </row>
    <row r="45" spans="2:18">
      <c r="B45" s="429"/>
      <c r="C45" s="48">
        <v>0.1</v>
      </c>
      <c r="D45" s="48">
        <f t="shared" si="4"/>
        <v>12.5</v>
      </c>
      <c r="E45" s="50">
        <f t="shared" si="5"/>
        <v>6.9825463184047531E-2</v>
      </c>
      <c r="F45" s="431">
        <f t="shared" si="6"/>
        <v>6.9825463184047531E-3</v>
      </c>
      <c r="H45" s="429"/>
      <c r="R45" s="436"/>
    </row>
    <row r="46" spans="2:18" ht="14" thickBot="1">
      <c r="B46" s="432"/>
      <c r="C46" s="433">
        <v>0.11</v>
      </c>
      <c r="D46" s="433">
        <f t="shared" si="4"/>
        <v>13.75</v>
      </c>
      <c r="E46" s="437">
        <f t="shared" si="5"/>
        <v>3.6249228913968798E-2</v>
      </c>
      <c r="F46" s="434">
        <f t="shared" si="6"/>
        <v>3.9874151805365677E-3</v>
      </c>
      <c r="H46" s="429"/>
      <c r="R46" s="436"/>
    </row>
    <row r="47" spans="2:18">
      <c r="C47" s="48"/>
      <c r="D47" s="48"/>
      <c r="E47" s="50"/>
      <c r="F47" s="49"/>
      <c r="H47" s="429"/>
      <c r="R47" s="436"/>
    </row>
    <row r="48" spans="2:18">
      <c r="C48" s="48"/>
      <c r="D48" s="48"/>
      <c r="E48" s="50"/>
      <c r="F48" s="49"/>
      <c r="H48" s="429"/>
      <c r="R48" s="436"/>
    </row>
    <row r="49" spans="2:18">
      <c r="C49" s="48"/>
      <c r="D49" s="48"/>
      <c r="E49" s="50"/>
      <c r="F49" s="49"/>
      <c r="H49" s="429"/>
      <c r="R49" s="436"/>
    </row>
    <row r="50" spans="2:18">
      <c r="C50" s="48"/>
      <c r="D50" s="48"/>
      <c r="E50" s="50"/>
      <c r="F50" s="49"/>
      <c r="H50" s="429"/>
      <c r="R50" s="436"/>
    </row>
    <row r="51" spans="2:18">
      <c r="C51" s="48"/>
      <c r="D51" s="48"/>
      <c r="E51" s="50"/>
      <c r="F51" s="49"/>
      <c r="H51" s="429"/>
      <c r="R51" s="436"/>
    </row>
    <row r="52" spans="2:18">
      <c r="C52" s="48"/>
      <c r="D52" s="48"/>
      <c r="E52" s="50"/>
      <c r="F52" s="49"/>
      <c r="H52" s="429"/>
      <c r="R52" s="436"/>
    </row>
    <row r="53" spans="2:18">
      <c r="C53" s="48"/>
      <c r="D53" s="48"/>
      <c r="E53" s="50"/>
      <c r="F53" s="49"/>
      <c r="H53" s="429"/>
      <c r="R53" s="436"/>
    </row>
    <row r="54" spans="2:18">
      <c r="C54" s="48"/>
      <c r="D54" s="48"/>
      <c r="E54" s="50"/>
      <c r="F54" s="49"/>
      <c r="H54" s="429"/>
      <c r="R54" s="436"/>
    </row>
    <row r="55" spans="2:18">
      <c r="C55" s="48"/>
      <c r="D55" s="48"/>
      <c r="H55" s="429"/>
      <c r="R55" s="436"/>
    </row>
    <row r="56" spans="2:18" ht="14" thickBot="1">
      <c r="H56" s="429"/>
      <c r="R56" s="436"/>
    </row>
    <row r="57" spans="2:18" ht="16">
      <c r="B57" s="426" t="s">
        <v>797</v>
      </c>
      <c r="C57" s="439" t="s">
        <v>63</v>
      </c>
      <c r="D57" s="439" t="s">
        <v>64</v>
      </c>
      <c r="E57" s="439" t="s">
        <v>65</v>
      </c>
      <c r="F57" s="440"/>
      <c r="H57" s="429"/>
      <c r="R57" s="436"/>
    </row>
    <row r="58" spans="2:18">
      <c r="B58" s="429" t="s">
        <v>66</v>
      </c>
      <c r="C58" s="45">
        <f>E3*D8</f>
        <v>137.80000000000001</v>
      </c>
      <c r="D58" s="45">
        <f>E4*(E2*F11)</f>
        <v>909.59999999999991</v>
      </c>
      <c r="E58" s="45">
        <f>C58+D58</f>
        <v>1047.3999999999999</v>
      </c>
      <c r="F58" s="436"/>
      <c r="H58" s="429"/>
      <c r="R58" s="436"/>
    </row>
    <row r="59" spans="2:18">
      <c r="B59" s="429" t="s">
        <v>57</v>
      </c>
      <c r="C59" s="45">
        <f>E3*D19</f>
        <v>539.06666666666672</v>
      </c>
      <c r="D59" s="45">
        <f>E4*(E2*F25)</f>
        <v>1725.4823151125404</v>
      </c>
      <c r="E59" s="45">
        <f>C59+D59</f>
        <v>2264.5489817792072</v>
      </c>
      <c r="F59" s="436"/>
      <c r="H59" s="429"/>
      <c r="R59" s="436"/>
    </row>
    <row r="60" spans="2:18">
      <c r="B60" s="441" t="s">
        <v>20</v>
      </c>
      <c r="C60" s="442">
        <f>E3*D34</f>
        <v>162.5</v>
      </c>
      <c r="D60" s="442">
        <f>E4*(E2*F39)</f>
        <v>2079.9079822319827</v>
      </c>
      <c r="E60" s="442">
        <f>C60+D60</f>
        <v>2242.4079822319827</v>
      </c>
      <c r="F60" s="443" t="s">
        <v>67</v>
      </c>
      <c r="H60" s="429"/>
      <c r="R60" s="436"/>
    </row>
    <row r="61" spans="2:18" ht="14" thickBot="1">
      <c r="B61" s="432" t="s">
        <v>68</v>
      </c>
      <c r="C61" s="444">
        <v>0</v>
      </c>
      <c r="D61" s="444">
        <f>E4*(E2*0.04)</f>
        <v>2400</v>
      </c>
      <c r="E61" s="444">
        <f>C61+D61</f>
        <v>2400</v>
      </c>
      <c r="F61" s="445"/>
      <c r="H61" s="429"/>
      <c r="R61" s="436"/>
    </row>
    <row r="62" spans="2:18">
      <c r="H62" s="429"/>
      <c r="R62" s="436"/>
    </row>
    <row r="63" spans="2:18">
      <c r="H63" s="429"/>
      <c r="R63" s="436"/>
    </row>
    <row r="64" spans="2:18">
      <c r="H64" s="429"/>
      <c r="R64" s="436"/>
    </row>
    <row r="65" spans="8:18">
      <c r="H65" s="429"/>
      <c r="R65" s="436"/>
    </row>
    <row r="66" spans="8:18" ht="14" thickBot="1">
      <c r="H66" s="432"/>
      <c r="I66" s="471" t="s">
        <v>741</v>
      </c>
      <c r="J66" s="471"/>
      <c r="K66" s="471"/>
      <c r="L66" s="447"/>
      <c r="M66" s="447"/>
      <c r="N66" s="447"/>
      <c r="O66" s="471" t="s">
        <v>741</v>
      </c>
      <c r="P66" s="471"/>
      <c r="Q66" s="471"/>
      <c r="R66" s="445"/>
    </row>
  </sheetData>
  <mergeCells count="2">
    <mergeCell ref="I66:K66"/>
    <mergeCell ref="O66:Q66"/>
  </mergeCells>
  <pageMargins left="0.75" right="0.75" top="1" bottom="1" header="0.5" footer="0.5"/>
  <pageSetup paperSize="0"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D4D8C-BC50-9947-8AE7-19B26403C6D1}">
  <dimension ref="B1:H55"/>
  <sheetViews>
    <sheetView zoomScaleNormal="100" zoomScalePageLayoutView="150" workbookViewId="0">
      <selection activeCell="G31" sqref="G31"/>
    </sheetView>
  </sheetViews>
  <sheetFormatPr baseColWidth="10" defaultRowHeight="13"/>
  <cols>
    <col min="1" max="1" width="3.1640625" style="44" customWidth="1"/>
    <col min="2" max="16384" width="10.83203125" style="44"/>
  </cols>
  <sheetData>
    <row r="1" spans="2:4">
      <c r="B1" s="44" t="s">
        <v>139</v>
      </c>
      <c r="C1" s="44">
        <v>4.5</v>
      </c>
      <c r="D1" s="44" t="s">
        <v>140</v>
      </c>
    </row>
    <row r="2" spans="2:4" ht="16">
      <c r="B2" s="44" t="s">
        <v>99</v>
      </c>
      <c r="C2" s="52">
        <v>10000</v>
      </c>
      <c r="D2" s="44" t="s">
        <v>100</v>
      </c>
    </row>
    <row r="3" spans="2:4">
      <c r="B3" s="44" t="s">
        <v>0</v>
      </c>
      <c r="C3" s="46">
        <v>1.4999999999999999E-2</v>
      </c>
    </row>
    <row r="4" spans="2:4">
      <c r="B4" s="44" t="s">
        <v>55</v>
      </c>
      <c r="C4" s="53">
        <v>0.06</v>
      </c>
    </row>
    <row r="5" spans="2:4">
      <c r="B5" s="44" t="s">
        <v>141</v>
      </c>
      <c r="C5" s="53">
        <v>0.1</v>
      </c>
    </row>
    <row r="6" spans="2:4">
      <c r="B6" s="44" t="s">
        <v>107</v>
      </c>
      <c r="C6" s="53">
        <v>0.05</v>
      </c>
    </row>
    <row r="8" spans="2:4">
      <c r="B8" s="44" t="s">
        <v>142</v>
      </c>
    </row>
    <row r="9" spans="2:4">
      <c r="B9" s="44" t="s">
        <v>143</v>
      </c>
    </row>
    <row r="10" spans="2:4">
      <c r="B10" s="44" t="s">
        <v>101</v>
      </c>
      <c r="C10" s="44">
        <v>200</v>
      </c>
    </row>
    <row r="11" spans="2:4">
      <c r="B11" s="44" t="s">
        <v>5</v>
      </c>
      <c r="C11" s="44">
        <v>7</v>
      </c>
    </row>
    <row r="13" spans="2:4">
      <c r="B13" s="44" t="s">
        <v>144</v>
      </c>
    </row>
    <row r="15" spans="2:4" ht="16">
      <c r="B15" s="44" t="s">
        <v>145</v>
      </c>
      <c r="C15" s="52">
        <f>C4/C3</f>
        <v>4</v>
      </c>
    </row>
    <row r="17" spans="2:8">
      <c r="B17" s="54" t="s">
        <v>5</v>
      </c>
      <c r="C17" s="54" t="s">
        <v>6</v>
      </c>
      <c r="D17" s="54" t="s">
        <v>7</v>
      </c>
      <c r="E17" s="54" t="s">
        <v>8</v>
      </c>
    </row>
    <row r="18" spans="2:8">
      <c r="B18" s="48">
        <v>1</v>
      </c>
      <c r="C18" s="51">
        <v>0.55000000000000004</v>
      </c>
      <c r="D18" s="51">
        <v>4.8</v>
      </c>
      <c r="E18" s="51">
        <f>D18/C18</f>
        <v>8.7272727272727266</v>
      </c>
    </row>
    <row r="19" spans="2:8">
      <c r="B19" s="48">
        <v>2</v>
      </c>
      <c r="C19" s="51">
        <v>1.1000000000000001</v>
      </c>
      <c r="D19" s="51">
        <v>6.3</v>
      </c>
      <c r="E19" s="51">
        <f t="shared" ref="E19:E22" si="0">D19/C19</f>
        <v>5.7272727272727266</v>
      </c>
    </row>
    <row r="20" spans="2:8">
      <c r="B20" s="48">
        <v>3</v>
      </c>
      <c r="C20" s="51">
        <v>1.75</v>
      </c>
      <c r="D20" s="51">
        <v>7.7</v>
      </c>
      <c r="E20" s="51">
        <f t="shared" si="0"/>
        <v>4.4000000000000004</v>
      </c>
    </row>
    <row r="21" spans="2:8">
      <c r="B21" s="55">
        <v>4</v>
      </c>
      <c r="C21" s="56">
        <v>2.4500000000000002</v>
      </c>
      <c r="D21" s="56">
        <v>9.1</v>
      </c>
      <c r="E21" s="56">
        <f>D21/C21</f>
        <v>3.714285714285714</v>
      </c>
      <c r="F21" s="44" t="s">
        <v>146</v>
      </c>
    </row>
    <row r="22" spans="2:8">
      <c r="B22" s="48">
        <v>5</v>
      </c>
      <c r="C22" s="51">
        <v>3.15</v>
      </c>
      <c r="D22" s="51">
        <v>9.3000000000000007</v>
      </c>
      <c r="E22" s="51">
        <f t="shared" si="0"/>
        <v>2.9523809523809526</v>
      </c>
    </row>
    <row r="23" spans="2:8">
      <c r="B23" s="48"/>
      <c r="C23" s="51"/>
      <c r="D23" s="51"/>
      <c r="E23" s="51"/>
    </row>
    <row r="24" spans="2:8">
      <c r="B24" s="48" t="s">
        <v>101</v>
      </c>
      <c r="C24" s="57">
        <f>ROUNDUP(C21/C3,0)</f>
        <v>164</v>
      </c>
      <c r="D24" s="51"/>
      <c r="E24" s="51"/>
    </row>
    <row r="25" spans="2:8">
      <c r="B25" s="48" t="s">
        <v>5</v>
      </c>
      <c r="C25" s="58">
        <v>4</v>
      </c>
      <c r="D25" s="48"/>
    </row>
    <row r="26" spans="2:8">
      <c r="D26" s="48"/>
    </row>
    <row r="27" spans="2:8">
      <c r="B27" s="48" t="s">
        <v>147</v>
      </c>
      <c r="C27" s="44">
        <f>C24*C4</f>
        <v>9.84</v>
      </c>
    </row>
    <row r="28" spans="2:8">
      <c r="B28" s="48" t="s">
        <v>148</v>
      </c>
      <c r="C28" s="46">
        <v>3.3000000000000002E-2</v>
      </c>
    </row>
    <row r="30" spans="2:8">
      <c r="B30" s="44" t="s">
        <v>60</v>
      </c>
      <c r="D30" s="59" t="s">
        <v>18</v>
      </c>
      <c r="E30" s="59" t="s">
        <v>5</v>
      </c>
      <c r="F30" s="59" t="s">
        <v>101</v>
      </c>
      <c r="G30" s="59" t="s">
        <v>17</v>
      </c>
      <c r="H30" s="59" t="s">
        <v>149</v>
      </c>
    </row>
    <row r="31" spans="2:8" ht="16">
      <c r="C31" s="59" t="s">
        <v>150</v>
      </c>
      <c r="D31" s="53">
        <v>0.6</v>
      </c>
      <c r="E31" s="52">
        <v>7</v>
      </c>
      <c r="F31" s="52">
        <v>200</v>
      </c>
      <c r="G31" s="44">
        <v>7</v>
      </c>
      <c r="H31" s="60">
        <f>G31/F31</f>
        <v>3.5000000000000003E-2</v>
      </c>
    </row>
    <row r="32" spans="2:8" ht="16">
      <c r="C32" s="59" t="s">
        <v>151</v>
      </c>
      <c r="D32" s="53">
        <v>0.6</v>
      </c>
      <c r="E32" s="52">
        <v>4</v>
      </c>
      <c r="F32" s="52">
        <v>164</v>
      </c>
      <c r="G32" s="44">
        <v>4.1500000000000004</v>
      </c>
      <c r="H32" s="60">
        <f>G32/F32</f>
        <v>2.5304878048780489E-2</v>
      </c>
    </row>
    <row r="34" spans="2:8">
      <c r="D34" s="59" t="s">
        <v>18</v>
      </c>
      <c r="E34" s="59" t="s">
        <v>5</v>
      </c>
      <c r="F34" s="59" t="s">
        <v>101</v>
      </c>
      <c r="G34" s="59" t="s">
        <v>17</v>
      </c>
      <c r="H34" s="59" t="s">
        <v>149</v>
      </c>
    </row>
    <row r="35" spans="2:8" ht="16">
      <c r="C35" s="59" t="s">
        <v>150</v>
      </c>
      <c r="D35" s="53">
        <v>0.2</v>
      </c>
      <c r="E35" s="52">
        <v>7</v>
      </c>
      <c r="F35" s="52">
        <v>200</v>
      </c>
      <c r="G35" s="44">
        <v>11.4</v>
      </c>
      <c r="H35" s="60">
        <f>G35/F35</f>
        <v>5.7000000000000002E-2</v>
      </c>
    </row>
    <row r="36" spans="2:8" ht="16">
      <c r="C36" s="59" t="s">
        <v>151</v>
      </c>
      <c r="D36" s="53">
        <v>0.2</v>
      </c>
      <c r="E36" s="52">
        <v>4</v>
      </c>
      <c r="F36" s="52">
        <v>164</v>
      </c>
      <c r="G36" s="44">
        <v>6.7</v>
      </c>
      <c r="H36" s="60">
        <f>G36/F36</f>
        <v>4.0853658536585367E-2</v>
      </c>
    </row>
    <row r="38" spans="2:8">
      <c r="B38" s="44" t="s">
        <v>43</v>
      </c>
      <c r="C38" s="48" t="s">
        <v>16</v>
      </c>
      <c r="D38" s="48" t="s">
        <v>152</v>
      </c>
      <c r="E38" s="48" t="s">
        <v>153</v>
      </c>
      <c r="F38" s="48" t="s">
        <v>154</v>
      </c>
      <c r="G38" s="48" t="s">
        <v>155</v>
      </c>
    </row>
    <row r="39" spans="2:8">
      <c r="C39" s="44">
        <v>0.01</v>
      </c>
      <c r="D39" s="61">
        <f>200*C39</f>
        <v>2</v>
      </c>
      <c r="E39" s="61">
        <f>164*C39</f>
        <v>1.6400000000000001</v>
      </c>
      <c r="F39" s="62">
        <f>_xlfn.POISSON.DIST(7,D39,TRUE)</f>
        <v>0.99890328103214132</v>
      </c>
      <c r="G39" s="62">
        <f>_xlfn.POISSON.DIST(3,E39,TRUE)</f>
        <v>0.91557752313120533</v>
      </c>
    </row>
    <row r="40" spans="2:8">
      <c r="C40" s="44">
        <v>1.4999999999999999E-2</v>
      </c>
      <c r="D40" s="61">
        <f t="shared" ref="D40:D44" si="1">200*C40</f>
        <v>3</v>
      </c>
      <c r="E40" s="61">
        <f t="shared" ref="E40:E44" si="2">164*C40</f>
        <v>2.46</v>
      </c>
      <c r="F40" s="62">
        <f t="shared" ref="F40:F44" si="3">_xlfn.POISSON.DIST(7,D40,TRUE)</f>
        <v>0.98809549614364256</v>
      </c>
      <c r="G40" s="62">
        <f t="shared" ref="G40:G44" si="4">_xlfn.POISSON.DIST(3,E40,TRUE)</f>
        <v>0.76609144618612679</v>
      </c>
    </row>
    <row r="41" spans="2:8">
      <c r="C41" s="44">
        <v>0.02</v>
      </c>
      <c r="D41" s="61">
        <f t="shared" si="1"/>
        <v>4</v>
      </c>
      <c r="E41" s="61">
        <f t="shared" si="2"/>
        <v>3.2800000000000002</v>
      </c>
      <c r="F41" s="62">
        <f t="shared" si="3"/>
        <v>0.94886638420715264</v>
      </c>
      <c r="G41" s="62">
        <f t="shared" si="4"/>
        <v>0.58476036961064048</v>
      </c>
    </row>
    <row r="42" spans="2:8">
      <c r="C42" s="44">
        <v>0.03</v>
      </c>
      <c r="D42" s="61">
        <f t="shared" si="1"/>
        <v>6</v>
      </c>
      <c r="E42" s="61">
        <f t="shared" si="2"/>
        <v>4.92</v>
      </c>
      <c r="F42" s="62">
        <f t="shared" si="3"/>
        <v>0.74397976045371694</v>
      </c>
      <c r="G42" s="62">
        <f t="shared" si="4"/>
        <v>0.2764359534401965</v>
      </c>
    </row>
    <row r="43" spans="2:8">
      <c r="C43" s="44">
        <v>0.04</v>
      </c>
      <c r="D43" s="61">
        <f t="shared" si="1"/>
        <v>8</v>
      </c>
      <c r="E43" s="61">
        <f t="shared" si="2"/>
        <v>6.5600000000000005</v>
      </c>
      <c r="F43" s="62">
        <f t="shared" si="3"/>
        <v>0.45296080948699424</v>
      </c>
      <c r="G43" s="62">
        <f t="shared" si="4"/>
        <v>0.10778694646250486</v>
      </c>
    </row>
    <row r="44" spans="2:8">
      <c r="C44" s="44">
        <v>0.05</v>
      </c>
      <c r="D44" s="61">
        <f t="shared" si="1"/>
        <v>10</v>
      </c>
      <c r="E44" s="61">
        <f t="shared" si="2"/>
        <v>8.2000000000000011</v>
      </c>
      <c r="F44" s="62">
        <f t="shared" si="3"/>
        <v>0.22022064660169899</v>
      </c>
      <c r="G44" s="62">
        <f t="shared" si="4"/>
        <v>3.6999864127607134E-2</v>
      </c>
    </row>
    <row r="46" spans="2:8">
      <c r="B46" s="44" t="s">
        <v>156</v>
      </c>
    </row>
    <row r="49" spans="2:5">
      <c r="C49" s="48" t="s">
        <v>16</v>
      </c>
      <c r="D49" s="48" t="s">
        <v>154</v>
      </c>
      <c r="E49" s="48" t="s">
        <v>155</v>
      </c>
    </row>
    <row r="50" spans="2:5">
      <c r="C50" s="44">
        <v>0.01</v>
      </c>
      <c r="D50" s="62">
        <f>F39</f>
        <v>0.99890328103214132</v>
      </c>
      <c r="E50" s="62">
        <f>G39</f>
        <v>0.91557752313120533</v>
      </c>
    </row>
    <row r="51" spans="2:5">
      <c r="B51" s="48" t="s">
        <v>0</v>
      </c>
      <c r="C51" s="44">
        <v>1.4999999999999999E-2</v>
      </c>
      <c r="D51" s="62">
        <f t="shared" ref="D51:E55" si="5">F40</f>
        <v>0.98809549614364256</v>
      </c>
      <c r="E51" s="62">
        <f t="shared" si="5"/>
        <v>0.76609144618612679</v>
      </c>
    </row>
    <row r="52" spans="2:5">
      <c r="C52" s="44">
        <v>0.02</v>
      </c>
      <c r="D52" s="62">
        <f t="shared" si="5"/>
        <v>0.94886638420715264</v>
      </c>
      <c r="E52" s="62">
        <f t="shared" si="5"/>
        <v>0.58476036961064048</v>
      </c>
    </row>
    <row r="53" spans="2:5">
      <c r="C53" s="44">
        <v>0.03</v>
      </c>
      <c r="D53" s="62">
        <f t="shared" si="5"/>
        <v>0.74397976045371694</v>
      </c>
      <c r="E53" s="62">
        <f t="shared" si="5"/>
        <v>0.2764359534401965</v>
      </c>
    </row>
    <row r="54" spans="2:5">
      <c r="C54" s="44">
        <v>0.04</v>
      </c>
      <c r="D54" s="62">
        <f t="shared" si="5"/>
        <v>0.45296080948699424</v>
      </c>
      <c r="E54" s="62">
        <f t="shared" si="5"/>
        <v>0.10778694646250486</v>
      </c>
    </row>
    <row r="55" spans="2:5">
      <c r="C55" s="44">
        <v>0.05</v>
      </c>
      <c r="D55" s="62">
        <f t="shared" si="5"/>
        <v>0.22022064660169899</v>
      </c>
      <c r="E55" s="62">
        <f t="shared" si="5"/>
        <v>3.6999864127607134E-2</v>
      </c>
    </row>
  </sheetData>
  <pageMargins left="0.75" right="0.75" top="1" bottom="1" header="0.5" footer="0.5"/>
  <pageSetup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68</vt:i4>
      </vt:variant>
    </vt:vector>
  </HeadingPairs>
  <TitlesOfParts>
    <vt:vector size="68" baseType="lpstr">
      <vt:lpstr>1MA</vt:lpstr>
      <vt:lpstr>2MA</vt:lpstr>
      <vt:lpstr>3MA</vt:lpstr>
      <vt:lpstr>4MA</vt:lpstr>
      <vt:lpstr>5MA</vt:lpstr>
      <vt:lpstr>6MA</vt:lpstr>
      <vt:lpstr>7MA</vt:lpstr>
      <vt:lpstr>8MA</vt:lpstr>
      <vt:lpstr>9MA</vt:lpstr>
      <vt:lpstr>10MA</vt:lpstr>
      <vt:lpstr>11MA</vt:lpstr>
      <vt:lpstr>12MA</vt:lpstr>
      <vt:lpstr>13MA</vt:lpstr>
      <vt:lpstr>14MA</vt:lpstr>
      <vt:lpstr>15MA</vt:lpstr>
      <vt:lpstr>16MA</vt:lpstr>
      <vt:lpstr>17MA</vt:lpstr>
      <vt:lpstr>18MA</vt:lpstr>
      <vt:lpstr>19MA</vt:lpstr>
      <vt:lpstr>20MA</vt:lpstr>
      <vt:lpstr>21MA</vt:lpstr>
      <vt:lpstr>22MA</vt:lpstr>
      <vt:lpstr>1CC</vt:lpstr>
      <vt:lpstr>2CC</vt:lpstr>
      <vt:lpstr>3CC</vt:lpstr>
      <vt:lpstr>4CC</vt:lpstr>
      <vt:lpstr>5CC</vt:lpstr>
      <vt:lpstr>6CC</vt:lpstr>
      <vt:lpstr>7CC</vt:lpstr>
      <vt:lpstr>8CC</vt:lpstr>
      <vt:lpstr>9CC</vt:lpstr>
      <vt:lpstr>10CC</vt:lpstr>
      <vt:lpstr>1AC</vt:lpstr>
      <vt:lpstr>2AC</vt:lpstr>
      <vt:lpstr>3AC</vt:lpstr>
      <vt:lpstr>4AC</vt:lpstr>
      <vt:lpstr>5AC</vt:lpstr>
      <vt:lpstr>6AC</vt:lpstr>
      <vt:lpstr>7AC</vt:lpstr>
      <vt:lpstr>8AC</vt:lpstr>
      <vt:lpstr>9AC</vt:lpstr>
      <vt:lpstr>1A</vt:lpstr>
      <vt:lpstr>2A</vt:lpstr>
      <vt:lpstr>3A</vt:lpstr>
      <vt:lpstr>4A</vt:lpstr>
      <vt:lpstr>5A</vt:lpstr>
      <vt:lpstr>6A</vt:lpstr>
      <vt:lpstr>7A</vt:lpstr>
      <vt:lpstr>8A</vt:lpstr>
      <vt:lpstr>9A</vt:lpstr>
      <vt:lpstr>10A</vt:lpstr>
      <vt:lpstr>1CL</vt:lpstr>
      <vt:lpstr>2CL</vt:lpstr>
      <vt:lpstr>3CL</vt:lpstr>
      <vt:lpstr>4CL</vt:lpstr>
      <vt:lpstr>5CL</vt:lpstr>
      <vt:lpstr>6CL</vt:lpstr>
      <vt:lpstr>7CL</vt:lpstr>
      <vt:lpstr>8CL</vt:lpstr>
      <vt:lpstr>9CL</vt:lpstr>
      <vt:lpstr>1PNP</vt:lpstr>
      <vt:lpstr>2PNP</vt:lpstr>
      <vt:lpstr>3PNP</vt:lpstr>
      <vt:lpstr>4PNP</vt:lpstr>
      <vt:lpstr>5PNP</vt:lpstr>
      <vt:lpstr>6PNP</vt:lpstr>
      <vt:lpstr>7PNP</vt:lpstr>
      <vt:lpstr>8PNP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Hernandez</dc:creator>
  <cp:lastModifiedBy>Edgar Hernandez</cp:lastModifiedBy>
  <dcterms:created xsi:type="dcterms:W3CDTF">2020-12-02T20:27:20Z</dcterms:created>
  <dcterms:modified xsi:type="dcterms:W3CDTF">2022-11-21T22:56:10Z</dcterms:modified>
</cp:coreProperties>
</file>