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6.xml" ContentType="application/vnd.openxmlformats-officedocument.drawing+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7.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defaultThemeVersion="166925"/>
  <mc:AlternateContent xmlns:mc="http://schemas.openxmlformats.org/markup-compatibility/2006">
    <mc:Choice Requires="x15">
      <x15ac:absPath xmlns:x15ac="http://schemas.microsoft.com/office/spreadsheetml/2010/11/ac" url="/Volumes/Enrique Leó/UCR/Docencia/Ejercicios de Clases/Prácticas/Nuevas/Gerencia de Calidad/"/>
    </mc:Choice>
  </mc:AlternateContent>
  <xr:revisionPtr revIDLastSave="0" documentId="13_ncr:1_{EAFE425D-D0DF-3E46-8D66-EE5BD7A01DE4}" xr6:coauthVersionLast="47" xr6:coauthVersionMax="47" xr10:uidLastSave="{00000000-0000-0000-0000-000000000000}"/>
  <bookViews>
    <workbookView xWindow="0" yWindow="500" windowWidth="28800" windowHeight="16380" xr2:uid="{6AEC2F33-08B7-6849-A062-3DF7F4A9C96B}"/>
  </bookViews>
  <sheets>
    <sheet name="1VSM" sheetId="4" r:id="rId1"/>
    <sheet name="2VSM." sheetId="25" r:id="rId2"/>
    <sheet name="3VSM." sheetId="26" r:id="rId3"/>
    <sheet name="4VSM." sheetId="27" r:id="rId4"/>
    <sheet name="1IyP" sheetId="28" r:id="rId5"/>
    <sheet name="2IyP" sheetId="29" r:id="rId6"/>
    <sheet name="3IyP" sheetId="30" r:id="rId7"/>
    <sheet name="4IyP" sheetId="31" r:id="rId8"/>
    <sheet name="5IyP" sheetId="32" r:id="rId9"/>
    <sheet name="6IyP" sheetId="34" r:id="rId10"/>
    <sheet name="1excel" sheetId="35" r:id="rId11"/>
    <sheet name="2excel" sheetId="36" r:id="rId12"/>
    <sheet name="3excel" sheetId="37" r:id="rId13"/>
    <sheet name="4excel" sheetId="38" r:id="rId14"/>
    <sheet name="5excel" sheetId="39" r:id="rId15"/>
    <sheet name="6excel" sheetId="40" r:id="rId16"/>
    <sheet name="7excel" sheetId="41" r:id="rId17"/>
    <sheet name="8excel" sheetId="42" r:id="rId18"/>
    <sheet name="9excel" sheetId="43" r:id="rId19"/>
    <sheet name="1medidas" sheetId="44" r:id="rId20"/>
    <sheet name="2medidas" sheetId="45" r:id="rId21"/>
    <sheet name="3medidas" sheetId="46" r:id="rId22"/>
    <sheet name="4medidas" sheetId="48" r:id="rId23"/>
    <sheet name="5medidas" sheetId="49" r:id="rId24"/>
    <sheet name="6medidas" sheetId="50" r:id="rId25"/>
    <sheet name="7medidas" sheetId="51" r:id="rId26"/>
    <sheet name="8medidas" sheetId="52" r:id="rId27"/>
    <sheet name="9medidas" sheetId="53" r:id="rId28"/>
    <sheet name="10medidas" sheetId="54" r:id="rId29"/>
    <sheet name="1seissigma" sheetId="55" r:id="rId30"/>
    <sheet name="2seissigma" sheetId="56" r:id="rId31"/>
    <sheet name="3seissigma" sheetId="57" r:id="rId32"/>
    <sheet name="4seissigma" sheetId="58" r:id="rId33"/>
    <sheet name="5seissigma" sheetId="59" r:id="rId34"/>
    <sheet name="6seissigma" sheetId="60" r:id="rId35"/>
    <sheet name="7seissigma" sheetId="61" r:id="rId36"/>
    <sheet name="8seissigma" sheetId="62" r:id="rId37"/>
    <sheet name="9seissigma" sheetId="63" r:id="rId38"/>
    <sheet name="10seissigma" sheetId="64" r:id="rId39"/>
    <sheet name="1mt" sheetId="66" r:id="rId40"/>
    <sheet name="2mt" sheetId="67" r:id="rId41"/>
    <sheet name="3mt" sheetId="68" r:id="rId42"/>
    <sheet name="4mt" sheetId="69" r:id="rId43"/>
    <sheet name="5mt" sheetId="70" r:id="rId44"/>
    <sheet name="6mt" sheetId="71" r:id="rId45"/>
    <sheet name="7mt" sheetId="72" r:id="rId46"/>
    <sheet name="8mt" sheetId="73" r:id="rId47"/>
    <sheet name="9mt" sheetId="74" r:id="rId48"/>
    <sheet name="10mt" sheetId="76" r:id="rId49"/>
    <sheet name="11mt" sheetId="77" r:id="rId50"/>
    <sheet name="12mt" sheetId="78" r:id="rId51"/>
    <sheet name="13mt" sheetId="79" r:id="rId52"/>
    <sheet name="14mt" sheetId="80" r:id="rId53"/>
    <sheet name="15mt" sheetId="81" r:id="rId54"/>
    <sheet name="16mt" sheetId="82" r:id="rId55"/>
    <sheet name="17mt" sheetId="83" r:id="rId56"/>
    <sheet name="18mt" sheetId="84" r:id="rId57"/>
    <sheet name="19mt" sheetId="85" r:id="rId58"/>
    <sheet name="20mt" sheetId="86" r:id="rId59"/>
    <sheet name="21mt" sheetId="87" r:id="rId60"/>
    <sheet name="22mt" sheetId="89" r:id="rId61"/>
    <sheet name="23mt" sheetId="90" r:id="rId62"/>
  </sheets>
  <externalReferences>
    <externalReference r:id="rId63"/>
  </externalReferences>
  <definedNames>
    <definedName name="MinimizeCosts">FALSE</definedName>
    <definedName name="TreeDiagBase" localSheetId="1">'[1]Pregunta 1'!#REF!</definedName>
    <definedName name="TreeDiagBase" localSheetId="2">'[1]Pregunta 1'!#REF!</definedName>
    <definedName name="TreeDiagBase" localSheetId="3">'[1]Pregunta 1'!#REF!</definedName>
    <definedName name="TreeDiagBase">'[1]Pregunta 1'!#REF!</definedName>
    <definedName name="TreeDiagram" localSheetId="1">'[1]Pregunta 1'!#REF!</definedName>
    <definedName name="TreeDiagram" localSheetId="2">'[1]Pregunta 1'!#REF!</definedName>
    <definedName name="TreeDiagram" localSheetId="3">'[1]Pregunta 1'!#REF!</definedName>
    <definedName name="TreeDiagram">'[1]Pregunta 1'!#REF!</definedName>
    <definedName name="UseExpUtility">FALSE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9" i="34" l="1"/>
  <c r="I29" i="34"/>
  <c r="H30" i="34"/>
  <c r="I30" i="34"/>
  <c r="H31" i="34"/>
  <c r="I31" i="34"/>
  <c r="I28" i="34"/>
  <c r="H28" i="34"/>
  <c r="C8" i="32"/>
  <c r="D4" i="32" s="1"/>
  <c r="C6" i="31"/>
  <c r="W8" i="27"/>
  <c r="V8" i="27"/>
  <c r="D3" i="32" l="1"/>
  <c r="D2" i="32"/>
  <c r="D7" i="32"/>
  <c r="D5" i="32"/>
  <c r="D6" i="32"/>
  <c r="G13" i="64"/>
  <c r="G11" i="64"/>
  <c r="G8" i="64"/>
  <c r="C7" i="64" s="1"/>
  <c r="G7" i="64"/>
  <c r="C13" i="64" s="1"/>
  <c r="G13" i="63"/>
  <c r="G11" i="63"/>
  <c r="G8" i="63"/>
  <c r="C7" i="63" s="1"/>
  <c r="G7" i="63"/>
  <c r="G13" i="62"/>
  <c r="G11" i="62"/>
  <c r="G8" i="62"/>
  <c r="C7" i="62" s="1"/>
  <c r="G7" i="62"/>
  <c r="C13" i="62" s="1"/>
  <c r="G13" i="61"/>
  <c r="G11" i="61"/>
  <c r="G8" i="61"/>
  <c r="G7" i="61"/>
  <c r="C13" i="61" s="1"/>
  <c r="C7" i="61"/>
  <c r="G13" i="60"/>
  <c r="G11" i="60"/>
  <c r="G8" i="60"/>
  <c r="C7" i="60" s="1"/>
  <c r="G7" i="60"/>
  <c r="C13" i="60"/>
  <c r="G7" i="59"/>
  <c r="C6" i="59" s="1"/>
  <c r="G6" i="59"/>
  <c r="C12" i="59" s="1"/>
  <c r="G12" i="59"/>
  <c r="G10" i="59"/>
  <c r="G13" i="58"/>
  <c r="G11" i="58"/>
  <c r="G8" i="58"/>
  <c r="C7" i="58" s="1"/>
  <c r="G7" i="58"/>
  <c r="C13" i="58" s="1"/>
  <c r="G13" i="57"/>
  <c r="G11" i="57"/>
  <c r="G8" i="57"/>
  <c r="C8" i="57" s="1"/>
  <c r="G7" i="57"/>
  <c r="G31" i="55"/>
  <c r="G15" i="56"/>
  <c r="G13" i="56"/>
  <c r="G10" i="56"/>
  <c r="G11" i="56" s="1"/>
  <c r="G9" i="56"/>
  <c r="G18" i="56" s="1"/>
  <c r="G28" i="56" l="1"/>
  <c r="H28" i="56" s="1"/>
  <c r="G17" i="56"/>
  <c r="G29" i="56"/>
  <c r="H29" i="56" s="1"/>
  <c r="L30" i="56" s="1"/>
  <c r="C8" i="64"/>
  <c r="C14" i="64"/>
  <c r="C9" i="64"/>
  <c r="G9" i="64"/>
  <c r="G27" i="64" s="1"/>
  <c r="H27" i="64" s="1"/>
  <c r="L28" i="64" s="1"/>
  <c r="C12" i="64"/>
  <c r="C9" i="63"/>
  <c r="G9" i="63"/>
  <c r="G27" i="63" s="1"/>
  <c r="H27" i="63" s="1"/>
  <c r="L28" i="63" s="1"/>
  <c r="C14" i="63"/>
  <c r="C8" i="63"/>
  <c r="C12" i="63"/>
  <c r="C13" i="63"/>
  <c r="C14" i="62"/>
  <c r="C9" i="62"/>
  <c r="G9" i="62"/>
  <c r="G26" i="62" s="1"/>
  <c r="H26" i="62" s="1"/>
  <c r="C12" i="62"/>
  <c r="C8" i="62"/>
  <c r="C8" i="61"/>
  <c r="C14" i="61"/>
  <c r="C12" i="61"/>
  <c r="C9" i="61"/>
  <c r="G9" i="61"/>
  <c r="G26" i="61" s="1"/>
  <c r="H26" i="61" s="1"/>
  <c r="C8" i="60"/>
  <c r="C14" i="60"/>
  <c r="C9" i="60"/>
  <c r="G9" i="60"/>
  <c r="G27" i="60" s="1"/>
  <c r="H27" i="60" s="1"/>
  <c r="L28" i="60" s="1"/>
  <c r="C12" i="60"/>
  <c r="C14" i="56"/>
  <c r="C15" i="56"/>
  <c r="C11" i="56"/>
  <c r="C16" i="56"/>
  <c r="C9" i="56"/>
  <c r="C10" i="56"/>
  <c r="C8" i="59"/>
  <c r="G8" i="59"/>
  <c r="G26" i="59" s="1"/>
  <c r="H26" i="59" s="1"/>
  <c r="L27" i="59" s="1"/>
  <c r="C11" i="59"/>
  <c r="G20" i="59"/>
  <c r="C7" i="59"/>
  <c r="C13" i="59"/>
  <c r="C14" i="58"/>
  <c r="C8" i="58"/>
  <c r="C9" i="58"/>
  <c r="G9" i="58"/>
  <c r="G27" i="58" s="1"/>
  <c r="H27" i="58" s="1"/>
  <c r="L28" i="58" s="1"/>
  <c r="C12" i="58"/>
  <c r="C7" i="57"/>
  <c r="C14" i="57"/>
  <c r="C13" i="57"/>
  <c r="C9" i="57"/>
  <c r="G9" i="57"/>
  <c r="C12" i="57"/>
  <c r="G23" i="56"/>
  <c r="G22" i="56"/>
  <c r="Q28" i="55"/>
  <c r="L28" i="55"/>
  <c r="G32" i="55"/>
  <c r="G30" i="55"/>
  <c r="G29" i="55"/>
  <c r="H27" i="55"/>
  <c r="H26" i="55"/>
  <c r="G27" i="55"/>
  <c r="G26" i="55"/>
  <c r="G8" i="55"/>
  <c r="G9" i="55" s="1"/>
  <c r="G7" i="55"/>
  <c r="C10" i="55" s="1"/>
  <c r="G13" i="55"/>
  <c r="G11" i="55"/>
  <c r="G15" i="64" l="1"/>
  <c r="G20" i="64"/>
  <c r="G21" i="64"/>
  <c r="G26" i="64"/>
  <c r="H26" i="64" s="1"/>
  <c r="G29" i="64" s="1"/>
  <c r="G30" i="64" s="1"/>
  <c r="G16" i="64"/>
  <c r="G16" i="63"/>
  <c r="G20" i="63"/>
  <c r="G21" i="63"/>
  <c r="G15" i="63"/>
  <c r="G26" i="63"/>
  <c r="H26" i="63" s="1"/>
  <c r="G29" i="63" s="1"/>
  <c r="G30" i="63" s="1"/>
  <c r="G21" i="62"/>
  <c r="G20" i="62"/>
  <c r="G16" i="62"/>
  <c r="G15" i="62"/>
  <c r="G27" i="62"/>
  <c r="H27" i="62" s="1"/>
  <c r="L28" i="62" s="1"/>
  <c r="G16" i="61"/>
  <c r="G21" i="61"/>
  <c r="G20" i="61"/>
  <c r="G27" i="61"/>
  <c r="H27" i="61" s="1"/>
  <c r="L28" i="61" s="1"/>
  <c r="G15" i="61"/>
  <c r="G16" i="60"/>
  <c r="G15" i="60"/>
  <c r="G26" i="60"/>
  <c r="H26" i="60" s="1"/>
  <c r="G29" i="60" s="1"/>
  <c r="G30" i="60" s="1"/>
  <c r="G21" i="60"/>
  <c r="G20" i="60"/>
  <c r="G15" i="59"/>
  <c r="G14" i="59"/>
  <c r="I14" i="59" s="1"/>
  <c r="G25" i="59"/>
  <c r="H25" i="59" s="1"/>
  <c r="G28" i="59" s="1"/>
  <c r="G29" i="59" s="1"/>
  <c r="G19" i="59"/>
  <c r="G15" i="57"/>
  <c r="G26" i="57"/>
  <c r="H26" i="57" s="1"/>
  <c r="G27" i="57"/>
  <c r="G16" i="57"/>
  <c r="G16" i="58"/>
  <c r="G26" i="58"/>
  <c r="H26" i="58" s="1"/>
  <c r="G29" i="58" s="1"/>
  <c r="G30" i="58" s="1"/>
  <c r="G15" i="58"/>
  <c r="I15" i="58" s="1"/>
  <c r="G21" i="58"/>
  <c r="G20" i="58"/>
  <c r="G20" i="57"/>
  <c r="I15" i="57"/>
  <c r="H27" i="57"/>
  <c r="L28" i="57" s="1"/>
  <c r="G21" i="57"/>
  <c r="G31" i="56"/>
  <c r="G32" i="56" s="1"/>
  <c r="I17" i="56"/>
  <c r="G15" i="55"/>
  <c r="G16" i="55"/>
  <c r="I15" i="55" s="1"/>
  <c r="G20" i="55"/>
  <c r="G21" i="55"/>
  <c r="C8" i="55"/>
  <c r="C4" i="55"/>
  <c r="C3" i="55"/>
  <c r="C5" i="55"/>
  <c r="C9" i="55"/>
  <c r="I15" i="64" l="1"/>
  <c r="G31" i="64"/>
  <c r="G32" i="64" s="1"/>
  <c r="Q28" i="64"/>
  <c r="I15" i="63"/>
  <c r="G31" i="63"/>
  <c r="G32" i="63" s="1"/>
  <c r="Q28" i="63"/>
  <c r="I15" i="62"/>
  <c r="G29" i="62"/>
  <c r="G30" i="62" s="1"/>
  <c r="I15" i="61"/>
  <c r="G29" i="61"/>
  <c r="G30" i="61" s="1"/>
  <c r="G31" i="60"/>
  <c r="G32" i="60" s="1"/>
  <c r="Q28" i="60"/>
  <c r="I15" i="60"/>
  <c r="Q30" i="56"/>
  <c r="G33" i="56"/>
  <c r="G34" i="56" s="1"/>
  <c r="G30" i="59"/>
  <c r="G31" i="59" s="1"/>
  <c r="Q27" i="59"/>
  <c r="G31" i="58"/>
  <c r="G32" i="58" s="1"/>
  <c r="Q28" i="58"/>
  <c r="G29" i="57"/>
  <c r="G30" i="57" s="1"/>
  <c r="G31" i="57" s="1"/>
  <c r="G79" i="54"/>
  <c r="G78" i="54"/>
  <c r="G72" i="54"/>
  <c r="G70" i="54"/>
  <c r="G69" i="54"/>
  <c r="G68" i="54"/>
  <c r="G74" i="54" s="1"/>
  <c r="I58" i="54"/>
  <c r="I59" i="54"/>
  <c r="I60" i="54"/>
  <c r="I61" i="54"/>
  <c r="I62" i="54"/>
  <c r="I63" i="54"/>
  <c r="I57" i="54"/>
  <c r="G63" i="54"/>
  <c r="F63" i="54"/>
  <c r="G62" i="54"/>
  <c r="F62" i="54"/>
  <c r="G61" i="54"/>
  <c r="F61" i="54"/>
  <c r="G60" i="54"/>
  <c r="F60" i="54"/>
  <c r="G59" i="54"/>
  <c r="F59" i="54"/>
  <c r="G58" i="54"/>
  <c r="F58" i="54"/>
  <c r="G57" i="54"/>
  <c r="G64" i="54" s="1"/>
  <c r="F57" i="54"/>
  <c r="G56" i="54"/>
  <c r="F56" i="54"/>
  <c r="G32" i="54"/>
  <c r="G48" i="54"/>
  <c r="G47" i="54"/>
  <c r="G46" i="54"/>
  <c r="G45" i="54"/>
  <c r="G44" i="54"/>
  <c r="G43" i="54"/>
  <c r="G42" i="54"/>
  <c r="G38" i="54"/>
  <c r="G36" i="54"/>
  <c r="G33" i="54"/>
  <c r="G37" i="54" s="1"/>
  <c r="G31" i="54"/>
  <c r="G29" i="54"/>
  <c r="G28" i="54"/>
  <c r="G30" i="54" s="1"/>
  <c r="I20" i="54"/>
  <c r="I21" i="54"/>
  <c r="I22" i="54"/>
  <c r="I23" i="54"/>
  <c r="I24" i="54"/>
  <c r="I25" i="54"/>
  <c r="I19" i="54"/>
  <c r="H25" i="54"/>
  <c r="H24" i="54"/>
  <c r="H23" i="54"/>
  <c r="H22" i="54"/>
  <c r="N22" i="54" s="1"/>
  <c r="H21" i="54"/>
  <c r="N21" i="54" s="1"/>
  <c r="H20" i="54"/>
  <c r="N20" i="54" s="1"/>
  <c r="H19" i="54"/>
  <c r="G3" i="54"/>
  <c r="G2" i="54"/>
  <c r="G21" i="54"/>
  <c r="G20" i="54"/>
  <c r="G19" i="54"/>
  <c r="F19" i="54"/>
  <c r="C24" i="54"/>
  <c r="C19" i="54" s="1"/>
  <c r="D19" i="54" s="1"/>
  <c r="C21" i="54" s="1"/>
  <c r="C18" i="54"/>
  <c r="G31" i="53"/>
  <c r="I59" i="53" s="1"/>
  <c r="G79" i="53"/>
  <c r="G78" i="53"/>
  <c r="G72" i="53"/>
  <c r="G70" i="53"/>
  <c r="G69" i="53"/>
  <c r="G68" i="53"/>
  <c r="G63" i="53"/>
  <c r="F63" i="53"/>
  <c r="G62" i="53"/>
  <c r="F62" i="53"/>
  <c r="G61" i="53"/>
  <c r="F61" i="53"/>
  <c r="G60" i="53"/>
  <c r="F60" i="53"/>
  <c r="G59" i="53"/>
  <c r="F59" i="53"/>
  <c r="G58" i="53"/>
  <c r="F58" i="53"/>
  <c r="G57" i="53"/>
  <c r="F57" i="53"/>
  <c r="G56" i="53"/>
  <c r="G64" i="53" s="1"/>
  <c r="F56" i="53"/>
  <c r="G55" i="53"/>
  <c r="F55" i="53"/>
  <c r="G30" i="53"/>
  <c r="G28" i="53"/>
  <c r="G27" i="53"/>
  <c r="G26" i="53"/>
  <c r="G47" i="53"/>
  <c r="G46" i="53"/>
  <c r="G45" i="53"/>
  <c r="G44" i="53"/>
  <c r="G43" i="53"/>
  <c r="G42" i="53"/>
  <c r="G41" i="53"/>
  <c r="G40" i="53"/>
  <c r="G34" i="53"/>
  <c r="G29" i="53"/>
  <c r="I17" i="53"/>
  <c r="I18" i="53"/>
  <c r="I19" i="53"/>
  <c r="I20" i="53"/>
  <c r="I21" i="53"/>
  <c r="I22" i="53"/>
  <c r="I23" i="53"/>
  <c r="I16" i="53"/>
  <c r="H23" i="53"/>
  <c r="N23" i="53" s="1"/>
  <c r="H22" i="53"/>
  <c r="N22" i="53" s="1"/>
  <c r="H21" i="53"/>
  <c r="N21" i="53" s="1"/>
  <c r="H20" i="53"/>
  <c r="N20" i="53" s="1"/>
  <c r="H19" i="53"/>
  <c r="N19" i="53" s="1"/>
  <c r="H18" i="53"/>
  <c r="H17" i="53"/>
  <c r="N17" i="53" s="1"/>
  <c r="H16" i="53"/>
  <c r="M3" i="53"/>
  <c r="M2" i="53"/>
  <c r="G18" i="53"/>
  <c r="G17" i="53"/>
  <c r="G16" i="53"/>
  <c r="F16" i="53"/>
  <c r="C21" i="53"/>
  <c r="C16" i="53" s="1"/>
  <c r="D16" i="53" s="1"/>
  <c r="C18" i="53" s="1"/>
  <c r="C15" i="53"/>
  <c r="G69" i="52"/>
  <c r="G68" i="52"/>
  <c r="G62" i="52"/>
  <c r="G60" i="52"/>
  <c r="G59" i="52"/>
  <c r="G58" i="52"/>
  <c r="I47" i="52"/>
  <c r="I48" i="52"/>
  <c r="I49" i="52"/>
  <c r="I50" i="52"/>
  <c r="I51" i="52"/>
  <c r="I52" i="52"/>
  <c r="I46" i="52"/>
  <c r="G52" i="52"/>
  <c r="F52" i="52"/>
  <c r="G51" i="52"/>
  <c r="F51" i="52"/>
  <c r="G50" i="52"/>
  <c r="F50" i="52"/>
  <c r="G49" i="52"/>
  <c r="F49" i="52"/>
  <c r="G48" i="52"/>
  <c r="F48" i="52"/>
  <c r="G47" i="52"/>
  <c r="F47" i="52"/>
  <c r="G46" i="52"/>
  <c r="G53" i="52" s="1"/>
  <c r="F46" i="52"/>
  <c r="G45" i="52"/>
  <c r="F45" i="52"/>
  <c r="G37" i="52"/>
  <c r="G36" i="52"/>
  <c r="G35" i="52"/>
  <c r="G34" i="52"/>
  <c r="G33" i="52"/>
  <c r="G32" i="52"/>
  <c r="G31" i="52"/>
  <c r="G27" i="52"/>
  <c r="G25" i="52"/>
  <c r="G22" i="52"/>
  <c r="G26" i="52" s="1"/>
  <c r="G21" i="52"/>
  <c r="G20" i="52"/>
  <c r="G18" i="52"/>
  <c r="G17" i="52"/>
  <c r="G19" i="52" s="1"/>
  <c r="I9" i="52"/>
  <c r="I10" i="52"/>
  <c r="I11" i="52"/>
  <c r="I12" i="52"/>
  <c r="I13" i="52"/>
  <c r="I14" i="52"/>
  <c r="I8" i="52"/>
  <c r="H13" i="52"/>
  <c r="N13" i="52" s="1"/>
  <c r="H14" i="52"/>
  <c r="N14" i="52" s="1"/>
  <c r="H12" i="52"/>
  <c r="N12" i="52" s="1"/>
  <c r="H11" i="52"/>
  <c r="N11" i="52" s="1"/>
  <c r="H9" i="52"/>
  <c r="N9" i="52" s="1"/>
  <c r="H10" i="52"/>
  <c r="N10" i="52" s="1"/>
  <c r="H8" i="52"/>
  <c r="R3" i="52"/>
  <c r="R2" i="52"/>
  <c r="G10" i="52"/>
  <c r="G9" i="52"/>
  <c r="G8" i="52"/>
  <c r="F8" i="52"/>
  <c r="F9" i="52" s="1"/>
  <c r="C13" i="52"/>
  <c r="C8" i="52" s="1"/>
  <c r="D8" i="52" s="1"/>
  <c r="C10" i="52" s="1"/>
  <c r="C7" i="52"/>
  <c r="H75" i="51"/>
  <c r="H74" i="51"/>
  <c r="H68" i="51"/>
  <c r="H66" i="51"/>
  <c r="H65" i="51"/>
  <c r="H64" i="51"/>
  <c r="G59" i="51"/>
  <c r="F59" i="51"/>
  <c r="I59" i="51" s="1"/>
  <c r="G58" i="51"/>
  <c r="F58" i="51"/>
  <c r="I58" i="51" s="1"/>
  <c r="G57" i="51"/>
  <c r="F57" i="51"/>
  <c r="I57" i="51" s="1"/>
  <c r="G56" i="51"/>
  <c r="F56" i="51"/>
  <c r="I56" i="51" s="1"/>
  <c r="G55" i="51"/>
  <c r="F55" i="51"/>
  <c r="I55" i="51" s="1"/>
  <c r="G54" i="51"/>
  <c r="F54" i="51"/>
  <c r="H54" i="51" s="1"/>
  <c r="G53" i="51"/>
  <c r="F53" i="51"/>
  <c r="I53" i="51" s="1"/>
  <c r="G52" i="51"/>
  <c r="G60" i="51" s="1"/>
  <c r="F52" i="51"/>
  <c r="I52" i="51" s="1"/>
  <c r="G51" i="51"/>
  <c r="F51" i="51"/>
  <c r="G43" i="51"/>
  <c r="G42" i="51"/>
  <c r="G41" i="51"/>
  <c r="G40" i="51"/>
  <c r="G39" i="51"/>
  <c r="G38" i="51"/>
  <c r="G37" i="51"/>
  <c r="G36" i="51"/>
  <c r="G30" i="51"/>
  <c r="G27" i="51"/>
  <c r="G32" i="51" s="1"/>
  <c r="G26" i="51"/>
  <c r="G25" i="51"/>
  <c r="G23" i="51"/>
  <c r="G22" i="51"/>
  <c r="G24" i="51" s="1"/>
  <c r="H19" i="51"/>
  <c r="N19" i="51" s="1"/>
  <c r="H18" i="51"/>
  <c r="N18" i="51" s="1"/>
  <c r="H17" i="51"/>
  <c r="N17" i="51" s="1"/>
  <c r="H16" i="51"/>
  <c r="N16" i="51" s="1"/>
  <c r="H15" i="51"/>
  <c r="N15" i="51" s="1"/>
  <c r="H14" i="51"/>
  <c r="H13" i="51"/>
  <c r="H12" i="51"/>
  <c r="N12" i="51" s="1"/>
  <c r="C17" i="51"/>
  <c r="C12" i="51" s="1"/>
  <c r="D12" i="51" s="1"/>
  <c r="C14" i="51" s="1"/>
  <c r="C11" i="51"/>
  <c r="G31" i="62" l="1"/>
  <c r="G32" i="62" s="1"/>
  <c r="Q28" i="62"/>
  <c r="G31" i="61"/>
  <c r="G32" i="61" s="1"/>
  <c r="Q28" i="61"/>
  <c r="G32" i="57"/>
  <c r="Q28" i="57"/>
  <c r="G73" i="54"/>
  <c r="J60" i="54"/>
  <c r="K60" i="54" s="1"/>
  <c r="L60" i="54"/>
  <c r="M60" i="54" s="1"/>
  <c r="J57" i="54"/>
  <c r="K57" i="54" s="1"/>
  <c r="L57" i="54"/>
  <c r="J61" i="54"/>
  <c r="K61" i="54" s="1"/>
  <c r="L61" i="54"/>
  <c r="M61" i="54" s="1"/>
  <c r="J58" i="54"/>
  <c r="K58" i="54" s="1"/>
  <c r="L58" i="54"/>
  <c r="M58" i="54" s="1"/>
  <c r="J62" i="54"/>
  <c r="K62" i="54" s="1"/>
  <c r="L62" i="54"/>
  <c r="M62" i="54" s="1"/>
  <c r="J59" i="54"/>
  <c r="K59" i="54" s="1"/>
  <c r="L59" i="54"/>
  <c r="M59" i="54" s="1"/>
  <c r="J63" i="54"/>
  <c r="K63" i="54" s="1"/>
  <c r="L63" i="54"/>
  <c r="M63" i="54" s="1"/>
  <c r="F64" i="54"/>
  <c r="H57" i="54"/>
  <c r="H64" i="54" s="1"/>
  <c r="H58" i="54"/>
  <c r="H59" i="54"/>
  <c r="H60" i="54"/>
  <c r="H61" i="54"/>
  <c r="H62" i="54"/>
  <c r="H63" i="54"/>
  <c r="N23" i="54"/>
  <c r="N24" i="54"/>
  <c r="N25" i="54"/>
  <c r="F20" i="54"/>
  <c r="F21" i="54" s="1"/>
  <c r="J19" i="54"/>
  <c r="J20" i="54" s="1"/>
  <c r="J21" i="54" s="1"/>
  <c r="J22" i="54" s="1"/>
  <c r="K19" i="54"/>
  <c r="M19" i="54"/>
  <c r="M20" i="54"/>
  <c r="M21" i="54"/>
  <c r="M22" i="54"/>
  <c r="N19" i="54"/>
  <c r="C22" i="54"/>
  <c r="C23" i="54" s="1"/>
  <c r="C20" i="54"/>
  <c r="I57" i="53"/>
  <c r="L57" i="53" s="1"/>
  <c r="M57" i="53" s="1"/>
  <c r="G36" i="53"/>
  <c r="I56" i="53"/>
  <c r="I63" i="53"/>
  <c r="J63" i="53" s="1"/>
  <c r="K63" i="53" s="1"/>
  <c r="I62" i="53"/>
  <c r="I58" i="53"/>
  <c r="I61" i="53"/>
  <c r="J61" i="53" s="1"/>
  <c r="K61" i="53" s="1"/>
  <c r="I60" i="53"/>
  <c r="J60" i="53" s="1"/>
  <c r="K60" i="53" s="1"/>
  <c r="G35" i="53"/>
  <c r="G74" i="53"/>
  <c r="G73" i="53"/>
  <c r="J56" i="53"/>
  <c r="K56" i="53" s="1"/>
  <c r="L56" i="53"/>
  <c r="M56" i="53" s="1"/>
  <c r="J58" i="53"/>
  <c r="K58" i="53" s="1"/>
  <c r="L58" i="53"/>
  <c r="M58" i="53" s="1"/>
  <c r="J62" i="53"/>
  <c r="K62" i="53" s="1"/>
  <c r="L62" i="53"/>
  <c r="M62" i="53" s="1"/>
  <c r="J59" i="53"/>
  <c r="K59" i="53" s="1"/>
  <c r="L59" i="53"/>
  <c r="M59" i="53" s="1"/>
  <c r="F64" i="53"/>
  <c r="H56" i="53"/>
  <c r="H57" i="53"/>
  <c r="H58" i="53"/>
  <c r="H59" i="53"/>
  <c r="H60" i="53"/>
  <c r="H61" i="53"/>
  <c r="H62" i="53"/>
  <c r="H63" i="53"/>
  <c r="H24" i="53"/>
  <c r="F17" i="53"/>
  <c r="F18" i="53" s="1"/>
  <c r="J16" i="53"/>
  <c r="J17" i="53" s="1"/>
  <c r="J18" i="53" s="1"/>
  <c r="J19" i="53" s="1"/>
  <c r="J20" i="53" s="1"/>
  <c r="J21" i="53" s="1"/>
  <c r="J22" i="53" s="1"/>
  <c r="J23" i="53" s="1"/>
  <c r="K16" i="53"/>
  <c r="M16" i="53"/>
  <c r="M17" i="53"/>
  <c r="M18" i="53"/>
  <c r="M19" i="53"/>
  <c r="M20" i="53"/>
  <c r="M21" i="53"/>
  <c r="M22" i="53"/>
  <c r="M23" i="53"/>
  <c r="N16" i="53"/>
  <c r="N18" i="53"/>
  <c r="C17" i="53"/>
  <c r="C19" i="53"/>
  <c r="C20" i="53" s="1"/>
  <c r="G64" i="52"/>
  <c r="G63" i="52"/>
  <c r="J46" i="52"/>
  <c r="K46" i="52" s="1"/>
  <c r="L46" i="52"/>
  <c r="J47" i="52"/>
  <c r="K47" i="52" s="1"/>
  <c r="L47" i="52"/>
  <c r="M47" i="52" s="1"/>
  <c r="J49" i="52"/>
  <c r="K49" i="52" s="1"/>
  <c r="L49" i="52"/>
  <c r="M49" i="52" s="1"/>
  <c r="J50" i="52"/>
  <c r="K50" i="52" s="1"/>
  <c r="L50" i="52"/>
  <c r="M50" i="52" s="1"/>
  <c r="L51" i="52"/>
  <c r="M51" i="52" s="1"/>
  <c r="J51" i="52"/>
  <c r="K51" i="52" s="1"/>
  <c r="J48" i="52"/>
  <c r="K48" i="52" s="1"/>
  <c r="L48" i="52"/>
  <c r="M48" i="52" s="1"/>
  <c r="J52" i="52"/>
  <c r="K52" i="52" s="1"/>
  <c r="L52" i="52"/>
  <c r="M52" i="52" s="1"/>
  <c r="F53" i="52"/>
  <c r="H46" i="52"/>
  <c r="H53" i="52" s="1"/>
  <c r="H47" i="52"/>
  <c r="H48" i="52"/>
  <c r="H49" i="52"/>
  <c r="H50" i="52"/>
  <c r="H51" i="52"/>
  <c r="H52" i="52"/>
  <c r="H15" i="52"/>
  <c r="F10" i="52"/>
  <c r="K8" i="52"/>
  <c r="J8" i="52"/>
  <c r="J9" i="52" s="1"/>
  <c r="J10" i="52" s="1"/>
  <c r="J11" i="52" s="1"/>
  <c r="J12" i="52" s="1"/>
  <c r="J13" i="52" s="1"/>
  <c r="J14" i="52" s="1"/>
  <c r="M8" i="52"/>
  <c r="M9" i="52"/>
  <c r="M10" i="52"/>
  <c r="M11" i="52"/>
  <c r="M12" i="52"/>
  <c r="M13" i="52"/>
  <c r="M14" i="52"/>
  <c r="N8" i="52"/>
  <c r="N15" i="52" s="1"/>
  <c r="C11" i="52"/>
  <c r="C12" i="52" s="1"/>
  <c r="C9" i="52"/>
  <c r="H70" i="51"/>
  <c r="H69" i="51"/>
  <c r="J52" i="51"/>
  <c r="K52" i="51" s="1"/>
  <c r="L52" i="51"/>
  <c r="M52" i="51" s="1"/>
  <c r="J57" i="51"/>
  <c r="K57" i="51" s="1"/>
  <c r="L57" i="51"/>
  <c r="M57" i="51" s="1"/>
  <c r="J58" i="51"/>
  <c r="K58" i="51" s="1"/>
  <c r="L58" i="51"/>
  <c r="M58" i="51" s="1"/>
  <c r="J56" i="51"/>
  <c r="K56" i="51" s="1"/>
  <c r="L56" i="51"/>
  <c r="M56" i="51" s="1"/>
  <c r="J53" i="51"/>
  <c r="K53" i="51" s="1"/>
  <c r="L53" i="51"/>
  <c r="M53" i="51" s="1"/>
  <c r="J55" i="51"/>
  <c r="K55" i="51" s="1"/>
  <c r="L55" i="51"/>
  <c r="M55" i="51" s="1"/>
  <c r="J59" i="51"/>
  <c r="K59" i="51" s="1"/>
  <c r="L59" i="51"/>
  <c r="M59" i="51" s="1"/>
  <c r="I54" i="51"/>
  <c r="F60" i="51"/>
  <c r="H52" i="51"/>
  <c r="H53" i="51"/>
  <c r="H55" i="51"/>
  <c r="H56" i="51"/>
  <c r="H57" i="51"/>
  <c r="H58" i="51"/>
  <c r="H59" i="51"/>
  <c r="G31" i="51"/>
  <c r="H20" i="51"/>
  <c r="I16" i="51" s="1"/>
  <c r="J12" i="51"/>
  <c r="J13" i="51" s="1"/>
  <c r="J14" i="51" s="1"/>
  <c r="J15" i="51" s="1"/>
  <c r="J16" i="51" s="1"/>
  <c r="J17" i="51" s="1"/>
  <c r="J18" i="51" s="1"/>
  <c r="J19" i="51" s="1"/>
  <c r="M12" i="51"/>
  <c r="C15" i="51"/>
  <c r="C16" i="51" s="1"/>
  <c r="F12" i="51" s="1"/>
  <c r="G12" i="51" s="1"/>
  <c r="C13" i="51"/>
  <c r="N13" i="51"/>
  <c r="M14" i="51"/>
  <c r="N14" i="51"/>
  <c r="M15" i="51"/>
  <c r="M13" i="51"/>
  <c r="M16" i="51"/>
  <c r="M17" i="51"/>
  <c r="M18" i="51"/>
  <c r="M19" i="51"/>
  <c r="H75" i="50"/>
  <c r="H74" i="50"/>
  <c r="H68" i="50"/>
  <c r="H66" i="50"/>
  <c r="H65" i="50"/>
  <c r="H64" i="50"/>
  <c r="L64" i="54" l="1"/>
  <c r="M57" i="54"/>
  <c r="M64" i="54" s="1"/>
  <c r="G52" i="54" s="1"/>
  <c r="K64" i="54"/>
  <c r="G51" i="54" s="1"/>
  <c r="M25" i="54"/>
  <c r="M24" i="54"/>
  <c r="N26" i="54"/>
  <c r="J23" i="54"/>
  <c r="J24" i="54" s="1"/>
  <c r="J25" i="54" s="1"/>
  <c r="H26" i="54"/>
  <c r="M23" i="54"/>
  <c r="K20" i="54"/>
  <c r="F22" i="54"/>
  <c r="G22" i="54" s="1"/>
  <c r="J57" i="53"/>
  <c r="K57" i="53" s="1"/>
  <c r="K64" i="53" s="1"/>
  <c r="G50" i="53" s="1"/>
  <c r="L61" i="53"/>
  <c r="M61" i="53" s="1"/>
  <c r="L63" i="53"/>
  <c r="M63" i="53" s="1"/>
  <c r="L60" i="53"/>
  <c r="M60" i="53" s="1"/>
  <c r="H64" i="53"/>
  <c r="M64" i="53"/>
  <c r="G51" i="53" s="1"/>
  <c r="N24" i="53"/>
  <c r="M24" i="53"/>
  <c r="K17" i="53"/>
  <c r="F19" i="53"/>
  <c r="G19" i="53" s="1"/>
  <c r="M46" i="52"/>
  <c r="M53" i="52" s="1"/>
  <c r="G41" i="52" s="1"/>
  <c r="L53" i="52"/>
  <c r="K53" i="52"/>
  <c r="G40" i="52" s="1"/>
  <c r="M15" i="52"/>
  <c r="K9" i="52"/>
  <c r="F11" i="52"/>
  <c r="G11" i="52" s="1"/>
  <c r="J54" i="51"/>
  <c r="K54" i="51" s="1"/>
  <c r="L54" i="51"/>
  <c r="M54" i="51" s="1"/>
  <c r="M60" i="51"/>
  <c r="G47" i="51" s="1"/>
  <c r="H60" i="51"/>
  <c r="K60" i="51"/>
  <c r="G46" i="51" s="1"/>
  <c r="N20" i="51"/>
  <c r="F13" i="51"/>
  <c r="G13" i="51" s="1"/>
  <c r="I12" i="51"/>
  <c r="I15" i="51"/>
  <c r="I19" i="51"/>
  <c r="I13" i="51"/>
  <c r="I14" i="51"/>
  <c r="I18" i="51"/>
  <c r="I17" i="51"/>
  <c r="M20" i="51"/>
  <c r="H69" i="50"/>
  <c r="H70" i="50"/>
  <c r="I53" i="50"/>
  <c r="I54" i="50"/>
  <c r="I55" i="50"/>
  <c r="I56" i="50"/>
  <c r="I57" i="50"/>
  <c r="I58" i="50"/>
  <c r="I59" i="50"/>
  <c r="I52" i="50"/>
  <c r="G59" i="50"/>
  <c r="F59" i="50"/>
  <c r="G58" i="50"/>
  <c r="F58" i="50"/>
  <c r="G57" i="50"/>
  <c r="F57" i="50"/>
  <c r="G56" i="50"/>
  <c r="F56" i="50"/>
  <c r="G55" i="50"/>
  <c r="F55" i="50"/>
  <c r="G54" i="50"/>
  <c r="F54" i="50"/>
  <c r="H54" i="50" s="1"/>
  <c r="G53" i="50"/>
  <c r="F53" i="50"/>
  <c r="G52" i="50"/>
  <c r="G60" i="50" s="1"/>
  <c r="F52" i="50"/>
  <c r="G51" i="50"/>
  <c r="F51" i="50"/>
  <c r="G26" i="50"/>
  <c r="G24" i="50"/>
  <c r="G23" i="50"/>
  <c r="G22" i="50"/>
  <c r="G43" i="50"/>
  <c r="G42" i="50"/>
  <c r="G41" i="50"/>
  <c r="G40" i="50"/>
  <c r="G39" i="50"/>
  <c r="G38" i="50"/>
  <c r="G37" i="50"/>
  <c r="G36" i="50"/>
  <c r="G32" i="50"/>
  <c r="G30" i="50"/>
  <c r="G27" i="50"/>
  <c r="G31" i="50" s="1"/>
  <c r="G25" i="50"/>
  <c r="N20" i="50"/>
  <c r="M20" i="50"/>
  <c r="M19" i="50"/>
  <c r="N19" i="50"/>
  <c r="J19" i="50"/>
  <c r="I13" i="50"/>
  <c r="I14" i="50"/>
  <c r="I15" i="50"/>
  <c r="I16" i="50"/>
  <c r="I17" i="50"/>
  <c r="I18" i="50"/>
  <c r="I19" i="50"/>
  <c r="I12" i="50"/>
  <c r="H20" i="50"/>
  <c r="H19" i="50"/>
  <c r="F19" i="50"/>
  <c r="G19" i="50" s="1"/>
  <c r="G12" i="50"/>
  <c r="H12" i="50"/>
  <c r="H13" i="50"/>
  <c r="H14" i="50"/>
  <c r="H15" i="50"/>
  <c r="H16" i="50"/>
  <c r="H17" i="50"/>
  <c r="H18" i="50"/>
  <c r="M26" i="54" l="1"/>
  <c r="K21" i="54"/>
  <c r="F23" i="54"/>
  <c r="G23" i="54" s="1"/>
  <c r="K18" i="53"/>
  <c r="F20" i="53"/>
  <c r="G20" i="53" s="1"/>
  <c r="K10" i="52"/>
  <c r="F12" i="52"/>
  <c r="G12" i="52" s="1"/>
  <c r="F14" i="51"/>
  <c r="K12" i="51"/>
  <c r="K13" i="51"/>
  <c r="J53" i="50"/>
  <c r="K53" i="50" s="1"/>
  <c r="L53" i="50"/>
  <c r="M53" i="50" s="1"/>
  <c r="J58" i="50"/>
  <c r="K58" i="50" s="1"/>
  <c r="L58" i="50"/>
  <c r="M58" i="50" s="1"/>
  <c r="J52" i="50"/>
  <c r="K52" i="50" s="1"/>
  <c r="L52" i="50"/>
  <c r="M52" i="50" s="1"/>
  <c r="J56" i="50"/>
  <c r="K56" i="50" s="1"/>
  <c r="L56" i="50"/>
  <c r="M56" i="50" s="1"/>
  <c r="J57" i="50"/>
  <c r="K57" i="50" s="1"/>
  <c r="L57" i="50"/>
  <c r="M57" i="50" s="1"/>
  <c r="J55" i="50"/>
  <c r="K55" i="50" s="1"/>
  <c r="L55" i="50"/>
  <c r="M55" i="50" s="1"/>
  <c r="J59" i="50"/>
  <c r="K59" i="50" s="1"/>
  <c r="L59" i="50"/>
  <c r="M59" i="50" s="1"/>
  <c r="F60" i="50"/>
  <c r="H52" i="50"/>
  <c r="H53" i="50"/>
  <c r="H55" i="50"/>
  <c r="H56" i="50"/>
  <c r="H57" i="50"/>
  <c r="H58" i="50"/>
  <c r="H59" i="50"/>
  <c r="K19" i="50"/>
  <c r="N18" i="50"/>
  <c r="N17" i="50"/>
  <c r="N16" i="50"/>
  <c r="N15" i="50"/>
  <c r="N14" i="50"/>
  <c r="N13" i="50"/>
  <c r="C17" i="50"/>
  <c r="C12" i="50" s="1"/>
  <c r="D12" i="50" s="1"/>
  <c r="C14" i="50" s="1"/>
  <c r="C11" i="50"/>
  <c r="AA75" i="49"/>
  <c r="AA74" i="49"/>
  <c r="AA68" i="49"/>
  <c r="AA66" i="49"/>
  <c r="AA65" i="49"/>
  <c r="AA64" i="49"/>
  <c r="Y53" i="49"/>
  <c r="Y54" i="49"/>
  <c r="AB54" i="49" s="1"/>
  <c r="Y55" i="49"/>
  <c r="Y56" i="49"/>
  <c r="AB56" i="49" s="1"/>
  <c r="Y57" i="49"/>
  <c r="AB57" i="49" s="1"/>
  <c r="Y58" i="49"/>
  <c r="AB58" i="49" s="1"/>
  <c r="Y59" i="49"/>
  <c r="AB53" i="49"/>
  <c r="AB55" i="49"/>
  <c r="AB59" i="49"/>
  <c r="AB52" i="49"/>
  <c r="Z59" i="49"/>
  <c r="Z58" i="49"/>
  <c r="Z57" i="49"/>
  <c r="Z56" i="49"/>
  <c r="Z55" i="49"/>
  <c r="Z54" i="49"/>
  <c r="Z53" i="49"/>
  <c r="Z52" i="49"/>
  <c r="Z60" i="49" s="1"/>
  <c r="Y52" i="49"/>
  <c r="Z51" i="49"/>
  <c r="Y51" i="49"/>
  <c r="Z37" i="49"/>
  <c r="Z38" i="49"/>
  <c r="Z39" i="49"/>
  <c r="Z40" i="49"/>
  <c r="Z41" i="49"/>
  <c r="Z42" i="49"/>
  <c r="Z43" i="49"/>
  <c r="Z36" i="49"/>
  <c r="Z23" i="49"/>
  <c r="Z22" i="49"/>
  <c r="Z26" i="49"/>
  <c r="Z25" i="49"/>
  <c r="AA19" i="49"/>
  <c r="AG19" i="49" s="1"/>
  <c r="AA18" i="49"/>
  <c r="AG18" i="49" s="1"/>
  <c r="AA17" i="49"/>
  <c r="AG17" i="49" s="1"/>
  <c r="AA16" i="49"/>
  <c r="AG16" i="49" s="1"/>
  <c r="AA15" i="49"/>
  <c r="AB15" i="49" s="1"/>
  <c r="AA14" i="49"/>
  <c r="AB14" i="49" s="1"/>
  <c r="AA13" i="49"/>
  <c r="AB13" i="49" s="1"/>
  <c r="Z14" i="49"/>
  <c r="Z13" i="49"/>
  <c r="AA12" i="49"/>
  <c r="Z12" i="49"/>
  <c r="Y12" i="49"/>
  <c r="V17" i="49"/>
  <c r="V12" i="49" s="1"/>
  <c r="W12" i="49" s="1"/>
  <c r="V14" i="49" s="1"/>
  <c r="V11" i="49"/>
  <c r="G38" i="49"/>
  <c r="G39" i="49"/>
  <c r="G40" i="49"/>
  <c r="G41" i="49"/>
  <c r="G42" i="49"/>
  <c r="G43" i="49"/>
  <c r="G44" i="49"/>
  <c r="G37" i="49"/>
  <c r="G31" i="49"/>
  <c r="G33" i="49" s="1"/>
  <c r="G27" i="49"/>
  <c r="G24" i="49"/>
  <c r="G23" i="49"/>
  <c r="G28" i="49"/>
  <c r="G26" i="49"/>
  <c r="H20" i="49"/>
  <c r="N20" i="49" s="1"/>
  <c r="H19" i="49"/>
  <c r="N19" i="49" s="1"/>
  <c r="H18" i="49"/>
  <c r="N18" i="49" s="1"/>
  <c r="H17" i="49"/>
  <c r="I17" i="49" s="1"/>
  <c r="H16" i="49"/>
  <c r="I16" i="49" s="1"/>
  <c r="H15" i="49"/>
  <c r="I15" i="49" s="1"/>
  <c r="H14" i="49"/>
  <c r="I14" i="49" s="1"/>
  <c r="H13" i="49"/>
  <c r="I13" i="49" s="1"/>
  <c r="C18" i="49"/>
  <c r="C13" i="49" s="1"/>
  <c r="D13" i="49" s="1"/>
  <c r="C15" i="49" s="1"/>
  <c r="C12" i="49"/>
  <c r="F73" i="48"/>
  <c r="F72" i="48"/>
  <c r="F66" i="48"/>
  <c r="F64" i="48"/>
  <c r="F63" i="48"/>
  <c r="F62" i="48"/>
  <c r="G46" i="48"/>
  <c r="G45" i="48"/>
  <c r="I52" i="48"/>
  <c r="I53" i="48"/>
  <c r="I54" i="48"/>
  <c r="I55" i="48"/>
  <c r="I56" i="48"/>
  <c r="I57" i="48"/>
  <c r="I58" i="48"/>
  <c r="I51" i="48"/>
  <c r="G51" i="48"/>
  <c r="G52" i="48"/>
  <c r="G53" i="48"/>
  <c r="G54" i="48"/>
  <c r="G55" i="48"/>
  <c r="G56" i="48"/>
  <c r="G57" i="48"/>
  <c r="G58" i="48"/>
  <c r="G50" i="48"/>
  <c r="F51" i="48"/>
  <c r="F52" i="48"/>
  <c r="F53" i="48"/>
  <c r="F54" i="48"/>
  <c r="F55" i="48"/>
  <c r="F56" i="48"/>
  <c r="F57" i="48"/>
  <c r="F58" i="48"/>
  <c r="F50" i="48"/>
  <c r="G59" i="48"/>
  <c r="G42" i="48"/>
  <c r="G41" i="48"/>
  <c r="G40" i="48"/>
  <c r="G39" i="48"/>
  <c r="G38" i="48"/>
  <c r="G37" i="48"/>
  <c r="G36" i="48"/>
  <c r="G35" i="48"/>
  <c r="H18" i="48"/>
  <c r="M18" i="48" s="1"/>
  <c r="H17" i="48"/>
  <c r="N17" i="48" s="1"/>
  <c r="H16" i="48"/>
  <c r="N16" i="48" s="1"/>
  <c r="H15" i="48"/>
  <c r="N15" i="48" s="1"/>
  <c r="H14" i="48"/>
  <c r="N14" i="48" s="1"/>
  <c r="H13" i="48"/>
  <c r="N13" i="48" s="1"/>
  <c r="H12" i="48"/>
  <c r="M12" i="48" s="1"/>
  <c r="H11" i="48"/>
  <c r="J11" i="48" s="1"/>
  <c r="J12" i="48" s="1"/>
  <c r="J13" i="48" s="1"/>
  <c r="J14" i="48" s="1"/>
  <c r="J15" i="48" s="1"/>
  <c r="J16" i="48" s="1"/>
  <c r="J17" i="48" s="1"/>
  <c r="J18" i="48" s="1"/>
  <c r="C10" i="48"/>
  <c r="C16" i="48"/>
  <c r="C11" i="48" s="1"/>
  <c r="D11" i="48" s="1"/>
  <c r="C13" i="48" s="1"/>
  <c r="F70" i="46"/>
  <c r="F69" i="46"/>
  <c r="F63" i="46"/>
  <c r="F61" i="46"/>
  <c r="F60" i="46"/>
  <c r="F59" i="46"/>
  <c r="F72" i="45"/>
  <c r="F71" i="45"/>
  <c r="F65" i="45"/>
  <c r="F63" i="45"/>
  <c r="F62" i="45"/>
  <c r="F61" i="45"/>
  <c r="K22" i="54" l="1"/>
  <c r="F24" i="54"/>
  <c r="G24" i="54" s="1"/>
  <c r="K19" i="53"/>
  <c r="F21" i="53"/>
  <c r="G21" i="53" s="1"/>
  <c r="K20" i="53"/>
  <c r="K11" i="52"/>
  <c r="F13" i="52"/>
  <c r="G13" i="52" s="1"/>
  <c r="G14" i="51"/>
  <c r="F15" i="51" s="1"/>
  <c r="G15" i="51" s="1"/>
  <c r="F16" i="51" s="1"/>
  <c r="G16" i="51" s="1"/>
  <c r="K14" i="51"/>
  <c r="J54" i="50"/>
  <c r="K54" i="50" s="1"/>
  <c r="L54" i="50"/>
  <c r="M54" i="50" s="1"/>
  <c r="M60" i="50" s="1"/>
  <c r="G47" i="50" s="1"/>
  <c r="K60" i="50"/>
  <c r="G46" i="50" s="1"/>
  <c r="H60" i="50"/>
  <c r="M12" i="50"/>
  <c r="M13" i="50"/>
  <c r="M14" i="50"/>
  <c r="M15" i="50"/>
  <c r="M16" i="50"/>
  <c r="M17" i="50"/>
  <c r="M18" i="50"/>
  <c r="J12" i="50"/>
  <c r="J13" i="50" s="1"/>
  <c r="J14" i="50" s="1"/>
  <c r="J15" i="50" s="1"/>
  <c r="J16" i="50" s="1"/>
  <c r="J17" i="50" s="1"/>
  <c r="J18" i="50" s="1"/>
  <c r="N12" i="50"/>
  <c r="C15" i="50"/>
  <c r="C16" i="50" s="1"/>
  <c r="F12" i="50" s="1"/>
  <c r="C13" i="50"/>
  <c r="AA70" i="49"/>
  <c r="AA69" i="49"/>
  <c r="AC52" i="49"/>
  <c r="AD52" i="49" s="1"/>
  <c r="AE52" i="49"/>
  <c r="AF52" i="49" s="1"/>
  <c r="AC56" i="49"/>
  <c r="AD56" i="49" s="1"/>
  <c r="AE56" i="49"/>
  <c r="AF56" i="49" s="1"/>
  <c r="AC53" i="49"/>
  <c r="AD53" i="49" s="1"/>
  <c r="AE53" i="49"/>
  <c r="AF53" i="49" s="1"/>
  <c r="AC57" i="49"/>
  <c r="AD57" i="49" s="1"/>
  <c r="AE57" i="49"/>
  <c r="AF57" i="49" s="1"/>
  <c r="AC54" i="49"/>
  <c r="AD54" i="49" s="1"/>
  <c r="AE54" i="49"/>
  <c r="AF54" i="49" s="1"/>
  <c r="AC58" i="49"/>
  <c r="AD58" i="49" s="1"/>
  <c r="AE58" i="49"/>
  <c r="AF58" i="49" s="1"/>
  <c r="AC55" i="49"/>
  <c r="AD55" i="49" s="1"/>
  <c r="AE55" i="49"/>
  <c r="AF55" i="49" s="1"/>
  <c r="AC59" i="49"/>
  <c r="AD59" i="49" s="1"/>
  <c r="AE59" i="49"/>
  <c r="AF59" i="49" s="1"/>
  <c r="Y60" i="49"/>
  <c r="AA52" i="49"/>
  <c r="AA53" i="49"/>
  <c r="AA54" i="49"/>
  <c r="AA55" i="49"/>
  <c r="AA56" i="49"/>
  <c r="AA57" i="49"/>
  <c r="AA58" i="49"/>
  <c r="AA59" i="49"/>
  <c r="Z24" i="49"/>
  <c r="AG15" i="49"/>
  <c r="AG14" i="49"/>
  <c r="AF13" i="49"/>
  <c r="AA20" i="49"/>
  <c r="AF12" i="49"/>
  <c r="AG12" i="49"/>
  <c r="AC12" i="49"/>
  <c r="AC13" i="49" s="1"/>
  <c r="AC14" i="49" s="1"/>
  <c r="AC15" i="49" s="1"/>
  <c r="AC16" i="49" s="1"/>
  <c r="AC17" i="49" s="1"/>
  <c r="AC18" i="49" s="1"/>
  <c r="AC19" i="49" s="1"/>
  <c r="AB12" i="49"/>
  <c r="V15" i="49"/>
  <c r="V16" i="49" s="1"/>
  <c r="Y13" i="49" s="1"/>
  <c r="V13" i="49"/>
  <c r="AG13" i="49"/>
  <c r="AF14" i="49"/>
  <c r="AB17" i="49"/>
  <c r="AB18" i="49"/>
  <c r="AB19" i="49"/>
  <c r="AF15" i="49"/>
  <c r="AB16" i="49"/>
  <c r="AF16" i="49"/>
  <c r="AF17" i="49"/>
  <c r="AF18" i="49"/>
  <c r="AF19" i="49"/>
  <c r="G32" i="49"/>
  <c r="G25" i="49"/>
  <c r="I20" i="49"/>
  <c r="I19" i="49"/>
  <c r="I18" i="49"/>
  <c r="N16" i="49"/>
  <c r="N14" i="49"/>
  <c r="M14" i="49"/>
  <c r="H21" i="49"/>
  <c r="M13" i="49"/>
  <c r="J13" i="49"/>
  <c r="J14" i="49" s="1"/>
  <c r="J15" i="49" s="1"/>
  <c r="J16" i="49" s="1"/>
  <c r="J17" i="49" s="1"/>
  <c r="J18" i="49" s="1"/>
  <c r="J19" i="49" s="1"/>
  <c r="J20" i="49" s="1"/>
  <c r="N13" i="49"/>
  <c r="C16" i="49"/>
  <c r="C14" i="49"/>
  <c r="M15" i="49"/>
  <c r="N15" i="49"/>
  <c r="M16" i="49"/>
  <c r="M17" i="49"/>
  <c r="N17" i="49"/>
  <c r="M18" i="49"/>
  <c r="M19" i="49"/>
  <c r="M20" i="49"/>
  <c r="F67" i="48"/>
  <c r="F68" i="48"/>
  <c r="J55" i="48"/>
  <c r="K55" i="48" s="1"/>
  <c r="L55" i="48"/>
  <c r="M55" i="48" s="1"/>
  <c r="J56" i="48"/>
  <c r="K56" i="48" s="1"/>
  <c r="L56" i="48"/>
  <c r="M56" i="48" s="1"/>
  <c r="J51" i="48"/>
  <c r="K51" i="48" s="1"/>
  <c r="L51" i="48"/>
  <c r="M51" i="48" s="1"/>
  <c r="J54" i="48"/>
  <c r="K54" i="48" s="1"/>
  <c r="L54" i="48"/>
  <c r="M54" i="48" s="1"/>
  <c r="J52" i="48"/>
  <c r="K52" i="48" s="1"/>
  <c r="L52" i="48"/>
  <c r="M52" i="48" s="1"/>
  <c r="J53" i="48"/>
  <c r="K53" i="48" s="1"/>
  <c r="L53" i="48"/>
  <c r="M53" i="48" s="1"/>
  <c r="J57" i="48"/>
  <c r="K57" i="48" s="1"/>
  <c r="L57" i="48"/>
  <c r="M57" i="48" s="1"/>
  <c r="J58" i="48"/>
  <c r="K58" i="48" s="1"/>
  <c r="L58" i="48"/>
  <c r="M58" i="48" s="1"/>
  <c r="F59" i="48"/>
  <c r="H51" i="48"/>
  <c r="H52" i="48"/>
  <c r="H53" i="48"/>
  <c r="H54" i="48"/>
  <c r="H55" i="48"/>
  <c r="H56" i="48"/>
  <c r="H57" i="48"/>
  <c r="H58" i="48"/>
  <c r="I13" i="48"/>
  <c r="N18" i="48"/>
  <c r="H19" i="48"/>
  <c r="I12" i="48"/>
  <c r="I11" i="48"/>
  <c r="G21" i="48"/>
  <c r="I18" i="48"/>
  <c r="G22" i="48"/>
  <c r="I17" i="48"/>
  <c r="G24" i="48"/>
  <c r="I16" i="48"/>
  <c r="I15" i="48"/>
  <c r="I14" i="48"/>
  <c r="C14" i="48"/>
  <c r="C15" i="48" s="1"/>
  <c r="C12" i="48"/>
  <c r="N12" i="48"/>
  <c r="M13" i="48"/>
  <c r="M11" i="48"/>
  <c r="N11" i="48"/>
  <c r="N19" i="48" s="1"/>
  <c r="M14" i="48"/>
  <c r="M15" i="48"/>
  <c r="M16" i="48"/>
  <c r="M17" i="48"/>
  <c r="F65" i="46"/>
  <c r="F64" i="46"/>
  <c r="F67" i="45"/>
  <c r="G53" i="46"/>
  <c r="F53" i="46"/>
  <c r="I53" i="46" s="1"/>
  <c r="G52" i="46"/>
  <c r="F52" i="46"/>
  <c r="I52" i="46" s="1"/>
  <c r="G51" i="46"/>
  <c r="F51" i="46"/>
  <c r="I51" i="46" s="1"/>
  <c r="G50" i="46"/>
  <c r="F50" i="46"/>
  <c r="I50" i="46" s="1"/>
  <c r="G49" i="46"/>
  <c r="F49" i="46"/>
  <c r="I49" i="46" s="1"/>
  <c r="G48" i="46"/>
  <c r="F48" i="46"/>
  <c r="I48" i="46" s="1"/>
  <c r="G47" i="46"/>
  <c r="G54" i="46" s="1"/>
  <c r="F47" i="46"/>
  <c r="I47" i="46" s="1"/>
  <c r="G46" i="46"/>
  <c r="F46" i="46"/>
  <c r="G38" i="46"/>
  <c r="G37" i="46"/>
  <c r="G36" i="46"/>
  <c r="G35" i="46"/>
  <c r="G34" i="46"/>
  <c r="G33" i="46"/>
  <c r="G32" i="46"/>
  <c r="K23" i="54" l="1"/>
  <c r="F25" i="54"/>
  <c r="G25" i="54" s="1"/>
  <c r="F22" i="53"/>
  <c r="G22" i="53" s="1"/>
  <c r="K12" i="52"/>
  <c r="F14" i="52"/>
  <c r="G14" i="52" s="1"/>
  <c r="K15" i="51"/>
  <c r="F17" i="51"/>
  <c r="G17" i="51" s="1"/>
  <c r="F13" i="50"/>
  <c r="AA60" i="49"/>
  <c r="AF60" i="49"/>
  <c r="Z47" i="49" s="1"/>
  <c r="AD60" i="49"/>
  <c r="Z46" i="49" s="1"/>
  <c r="AG20" i="49"/>
  <c r="AF20" i="49"/>
  <c r="Z27" i="49" s="1"/>
  <c r="Y14" i="49"/>
  <c r="AD12" i="49"/>
  <c r="N21" i="49"/>
  <c r="M21" i="49"/>
  <c r="C17" i="49"/>
  <c r="F13" i="49" s="1"/>
  <c r="G13" i="49" s="1"/>
  <c r="M59" i="48"/>
  <c r="K59" i="48"/>
  <c r="H59" i="48"/>
  <c r="M19" i="48"/>
  <c r="F11" i="48"/>
  <c r="G11" i="48" s="1"/>
  <c r="F12" i="48" s="1"/>
  <c r="G12" i="48" s="1"/>
  <c r="F13" i="48" s="1"/>
  <c r="G13" i="48" s="1"/>
  <c r="G29" i="48"/>
  <c r="K11" i="48"/>
  <c r="F66" i="45"/>
  <c r="J51" i="46"/>
  <c r="K51" i="46" s="1"/>
  <c r="L51" i="46"/>
  <c r="M51" i="46" s="1"/>
  <c r="J47" i="46"/>
  <c r="K47" i="46" s="1"/>
  <c r="K54" i="46" s="1"/>
  <c r="G41" i="46" s="1"/>
  <c r="L47" i="46"/>
  <c r="J50" i="46"/>
  <c r="K50" i="46" s="1"/>
  <c r="L50" i="46"/>
  <c r="M50" i="46" s="1"/>
  <c r="J48" i="46"/>
  <c r="K48" i="46" s="1"/>
  <c r="L48" i="46"/>
  <c r="M48" i="46" s="1"/>
  <c r="J52" i="46"/>
  <c r="K52" i="46" s="1"/>
  <c r="L52" i="46"/>
  <c r="M52" i="46" s="1"/>
  <c r="J49" i="46"/>
  <c r="K49" i="46" s="1"/>
  <c r="L49" i="46"/>
  <c r="M49" i="46" s="1"/>
  <c r="J53" i="46"/>
  <c r="K53" i="46" s="1"/>
  <c r="L53" i="46"/>
  <c r="M53" i="46" s="1"/>
  <c r="F54" i="46"/>
  <c r="H47" i="46"/>
  <c r="H48" i="46"/>
  <c r="H49" i="46"/>
  <c r="H50" i="46"/>
  <c r="H51" i="46"/>
  <c r="H52" i="46"/>
  <c r="H53" i="46"/>
  <c r="G26" i="46"/>
  <c r="G28" i="46" s="1"/>
  <c r="G23" i="46"/>
  <c r="G22" i="46"/>
  <c r="G21" i="46"/>
  <c r="G19" i="46"/>
  <c r="G18" i="46"/>
  <c r="G20" i="46" s="1"/>
  <c r="H15" i="46"/>
  <c r="N15" i="46" s="1"/>
  <c r="H14" i="46"/>
  <c r="N14" i="46" s="1"/>
  <c r="H13" i="46"/>
  <c r="N13" i="46" s="1"/>
  <c r="H12" i="46"/>
  <c r="N12" i="46" s="1"/>
  <c r="H11" i="46"/>
  <c r="N11" i="46" s="1"/>
  <c r="H10" i="46"/>
  <c r="N10" i="46" s="1"/>
  <c r="H9" i="46"/>
  <c r="G9" i="46"/>
  <c r="F9" i="46"/>
  <c r="D9" i="46"/>
  <c r="C14" i="46"/>
  <c r="C8" i="46"/>
  <c r="C9" i="46"/>
  <c r="G42" i="45"/>
  <c r="G41" i="45"/>
  <c r="M54" i="45"/>
  <c r="L54" i="45"/>
  <c r="K54" i="45"/>
  <c r="I48" i="45"/>
  <c r="I49" i="45"/>
  <c r="I50" i="45"/>
  <c r="I51" i="45"/>
  <c r="I52" i="45"/>
  <c r="I53" i="45"/>
  <c r="I47" i="45"/>
  <c r="H54" i="45"/>
  <c r="G54" i="45"/>
  <c r="F54" i="45"/>
  <c r="G47" i="45"/>
  <c r="G48" i="45"/>
  <c r="G49" i="45"/>
  <c r="G50" i="45"/>
  <c r="G51" i="45"/>
  <c r="G52" i="45"/>
  <c r="G53" i="45"/>
  <c r="G46" i="45"/>
  <c r="F47" i="45"/>
  <c r="F48" i="45"/>
  <c r="F49" i="45"/>
  <c r="F50" i="45"/>
  <c r="F51" i="45"/>
  <c r="F52" i="45"/>
  <c r="F53" i="45"/>
  <c r="F46" i="45"/>
  <c r="H50" i="45"/>
  <c r="K13" i="45"/>
  <c r="G33" i="45"/>
  <c r="H15" i="45"/>
  <c r="N15" i="45" s="1"/>
  <c r="H14" i="45"/>
  <c r="N14" i="45" s="1"/>
  <c r="H13" i="45"/>
  <c r="I13" i="45" s="1"/>
  <c r="H12" i="45"/>
  <c r="N12" i="45" s="1"/>
  <c r="H11" i="45"/>
  <c r="I11" i="45" s="1"/>
  <c r="H10" i="45"/>
  <c r="M10" i="45" s="1"/>
  <c r="H9" i="45"/>
  <c r="N9" i="45" s="1"/>
  <c r="C14" i="45"/>
  <c r="G21" i="45" s="1"/>
  <c r="C8" i="45"/>
  <c r="K24" i="54" l="1"/>
  <c r="K25" i="54"/>
  <c r="K21" i="53"/>
  <c r="F23" i="53"/>
  <c r="G23" i="53" s="1"/>
  <c r="K13" i="52"/>
  <c r="K14" i="52"/>
  <c r="K16" i="51"/>
  <c r="F18" i="51"/>
  <c r="G18" i="51" s="1"/>
  <c r="G13" i="50"/>
  <c r="F14" i="50" s="1"/>
  <c r="G14" i="50" s="1"/>
  <c r="K12" i="50"/>
  <c r="Z30" i="49"/>
  <c r="Z32" i="49" s="1"/>
  <c r="AD13" i="49"/>
  <c r="Y15" i="49"/>
  <c r="Z15" i="49" s="1"/>
  <c r="K12" i="48"/>
  <c r="F14" i="48"/>
  <c r="H54" i="46"/>
  <c r="L54" i="46"/>
  <c r="M47" i="46"/>
  <c r="M54" i="46" s="1"/>
  <c r="G42" i="46" s="1"/>
  <c r="G27" i="46"/>
  <c r="H16" i="46"/>
  <c r="I9" i="46"/>
  <c r="I10" i="46"/>
  <c r="I11" i="46"/>
  <c r="I12" i="46"/>
  <c r="I13" i="46"/>
  <c r="I14" i="46"/>
  <c r="I15" i="46"/>
  <c r="J9" i="46"/>
  <c r="J10" i="46" s="1"/>
  <c r="J11" i="46" s="1"/>
  <c r="J12" i="46" s="1"/>
  <c r="J13" i="46" s="1"/>
  <c r="J14" i="46" s="1"/>
  <c r="J15" i="46" s="1"/>
  <c r="M10" i="46"/>
  <c r="M11" i="46"/>
  <c r="M12" i="46"/>
  <c r="M13" i="46"/>
  <c r="M14" i="46"/>
  <c r="M15" i="46"/>
  <c r="M9" i="46"/>
  <c r="N9" i="46"/>
  <c r="N16" i="46" s="1"/>
  <c r="C10" i="46"/>
  <c r="C11" i="46" s="1"/>
  <c r="C12" i="46" s="1"/>
  <c r="C13" i="46" s="1"/>
  <c r="F10" i="46" s="1"/>
  <c r="G10" i="46" s="1"/>
  <c r="F11" i="46" s="1"/>
  <c r="J47" i="45"/>
  <c r="K47" i="45" s="1"/>
  <c r="L47" i="45"/>
  <c r="M47" i="45" s="1"/>
  <c r="J51" i="45"/>
  <c r="K51" i="45" s="1"/>
  <c r="L51" i="45"/>
  <c r="M51" i="45" s="1"/>
  <c r="J52" i="45"/>
  <c r="K52" i="45" s="1"/>
  <c r="L52" i="45"/>
  <c r="M52" i="45" s="1"/>
  <c r="J48" i="45"/>
  <c r="K48" i="45" s="1"/>
  <c r="L48" i="45"/>
  <c r="M48" i="45" s="1"/>
  <c r="J49" i="45"/>
  <c r="K49" i="45" s="1"/>
  <c r="L49" i="45"/>
  <c r="M49" i="45" s="1"/>
  <c r="J53" i="45"/>
  <c r="K53" i="45" s="1"/>
  <c r="L53" i="45"/>
  <c r="M53" i="45" s="1"/>
  <c r="H47" i="45"/>
  <c r="H48" i="45"/>
  <c r="H49" i="45"/>
  <c r="H51" i="45"/>
  <c r="H52" i="45"/>
  <c r="H53" i="45"/>
  <c r="G32" i="45"/>
  <c r="G38" i="45"/>
  <c r="G37" i="45"/>
  <c r="G36" i="45"/>
  <c r="G35" i="45"/>
  <c r="G34" i="45"/>
  <c r="N10" i="45"/>
  <c r="N16" i="45" s="1"/>
  <c r="M13" i="45"/>
  <c r="I9" i="45"/>
  <c r="C9" i="45"/>
  <c r="D9" i="45" s="1"/>
  <c r="C10" i="45" s="1"/>
  <c r="D10" i="45" s="1"/>
  <c r="H16" i="45"/>
  <c r="N13" i="45"/>
  <c r="I15" i="45"/>
  <c r="G18" i="45"/>
  <c r="J9" i="45"/>
  <c r="J10" i="45" s="1"/>
  <c r="J11" i="45" s="1"/>
  <c r="J12" i="45" s="1"/>
  <c r="J13" i="45" s="1"/>
  <c r="J14" i="45" s="1"/>
  <c r="J15" i="45" s="1"/>
  <c r="M11" i="45"/>
  <c r="I14" i="45"/>
  <c r="G19" i="45"/>
  <c r="N11" i="45"/>
  <c r="M14" i="45"/>
  <c r="M9" i="45"/>
  <c r="I12" i="45"/>
  <c r="M12" i="45"/>
  <c r="M15" i="45"/>
  <c r="I10" i="45"/>
  <c r="E78" i="44"/>
  <c r="E77" i="44"/>
  <c r="E71" i="44"/>
  <c r="E69" i="44"/>
  <c r="E68" i="44"/>
  <c r="E67" i="44"/>
  <c r="E73" i="44" s="1"/>
  <c r="G53" i="44"/>
  <c r="F53" i="44"/>
  <c r="K23" i="53" l="1"/>
  <c r="K22" i="53"/>
  <c r="K17" i="51"/>
  <c r="F19" i="51"/>
  <c r="G19" i="51" s="1"/>
  <c r="K14" i="50"/>
  <c r="K13" i="50"/>
  <c r="F15" i="50"/>
  <c r="Z31" i="49"/>
  <c r="AD14" i="49"/>
  <c r="Y16" i="49"/>
  <c r="Z16" i="49" s="1"/>
  <c r="F14" i="49"/>
  <c r="G14" i="49" s="1"/>
  <c r="K13" i="49"/>
  <c r="G14" i="48"/>
  <c r="G25" i="48"/>
  <c r="G23" i="48"/>
  <c r="K13" i="48"/>
  <c r="F15" i="48"/>
  <c r="G15" i="48" s="1"/>
  <c r="K9" i="46"/>
  <c r="K10" i="46"/>
  <c r="M16" i="46"/>
  <c r="G11" i="46"/>
  <c r="F12" i="46" s="1"/>
  <c r="J50" i="45"/>
  <c r="K50" i="45" s="1"/>
  <c r="L50" i="45"/>
  <c r="M50" i="45" s="1"/>
  <c r="M16" i="45"/>
  <c r="G26" i="45" s="1"/>
  <c r="C11" i="45"/>
  <c r="C12" i="45" s="1"/>
  <c r="C13" i="45" s="1"/>
  <c r="F9" i="45" s="1"/>
  <c r="E72" i="44"/>
  <c r="K18" i="51" l="1"/>
  <c r="K19" i="51"/>
  <c r="G15" i="50"/>
  <c r="K15" i="50" s="1"/>
  <c r="AD15" i="49"/>
  <c r="Y17" i="49"/>
  <c r="Z17" i="49" s="1"/>
  <c r="F15" i="49"/>
  <c r="G15" i="49" s="1"/>
  <c r="K14" i="48"/>
  <c r="G26" i="48" s="1"/>
  <c r="F16" i="48"/>
  <c r="G16" i="48" s="1"/>
  <c r="K11" i="46"/>
  <c r="G12" i="46"/>
  <c r="F13" i="46" s="1"/>
  <c r="G9" i="45"/>
  <c r="F10" i="45" s="1"/>
  <c r="C17" i="44"/>
  <c r="H19" i="44"/>
  <c r="N19" i="44" s="1"/>
  <c r="H18" i="44"/>
  <c r="N18" i="44" s="1"/>
  <c r="H17" i="44"/>
  <c r="N17" i="44" s="1"/>
  <c r="H16" i="44"/>
  <c r="H15" i="44"/>
  <c r="G23" i="44" s="1"/>
  <c r="H14" i="44"/>
  <c r="H13" i="44"/>
  <c r="H12" i="44"/>
  <c r="C12" i="44"/>
  <c r="D12" i="44" s="1"/>
  <c r="C11" i="44"/>
  <c r="F16" i="50" l="1"/>
  <c r="AD16" i="49"/>
  <c r="Y18" i="49"/>
  <c r="Z18" i="49" s="1"/>
  <c r="F16" i="49"/>
  <c r="K14" i="49"/>
  <c r="G31" i="48"/>
  <c r="G30" i="48"/>
  <c r="K15" i="48"/>
  <c r="F17" i="48"/>
  <c r="K12" i="46"/>
  <c r="G13" i="46"/>
  <c r="F14" i="46" s="1"/>
  <c r="G10" i="45"/>
  <c r="F11" i="45" s="1"/>
  <c r="K9" i="45"/>
  <c r="C13" i="44"/>
  <c r="D13" i="44" s="1"/>
  <c r="C14" i="44" s="1"/>
  <c r="C15" i="44" s="1"/>
  <c r="C16" i="44" s="1"/>
  <c r="F12" i="44" s="1"/>
  <c r="I12" i="44"/>
  <c r="G54" i="44"/>
  <c r="G62" i="44" s="1"/>
  <c r="H20" i="44"/>
  <c r="M12" i="44"/>
  <c r="N12" i="44"/>
  <c r="G55" i="44"/>
  <c r="I13" i="44"/>
  <c r="G22" i="44"/>
  <c r="M19" i="44"/>
  <c r="G56" i="44"/>
  <c r="I14" i="44"/>
  <c r="M18" i="44"/>
  <c r="I15" i="44"/>
  <c r="G57" i="44"/>
  <c r="M17" i="44"/>
  <c r="G58" i="44"/>
  <c r="I16" i="44"/>
  <c r="M16" i="44"/>
  <c r="N16" i="44"/>
  <c r="G59" i="44"/>
  <c r="I17" i="44"/>
  <c r="J12" i="44"/>
  <c r="J13" i="44" s="1"/>
  <c r="J14" i="44" s="1"/>
  <c r="J15" i="44" s="1"/>
  <c r="J16" i="44" s="1"/>
  <c r="J17" i="44" s="1"/>
  <c r="J18" i="44" s="1"/>
  <c r="J19" i="44" s="1"/>
  <c r="M15" i="44"/>
  <c r="N15" i="44"/>
  <c r="G60" i="44"/>
  <c r="I18" i="44"/>
  <c r="M14" i="44"/>
  <c r="N14" i="44"/>
  <c r="I19" i="44"/>
  <c r="G61" i="44"/>
  <c r="G25" i="44"/>
  <c r="M13" i="44"/>
  <c r="N13" i="44"/>
  <c r="C16" i="37"/>
  <c r="F14" i="37"/>
  <c r="F13" i="37"/>
  <c r="F12" i="37"/>
  <c r="F11" i="37"/>
  <c r="F10" i="37"/>
  <c r="C26" i="36"/>
  <c r="G16" i="50" l="1"/>
  <c r="F17" i="50" s="1"/>
  <c r="AD17" i="49"/>
  <c r="Y19" i="49"/>
  <c r="Z19" i="49" s="1"/>
  <c r="G16" i="49"/>
  <c r="K16" i="49" s="1"/>
  <c r="K15" i="49"/>
  <c r="G17" i="48"/>
  <c r="F18" i="48" s="1"/>
  <c r="K16" i="48"/>
  <c r="K13" i="46"/>
  <c r="G14" i="46"/>
  <c r="F15" i="46" s="1"/>
  <c r="K10" i="45"/>
  <c r="G11" i="45"/>
  <c r="F12" i="45" s="1"/>
  <c r="N20" i="44"/>
  <c r="M20" i="44"/>
  <c r="G12" i="44"/>
  <c r="F13" i="44" s="1"/>
  <c r="K12" i="44"/>
  <c r="F54" i="44" s="1"/>
  <c r="C16" i="35"/>
  <c r="G17" i="50" l="1"/>
  <c r="F18" i="50" s="1"/>
  <c r="K16" i="50"/>
  <c r="AD19" i="49"/>
  <c r="AD18" i="49"/>
  <c r="F17" i="49"/>
  <c r="G18" i="48"/>
  <c r="K18" i="48"/>
  <c r="K17" i="48"/>
  <c r="K14" i="46"/>
  <c r="G15" i="46"/>
  <c r="K15" i="46" s="1"/>
  <c r="K11" i="45"/>
  <c r="G22" i="45"/>
  <c r="G20" i="45"/>
  <c r="G12" i="45"/>
  <c r="F13" i="45" s="1"/>
  <c r="H54" i="44"/>
  <c r="G13" i="44"/>
  <c r="F14" i="44" s="1"/>
  <c r="G30" i="44"/>
  <c r="C25" i="36"/>
  <c r="C27" i="36"/>
  <c r="D18" i="36" s="1"/>
  <c r="E18" i="36" s="1"/>
  <c r="F18" i="36" s="1"/>
  <c r="K17" i="50" l="1"/>
  <c r="G18" i="50"/>
  <c r="K18" i="50" s="1"/>
  <c r="G17" i="49"/>
  <c r="F18" i="49" s="1"/>
  <c r="G13" i="45"/>
  <c r="F14" i="45" s="1"/>
  <c r="K12" i="45"/>
  <c r="G23" i="45" s="1"/>
  <c r="K13" i="44"/>
  <c r="F55" i="44" s="1"/>
  <c r="G14" i="44"/>
  <c r="F15" i="44" s="1"/>
  <c r="D23" i="36"/>
  <c r="E23" i="36" s="1"/>
  <c r="F23" i="36" s="1"/>
  <c r="D22" i="36"/>
  <c r="E22" i="36" s="1"/>
  <c r="F22" i="36" s="1"/>
  <c r="D17" i="36"/>
  <c r="E17" i="36" s="1"/>
  <c r="F17" i="36" s="1"/>
  <c r="D24" i="36"/>
  <c r="E24" i="36" s="1"/>
  <c r="F24" i="36" s="1"/>
  <c r="D21" i="36"/>
  <c r="E21" i="36" s="1"/>
  <c r="F21" i="36" s="1"/>
  <c r="D20" i="36"/>
  <c r="E20" i="36" s="1"/>
  <c r="F20" i="36" s="1"/>
  <c r="D19" i="36"/>
  <c r="E19" i="36" s="1"/>
  <c r="F19" i="36" s="1"/>
  <c r="B9" i="43"/>
  <c r="C8" i="43"/>
  <c r="D8" i="43" s="1"/>
  <c r="F7" i="43"/>
  <c r="C7" i="43"/>
  <c r="D7" i="43" s="1"/>
  <c r="F6" i="43"/>
  <c r="C6" i="43"/>
  <c r="D6" i="43" s="1"/>
  <c r="E6" i="43" s="1"/>
  <c r="G6" i="43" s="1"/>
  <c r="F5" i="43"/>
  <c r="G5" i="43" s="1"/>
  <c r="C5" i="43"/>
  <c r="D5" i="43" s="1"/>
  <c r="F4" i="43"/>
  <c r="G4" i="43" s="1"/>
  <c r="C4" i="43"/>
  <c r="D4" i="43" s="1"/>
  <c r="F3" i="43"/>
  <c r="G3" i="43" s="1"/>
  <c r="C3" i="43"/>
  <c r="D3" i="43" s="1"/>
  <c r="F32" i="42"/>
  <c r="B29" i="42"/>
  <c r="B28" i="42"/>
  <c r="B27" i="42"/>
  <c r="B26" i="42"/>
  <c r="B25" i="42"/>
  <c r="D18" i="42"/>
  <c r="H17" i="42"/>
  <c r="G17" i="42"/>
  <c r="H16" i="42"/>
  <c r="G16" i="42"/>
  <c r="H15" i="42"/>
  <c r="G15" i="42"/>
  <c r="H14" i="42"/>
  <c r="G14" i="42"/>
  <c r="H13" i="42"/>
  <c r="G13" i="42"/>
  <c r="H12" i="42"/>
  <c r="G12" i="42"/>
  <c r="H11" i="42"/>
  <c r="G11" i="42"/>
  <c r="G18" i="42" s="1"/>
  <c r="C11" i="42"/>
  <c r="D6" i="42"/>
  <c r="D7" i="42" s="1"/>
  <c r="F10" i="41"/>
  <c r="C10" i="41"/>
  <c r="C9" i="41"/>
  <c r="D10" i="41" s="1"/>
  <c r="E13" i="40"/>
  <c r="G13" i="40" s="1"/>
  <c r="D13" i="40"/>
  <c r="E12" i="40"/>
  <c r="G12" i="40" s="1"/>
  <c r="D12" i="40"/>
  <c r="E11" i="40"/>
  <c r="G11" i="40" s="1"/>
  <c r="G14" i="40" s="1"/>
  <c r="D11" i="40"/>
  <c r="D12" i="39"/>
  <c r="D13" i="39" s="1"/>
  <c r="H11" i="39"/>
  <c r="G11" i="39"/>
  <c r="H10" i="39"/>
  <c r="G10" i="39"/>
  <c r="H9" i="39"/>
  <c r="G9" i="39"/>
  <c r="B31" i="39"/>
  <c r="H8" i="39"/>
  <c r="G8" i="39"/>
  <c r="B30" i="39"/>
  <c r="H7" i="39"/>
  <c r="G7" i="39"/>
  <c r="B29" i="39"/>
  <c r="H6" i="39"/>
  <c r="G6" i="39"/>
  <c r="B28" i="39"/>
  <c r="H5" i="39"/>
  <c r="G5" i="39"/>
  <c r="E5" i="39"/>
  <c r="C5" i="39"/>
  <c r="B6" i="39" s="1"/>
  <c r="C6" i="39" s="1"/>
  <c r="F12" i="38"/>
  <c r="G12" i="38" s="1"/>
  <c r="D12" i="38"/>
  <c r="H12" i="38" s="1"/>
  <c r="I8" i="38"/>
  <c r="I6" i="38"/>
  <c r="I5" i="38"/>
  <c r="I7" i="38" s="1"/>
  <c r="J8" i="38" s="1"/>
  <c r="D10" i="37"/>
  <c r="D11" i="37" s="1"/>
  <c r="C15" i="35"/>
  <c r="D14" i="35"/>
  <c r="E14" i="35" s="1"/>
  <c r="F14" i="35" s="1"/>
  <c r="D13" i="35"/>
  <c r="E13" i="35" s="1"/>
  <c r="F13" i="35" s="1"/>
  <c r="D12" i="35"/>
  <c r="E12" i="35" s="1"/>
  <c r="F12" i="35" s="1"/>
  <c r="D11" i="35"/>
  <c r="E11" i="35" s="1"/>
  <c r="F11" i="35" s="1"/>
  <c r="D10" i="35"/>
  <c r="E10" i="35" s="1"/>
  <c r="F10" i="35" s="1"/>
  <c r="D9" i="35"/>
  <c r="E9" i="35" s="1"/>
  <c r="F9" i="35" s="1"/>
  <c r="D7" i="34"/>
  <c r="E5" i="34" s="1"/>
  <c r="D11" i="30"/>
  <c r="D12" i="30" s="1"/>
  <c r="D13" i="30" s="1"/>
  <c r="D14" i="30" s="1"/>
  <c r="D15" i="30" s="1"/>
  <c r="D16" i="30" s="1"/>
  <c r="C9" i="30"/>
  <c r="D7" i="30" s="1"/>
  <c r="D10" i="29"/>
  <c r="D11" i="29" s="1"/>
  <c r="D12" i="29" s="1"/>
  <c r="D13" i="29" s="1"/>
  <c r="D14" i="29" s="1"/>
  <c r="B11" i="28"/>
  <c r="B10" i="28"/>
  <c r="B9" i="28"/>
  <c r="B12" i="28" s="1"/>
  <c r="C11" i="28" s="1"/>
  <c r="B6" i="28"/>
  <c r="C3" i="28" s="1"/>
  <c r="B5" i="28"/>
  <c r="B4" i="28"/>
  <c r="B3" i="28"/>
  <c r="B2" i="28"/>
  <c r="H18" i="42" l="1"/>
  <c r="E3" i="34"/>
  <c r="F3" i="34" s="1"/>
  <c r="E4" i="34"/>
  <c r="E6" i="34"/>
  <c r="C4" i="28"/>
  <c r="C5" i="28"/>
  <c r="C2" i="28"/>
  <c r="D2" i="28" s="1"/>
  <c r="D3" i="28" s="1"/>
  <c r="D4" i="28" s="1"/>
  <c r="D5" i="28" s="1"/>
  <c r="G18" i="49"/>
  <c r="F19" i="49" s="1"/>
  <c r="K17" i="49"/>
  <c r="G27" i="45"/>
  <c r="G28" i="45"/>
  <c r="G14" i="45"/>
  <c r="F15" i="45" s="1"/>
  <c r="G15" i="44"/>
  <c r="F16" i="44" s="1"/>
  <c r="G24" i="44"/>
  <c r="G26" i="44"/>
  <c r="K14" i="44"/>
  <c r="F56" i="44" s="1"/>
  <c r="H55" i="44"/>
  <c r="H12" i="39"/>
  <c r="G12" i="39"/>
  <c r="G13" i="39" s="1"/>
  <c r="C13" i="38"/>
  <c r="D13" i="38" s="1"/>
  <c r="F13" i="38"/>
  <c r="F25" i="36"/>
  <c r="G8" i="43"/>
  <c r="E7" i="43"/>
  <c r="G7" i="43" s="1"/>
  <c r="D21" i="42"/>
  <c r="D8" i="42"/>
  <c r="B12" i="42"/>
  <c r="C12" i="42" s="1"/>
  <c r="E11" i="42"/>
  <c r="E9" i="41"/>
  <c r="E10" i="41" s="1"/>
  <c r="G10" i="41" s="1"/>
  <c r="H10" i="41" s="1"/>
  <c r="E6" i="39"/>
  <c r="B7" i="39"/>
  <c r="C7" i="39" s="1"/>
  <c r="I12" i="38"/>
  <c r="C14" i="38"/>
  <c r="D14" i="38" s="1"/>
  <c r="H13" i="38"/>
  <c r="D12" i="37"/>
  <c r="F15" i="35"/>
  <c r="D3" i="30"/>
  <c r="D4" i="30"/>
  <c r="D5" i="30"/>
  <c r="D6" i="30"/>
  <c r="D8" i="30"/>
  <c r="E14" i="29"/>
  <c r="E11" i="29"/>
  <c r="E13" i="29"/>
  <c r="E10" i="29"/>
  <c r="F10" i="29" s="1"/>
  <c r="E12" i="29"/>
  <c r="C10" i="28"/>
  <c r="C9" i="28"/>
  <c r="D9" i="28" s="1"/>
  <c r="F4" i="34" l="1"/>
  <c r="F5" i="34" s="1"/>
  <c r="F6" i="34" s="1"/>
  <c r="D10" i="28"/>
  <c r="D11" i="28" s="1"/>
  <c r="K18" i="49"/>
  <c r="G19" i="49"/>
  <c r="F20" i="49" s="1"/>
  <c r="K14" i="45"/>
  <c r="G15" i="45"/>
  <c r="K15" i="45" s="1"/>
  <c r="H56" i="44"/>
  <c r="K15" i="44"/>
  <c r="G16" i="44"/>
  <c r="F17" i="44" s="1"/>
  <c r="K16" i="44"/>
  <c r="F58" i="44" s="1"/>
  <c r="G13" i="38"/>
  <c r="I13" i="38" s="1"/>
  <c r="F14" i="38"/>
  <c r="E12" i="42"/>
  <c r="B13" i="42"/>
  <c r="C13" i="42" s="1"/>
  <c r="E7" i="39"/>
  <c r="B8" i="39"/>
  <c r="C8" i="39" s="1"/>
  <c r="C15" i="38"/>
  <c r="D15" i="38" s="1"/>
  <c r="H14" i="38"/>
  <c r="D13" i="37"/>
  <c r="F11" i="29"/>
  <c r="F12" i="29" s="1"/>
  <c r="F13" i="29" s="1"/>
  <c r="F14" i="29" s="1"/>
  <c r="K19" i="49" l="1"/>
  <c r="G20" i="49"/>
  <c r="K20" i="49" s="1"/>
  <c r="F57" i="44"/>
  <c r="G27" i="44"/>
  <c r="I58" i="44"/>
  <c r="H58" i="44"/>
  <c r="G17" i="44"/>
  <c r="F18" i="44" s="1"/>
  <c r="K17" i="44"/>
  <c r="F59" i="44" s="1"/>
  <c r="F15" i="38"/>
  <c r="G14" i="38"/>
  <c r="I14" i="38" s="1"/>
  <c r="E13" i="42"/>
  <c r="B14" i="42"/>
  <c r="C14" i="42" s="1"/>
  <c r="B9" i="39"/>
  <c r="C9" i="39" s="1"/>
  <c r="E8" i="39"/>
  <c r="D14" i="39" s="1"/>
  <c r="D21" i="39" s="1"/>
  <c r="D15" i="39"/>
  <c r="H15" i="38"/>
  <c r="C16" i="38"/>
  <c r="D16" i="38" s="1"/>
  <c r="H16" i="38" s="1"/>
  <c r="D14" i="37"/>
  <c r="E13" i="37" s="1"/>
  <c r="G13" i="37" s="1"/>
  <c r="J58" i="44" l="1"/>
  <c r="K58" i="44" s="1"/>
  <c r="L58" i="44"/>
  <c r="M58" i="44" s="1"/>
  <c r="H59" i="44"/>
  <c r="I59" i="44"/>
  <c r="G18" i="44"/>
  <c r="F19" i="44" s="1"/>
  <c r="G31" i="44"/>
  <c r="I54" i="44"/>
  <c r="G32" i="44"/>
  <c r="I55" i="44"/>
  <c r="I56" i="44"/>
  <c r="I57" i="44"/>
  <c r="H57" i="44"/>
  <c r="G15" i="38"/>
  <c r="F16" i="38"/>
  <c r="G16" i="38" s="1"/>
  <c r="I16" i="38" s="1"/>
  <c r="I15" i="38"/>
  <c r="E14" i="42"/>
  <c r="D20" i="42" s="1"/>
  <c r="B15" i="42"/>
  <c r="C15" i="42" s="1"/>
  <c r="D33" i="39"/>
  <c r="D19" i="39"/>
  <c r="D18" i="39"/>
  <c r="C18" i="39" s="1"/>
  <c r="I5" i="39" s="1"/>
  <c r="D20" i="39"/>
  <c r="B10" i="39"/>
  <c r="C10" i="39" s="1"/>
  <c r="E9" i="39"/>
  <c r="D22" i="39"/>
  <c r="C22" i="39" s="1"/>
  <c r="I9" i="39" s="1"/>
  <c r="C30" i="39" s="1"/>
  <c r="D30" i="39" s="1"/>
  <c r="E30" i="39" s="1"/>
  <c r="F30" i="39" s="1"/>
  <c r="E14" i="37"/>
  <c r="G14" i="37" s="1"/>
  <c r="C17" i="37"/>
  <c r="E10" i="37"/>
  <c r="G10" i="37" s="1"/>
  <c r="E11" i="37"/>
  <c r="G11" i="37" s="1"/>
  <c r="E12" i="37"/>
  <c r="G12" i="37" s="1"/>
  <c r="J54" i="44" l="1"/>
  <c r="K54" i="44" s="1"/>
  <c r="L54" i="44"/>
  <c r="M54" i="44" s="1"/>
  <c r="K18" i="44"/>
  <c r="F60" i="44" s="1"/>
  <c r="G19" i="44"/>
  <c r="K19" i="44" s="1"/>
  <c r="F61" i="44" s="1"/>
  <c r="J57" i="44"/>
  <c r="K57" i="44" s="1"/>
  <c r="L57" i="44"/>
  <c r="M57" i="44" s="1"/>
  <c r="J59" i="44"/>
  <c r="K59" i="44" s="1"/>
  <c r="L59" i="44"/>
  <c r="M59" i="44" s="1"/>
  <c r="J56" i="44"/>
  <c r="K56" i="44" s="1"/>
  <c r="L56" i="44"/>
  <c r="M56" i="44" s="1"/>
  <c r="J55" i="44"/>
  <c r="K55" i="44" s="1"/>
  <c r="L55" i="44"/>
  <c r="M55" i="44" s="1"/>
  <c r="C20" i="39"/>
  <c r="I7" i="39" s="1"/>
  <c r="I11" i="42"/>
  <c r="J11" i="42" s="1"/>
  <c r="K11" i="42" s="1"/>
  <c r="I12" i="42"/>
  <c r="I13" i="42"/>
  <c r="I15" i="42"/>
  <c r="E15" i="42"/>
  <c r="B16" i="42"/>
  <c r="C16" i="42" s="1"/>
  <c r="I14" i="42"/>
  <c r="D23" i="39"/>
  <c r="C23" i="39" s="1"/>
  <c r="I10" i="39" s="1"/>
  <c r="E10" i="39"/>
  <c r="B11" i="39"/>
  <c r="C11" i="39" s="1"/>
  <c r="C19" i="39"/>
  <c r="I6" i="39" s="1"/>
  <c r="C28" i="39" s="1"/>
  <c r="D28" i="39" s="1"/>
  <c r="E28" i="39" s="1"/>
  <c r="F28" i="39" s="1"/>
  <c r="C21" i="39"/>
  <c r="I8" i="39" s="1"/>
  <c r="C29" i="39" s="1"/>
  <c r="D29" i="39" s="1"/>
  <c r="E29" i="39" s="1"/>
  <c r="F29" i="39" s="1"/>
  <c r="J13" i="42" l="1"/>
  <c r="K13" i="42" s="1"/>
  <c r="C26" i="42" s="1"/>
  <c r="D26" i="42" s="1"/>
  <c r="E26" i="42" s="1"/>
  <c r="F26" i="42" s="1"/>
  <c r="I61" i="44"/>
  <c r="H61" i="44"/>
  <c r="H60" i="44"/>
  <c r="I60" i="44"/>
  <c r="F62" i="44"/>
  <c r="J12" i="42"/>
  <c r="K12" i="42" s="1"/>
  <c r="C25" i="42" s="1"/>
  <c r="D25" i="42" s="1"/>
  <c r="E25" i="42" s="1"/>
  <c r="F25" i="42" s="1"/>
  <c r="I16" i="42"/>
  <c r="J16" i="42" s="1"/>
  <c r="K16" i="42" s="1"/>
  <c r="E16" i="42"/>
  <c r="B17" i="42"/>
  <c r="C17" i="42" s="1"/>
  <c r="J14" i="42"/>
  <c r="K14" i="42" s="1"/>
  <c r="C27" i="42" s="1"/>
  <c r="D27" i="42" s="1"/>
  <c r="E27" i="42" s="1"/>
  <c r="F27" i="42" s="1"/>
  <c r="J15" i="42"/>
  <c r="K15" i="42" s="1"/>
  <c r="C28" i="42" s="1"/>
  <c r="D28" i="42" s="1"/>
  <c r="E28" i="42" s="1"/>
  <c r="F28" i="42" s="1"/>
  <c r="D24" i="39"/>
  <c r="C24" i="39" s="1"/>
  <c r="I11" i="39" s="1"/>
  <c r="C31" i="39" s="1"/>
  <c r="D31" i="39" s="1"/>
  <c r="E31" i="39" s="1"/>
  <c r="F31" i="39" s="1"/>
  <c r="F32" i="39" s="1"/>
  <c r="E11" i="39"/>
  <c r="J60" i="44" l="1"/>
  <c r="K60" i="44" s="1"/>
  <c r="L60" i="44"/>
  <c r="M60" i="44" s="1"/>
  <c r="M62" i="44" s="1"/>
  <c r="G49" i="44" s="1"/>
  <c r="H62" i="44"/>
  <c r="J61" i="44"/>
  <c r="K61" i="44" s="1"/>
  <c r="L61" i="44"/>
  <c r="M61" i="44" s="1"/>
  <c r="I17" i="42"/>
  <c r="J17" i="42" s="1"/>
  <c r="K17" i="42" s="1"/>
  <c r="C29" i="42" s="1"/>
  <c r="D29" i="42" s="1"/>
  <c r="E29" i="42" s="1"/>
  <c r="F29" i="42" s="1"/>
  <c r="F30" i="42" s="1"/>
  <c r="E17" i="42"/>
  <c r="P22" i="4"/>
  <c r="R14" i="4"/>
  <c r="R13" i="4"/>
  <c r="R12" i="4"/>
  <c r="R11" i="4"/>
  <c r="R10" i="4"/>
  <c r="P7" i="4"/>
  <c r="P8" i="4" s="1"/>
  <c r="K62" i="44" l="1"/>
  <c r="G48" i="44" s="1"/>
  <c r="R15" i="4"/>
  <c r="D4" i="31"/>
  <c r="D3" i="31"/>
  <c r="D5" i="31"/>
  <c r="D2" i="31"/>
</calcChain>
</file>

<file path=xl/sharedStrings.xml><?xml version="1.0" encoding="utf-8"?>
<sst xmlns="http://schemas.openxmlformats.org/spreadsheetml/2006/main" count="2015" uniqueCount="635">
  <si>
    <t>Cálculos</t>
  </si>
  <si>
    <t>Disponiblidad tiempo=</t>
  </si>
  <si>
    <t>horas</t>
  </si>
  <si>
    <t>Turnos día</t>
  </si>
  <si>
    <t>turnos</t>
  </si>
  <si>
    <t>Demanda Diaria=</t>
  </si>
  <si>
    <t>unidades</t>
  </si>
  <si>
    <t>Disponibilidad diaria(seg.)=</t>
  </si>
  <si>
    <t>segundos/día</t>
  </si>
  <si>
    <t>Takt Time=</t>
  </si>
  <si>
    <t>segundos/unidad</t>
  </si>
  <si>
    <t>Tiempo de entrega de materiales</t>
  </si>
  <si>
    <t>días</t>
  </si>
  <si>
    <t>Tiempo de entrega WIP entre 1 y 2</t>
  </si>
  <si>
    <t>Tiempo de entrega WIP entre 2 y 3</t>
  </si>
  <si>
    <t>Tiempo de entrega WIP entre 3 y 4</t>
  </si>
  <si>
    <t>Tiempo de entrega WIP entre 4 y 5</t>
  </si>
  <si>
    <t>Tiempo de entrega total=</t>
  </si>
  <si>
    <t>Tiempo de procesamiento (segundos)</t>
  </si>
  <si>
    <t>Formado</t>
  </si>
  <si>
    <t>Perforación</t>
  </si>
  <si>
    <t>Lijado</t>
  </si>
  <si>
    <t>Empaque</t>
  </si>
  <si>
    <t>Tiempo total de proceso</t>
  </si>
  <si>
    <t>A2</t>
  </si>
  <si>
    <t>Problema</t>
  </si>
  <si>
    <t>Reventado de piel</t>
  </si>
  <si>
    <t>Piel Arrugada</t>
  </si>
  <si>
    <t>Falla costura</t>
  </si>
  <si>
    <t>Mal montaje</t>
  </si>
  <si>
    <t>Máquina 3</t>
  </si>
  <si>
    <t>Máquina 2</t>
  </si>
  <si>
    <t>Máquina 1</t>
  </si>
  <si>
    <t>Hoja de Verificación servicio de Restaurante</t>
  </si>
  <si>
    <t>Largo tiempo de espera para entrar</t>
  </si>
  <si>
    <t>IIIIIII</t>
  </si>
  <si>
    <t>Lentitud en el servicio</t>
  </si>
  <si>
    <t>IIIIIIIII</t>
  </si>
  <si>
    <t>Servicio deficiente</t>
  </si>
  <si>
    <t>IIIIIIIIIIIIIIIIIIIIIIIIIIIIII</t>
  </si>
  <si>
    <t>Larga fila para pagar</t>
  </si>
  <si>
    <t>IIIIIIIIIIII</t>
  </si>
  <si>
    <t>Meseros lentos</t>
  </si>
  <si>
    <t>IIIII</t>
  </si>
  <si>
    <t>Lentitud en el servicio para llevar</t>
  </si>
  <si>
    <t>Defecto de Envasado</t>
  </si>
  <si>
    <t>Frecuencia</t>
  </si>
  <si>
    <t>Porcentaje</t>
  </si>
  <si>
    <t>Etiqueta</t>
  </si>
  <si>
    <t>Botella sin vigusa</t>
  </si>
  <si>
    <t>Botella</t>
  </si>
  <si>
    <t>Contraetiqueta</t>
  </si>
  <si>
    <t>Tapa</t>
  </si>
  <si>
    <t>Otros</t>
  </si>
  <si>
    <t>Total</t>
  </si>
  <si>
    <t>Re procesos</t>
  </si>
  <si>
    <t>Precios demasiado altos</t>
  </si>
  <si>
    <t>Larga espera de servicio</t>
  </si>
  <si>
    <t>Factura erronea</t>
  </si>
  <si>
    <t>Causas</t>
  </si>
  <si>
    <t>Nadie recibió la llamada</t>
  </si>
  <si>
    <t>Pasada de llamada erronea</t>
  </si>
  <si>
    <t>Sólo había un operardor</t>
  </si>
  <si>
    <t>La persona no se encontraba</t>
  </si>
  <si>
    <t>Operación</t>
  </si>
  <si>
    <t>ppm Vitamina en fruta</t>
  </si>
  <si>
    <t>ppm perdidos</t>
  </si>
  <si>
    <t>Porcentaje Acumulado</t>
  </si>
  <si>
    <t>Exhausting</t>
  </si>
  <si>
    <t>Pasteurizado</t>
  </si>
  <si>
    <t>Adición de líquido</t>
  </si>
  <si>
    <t>Pelado y corte</t>
  </si>
  <si>
    <t>Ho: Los valores provienen de una población Poisson con media de 3</t>
  </si>
  <si>
    <t>Ha: Los valores NO provienen de una población Poisson con media de 3</t>
  </si>
  <si>
    <t>λ =</t>
  </si>
  <si>
    <t>Clases</t>
  </si>
  <si>
    <t>Llegadas por día</t>
  </si>
  <si>
    <t>Fo</t>
  </si>
  <si>
    <t>Probabilidad</t>
  </si>
  <si>
    <t>Fe</t>
  </si>
  <si>
    <t>((Fo-Fe)ˆ2)/fe</t>
  </si>
  <si>
    <t>Chi calculado</t>
  </si>
  <si>
    <t>Chi tabular</t>
  </si>
  <si>
    <t>Existe suficiente evidencia estadísitca para rechazar la Ho de que los valores provienen de una población Poisson con media de 3</t>
  </si>
  <si>
    <t>Defectos en la pieza</t>
  </si>
  <si>
    <t>Número pieza</t>
  </si>
  <si>
    <t>Chi Cuadrado</t>
  </si>
  <si>
    <t>Número de Clientes</t>
  </si>
  <si>
    <t>Frecuencia Observada</t>
  </si>
  <si>
    <t>Xk</t>
  </si>
  <si>
    <t>d</t>
  </si>
  <si>
    <t>Fo-Fe</t>
  </si>
  <si>
    <t>20 a 30</t>
  </si>
  <si>
    <t>30 a 40</t>
  </si>
  <si>
    <t>40 a 50</t>
  </si>
  <si>
    <t>50 a 60</t>
  </si>
  <si>
    <t>60 a 70</t>
  </si>
  <si>
    <t>gl =</t>
  </si>
  <si>
    <t>μ</t>
  </si>
  <si>
    <t>σ</t>
  </si>
  <si>
    <t>Kolmogorov</t>
  </si>
  <si>
    <t>Fo Acum</t>
  </si>
  <si>
    <t>Fo Acum Rela</t>
  </si>
  <si>
    <t>Fe relativa</t>
  </si>
  <si>
    <t>Dn</t>
  </si>
  <si>
    <t>Dn max</t>
  </si>
  <si>
    <t>dt</t>
  </si>
  <si>
    <t>Datos</t>
  </si>
  <si>
    <t>Min</t>
  </si>
  <si>
    <t>Max</t>
  </si>
  <si>
    <t>Rango</t>
  </si>
  <si>
    <t>Intervalos</t>
  </si>
  <si>
    <t>Intervalo</t>
  </si>
  <si>
    <t>Fo acum</t>
  </si>
  <si>
    <t>P acum</t>
  </si>
  <si>
    <t>P esp acum</t>
  </si>
  <si>
    <t>D</t>
  </si>
  <si>
    <t>dn tab</t>
  </si>
  <si>
    <t>Ho: Los datos siguen un comportamiento con base en una distribución normal</t>
  </si>
  <si>
    <t>Ha: Los datos no siguen un comportamiento con base en una distribución normal</t>
  </si>
  <si>
    <t>Límite de clase</t>
  </si>
  <si>
    <t>foxd</t>
  </si>
  <si>
    <t>foxdª</t>
  </si>
  <si>
    <t>(Fo-Fe)2</t>
  </si>
  <si>
    <t>(Fo-Fe)2/Fe</t>
  </si>
  <si>
    <t>Media muestral</t>
  </si>
  <si>
    <t>Desviación estándar</t>
  </si>
  <si>
    <t>Límite superior</t>
  </si>
  <si>
    <t>Probabilidad puntual</t>
  </si>
  <si>
    <t>Ho = La población es binomial</t>
  </si>
  <si>
    <t>Ha = La población no es binomial</t>
  </si>
  <si>
    <t>n = 10</t>
  </si>
  <si>
    <t>p = 0.05</t>
  </si>
  <si>
    <t>Días de observación</t>
  </si>
  <si>
    <t>Número de Unidades con defecto</t>
  </si>
  <si>
    <t>Probabilidad acumulada</t>
  </si>
  <si>
    <t xml:space="preserve">χ2 </t>
  </si>
  <si>
    <t>2 o más</t>
  </si>
  <si>
    <t>gl = 3-1-0 = 2</t>
  </si>
  <si>
    <t>Chi tabular =</t>
  </si>
  <si>
    <t>Ho: P1 = P2</t>
  </si>
  <si>
    <t>α =</t>
  </si>
  <si>
    <t>Ha: P1 ≠ P2</t>
  </si>
  <si>
    <t>Zt =</t>
  </si>
  <si>
    <t>n1 =</t>
  </si>
  <si>
    <t>n2  =</t>
  </si>
  <si>
    <t>p1 =</t>
  </si>
  <si>
    <t>p2 =</t>
  </si>
  <si>
    <t>p' =</t>
  </si>
  <si>
    <t>q' =</t>
  </si>
  <si>
    <t>Z =</t>
  </si>
  <si>
    <t>0.631 &lt; 1.96</t>
  </si>
  <si>
    <t>Zc &lt; Zt</t>
  </si>
  <si>
    <t>No existe suficiente evidencia estadística para rechazar la Ho de igualdad de porporciones por lo que no se puede afirmar que una máquina sea mejor que otra.</t>
  </si>
  <si>
    <t>k = 1+3.3 log n=</t>
  </si>
  <si>
    <t>R=</t>
  </si>
  <si>
    <t>I=</t>
  </si>
  <si>
    <t>Rp=</t>
  </si>
  <si>
    <t xml:space="preserve">                Intervalos de clase</t>
  </si>
  <si>
    <t>Límite inferior</t>
  </si>
  <si>
    <t>fo</t>
  </si>
  <si>
    <t>fod</t>
  </si>
  <si>
    <t>fod^2</t>
  </si>
  <si>
    <t xml:space="preserve"> Pi Acum</t>
  </si>
  <si>
    <t>Pi</t>
  </si>
  <si>
    <t>fe</t>
  </si>
  <si>
    <t>Media muestral =</t>
  </si>
  <si>
    <t>(Fo-Fe)^2</t>
  </si>
  <si>
    <t>Chi tab =</t>
  </si>
  <si>
    <t>α</t>
  </si>
  <si>
    <t>p</t>
  </si>
  <si>
    <t>Número de defectuosos por día</t>
  </si>
  <si>
    <t>Frecuencia del número de defectuosos</t>
  </si>
  <si>
    <t>Fe esp.</t>
  </si>
  <si>
    <t>Fe esperada</t>
  </si>
  <si>
    <t>(Fo-Fe)^/Fe</t>
  </si>
  <si>
    <t>No existe suficiente evidencia estadística para rechazar la Ho por lo que se asume que los valores siguen</t>
  </si>
  <si>
    <t>un comportamiento binomial</t>
  </si>
  <si>
    <t>Promedio</t>
  </si>
  <si>
    <t>Muestra</t>
  </si>
  <si>
    <t>Hora</t>
  </si>
  <si>
    <t>m</t>
  </si>
  <si>
    <t>Promedio en mililitros</t>
  </si>
  <si>
    <t>Rango en mililitros</t>
  </si>
  <si>
    <t>Sub grupo</t>
  </si>
  <si>
    <t xml:space="preserve"> x̅</t>
  </si>
  <si>
    <t xml:space="preserve"> R̅</t>
  </si>
  <si>
    <t>Número de Muestra</t>
  </si>
  <si>
    <t>x</t>
  </si>
  <si>
    <t>R</t>
  </si>
  <si>
    <t>Antes</t>
  </si>
  <si>
    <t>Después</t>
  </si>
  <si>
    <t>a) Principal problema el reventado de la piel</t>
  </si>
  <si>
    <t>b) La causa principal es la máquina3, no volver a usarla hasta revisarla</t>
  </si>
  <si>
    <t>41.58 seg/und</t>
  </si>
  <si>
    <t>Tiempo máximo diario 19 minutos</t>
  </si>
  <si>
    <t>5 pts</t>
  </si>
  <si>
    <t>a) Diagrama</t>
  </si>
  <si>
    <t>b) tak time</t>
  </si>
  <si>
    <t>2 pts</t>
  </si>
  <si>
    <t>c) Tiempo de cada proceso</t>
  </si>
  <si>
    <t>d) tiempo total procesamiento</t>
  </si>
  <si>
    <t>1 pt</t>
  </si>
  <si>
    <t>10 pts</t>
  </si>
  <si>
    <t>2.5 pts</t>
  </si>
  <si>
    <t>a) Takt time</t>
  </si>
  <si>
    <t>b) Tiempo de proceso actual 19 minutos</t>
  </si>
  <si>
    <t>c) Tiempos de espera y porcentajes</t>
  </si>
  <si>
    <t>b) Takt Time 0.16 min/und</t>
  </si>
  <si>
    <t>b) Lead time 15 días</t>
  </si>
  <si>
    <t>c) Tiempo de proceso 345 segundos o 5.75 min.</t>
  </si>
  <si>
    <t>5 pts.</t>
  </si>
  <si>
    <t>Pareto</t>
  </si>
  <si>
    <t>Ishikawa</t>
  </si>
  <si>
    <t xml:space="preserve">Hoja de verificación </t>
  </si>
  <si>
    <t>3 pts</t>
  </si>
  <si>
    <t>4 pts</t>
  </si>
  <si>
    <t>Conclusión</t>
  </si>
  <si>
    <t>Ojo la conclusión, no puede ser cualquier tontera</t>
  </si>
  <si>
    <t>Correcta</t>
  </si>
  <si>
    <t>Datos incorrectos pero rechaza Ho</t>
  </si>
  <si>
    <t>Incorrecta, no rechaza Ho</t>
  </si>
  <si>
    <t>20 pts</t>
  </si>
  <si>
    <t>Ho: Los valores provienen de una población Poisson</t>
  </si>
  <si>
    <t xml:space="preserve">Ha: Los valores NO provienen de una población Poisson </t>
  </si>
  <si>
    <t xml:space="preserve">NO existe suficiente evidencia estadísitca para rechazar la Ho de que los valores provienen de una población Poisson </t>
  </si>
  <si>
    <t>Datos incorrectos pero NO rechaza Ho</t>
  </si>
  <si>
    <t>Incorrecta, rechaza Ho</t>
  </si>
  <si>
    <t>Dn Max</t>
  </si>
  <si>
    <t xml:space="preserve">NO existe suficiente evidencia estadísitca para rechazar la Ho de que los valores provienen de una población Normal con media de 45 y desviación estándar de 10 </t>
  </si>
  <si>
    <t>Ho: Los valores provienen de una población Normal con media de 45 y desviación estándar de 10</t>
  </si>
  <si>
    <t>Ho: Los valores NO provienen de una población Normal con media de 45 y desviación estándar de 10</t>
  </si>
  <si>
    <t>Ho: Los valores provienen de una población Normal con media de 50000 y desviación estándar de 10000</t>
  </si>
  <si>
    <t>Ho: Los valores NO provienen de una población Normal con media de 50000 y desviación estándar de 10000</t>
  </si>
  <si>
    <t xml:space="preserve">NO existe suficiente evidencia estadísitca para rechazar la Ho de que los valores provienen de una población Normal con media de 50000 y desviación estándar de 10000 </t>
  </si>
  <si>
    <t>gl</t>
  </si>
  <si>
    <t>NO existe suficiente evidencia estadísitca para rechazar la Ho de que los valores provienen de una población Normal</t>
  </si>
  <si>
    <t>Existe suficiente evidencia estadísitca para rechazar la Ho de que los valores provienen de una población Binomial</t>
  </si>
  <si>
    <t>R =</t>
  </si>
  <si>
    <t>k =</t>
  </si>
  <si>
    <t>i =</t>
  </si>
  <si>
    <t>Rp =</t>
  </si>
  <si>
    <t>d =</t>
  </si>
  <si>
    <t>md =</t>
  </si>
  <si>
    <t>Li</t>
  </si>
  <si>
    <t>Ls</t>
  </si>
  <si>
    <t>Para datos agrupados</t>
  </si>
  <si>
    <t>d1 =</t>
  </si>
  <si>
    <t>d2 =</t>
  </si>
  <si>
    <t>MODA =</t>
  </si>
  <si>
    <t>n =</t>
  </si>
  <si>
    <t>Fo acumulada</t>
  </si>
  <si>
    <t>MEDIANA =</t>
  </si>
  <si>
    <t>Pmediana =</t>
  </si>
  <si>
    <t>Punto medio</t>
  </si>
  <si>
    <t>fo x d</t>
  </si>
  <si>
    <t>fo x d^2</t>
  </si>
  <si>
    <t>MEDIA =</t>
  </si>
  <si>
    <t>a) 5 pts.</t>
  </si>
  <si>
    <t>b) 5pts.</t>
  </si>
  <si>
    <t>Ls =</t>
  </si>
  <si>
    <t>Li =</t>
  </si>
  <si>
    <t>c) 5pts.</t>
  </si>
  <si>
    <t>Fo relativa</t>
  </si>
  <si>
    <t>Límites</t>
  </si>
  <si>
    <t>95.5 - 96.5</t>
  </si>
  <si>
    <t>96.5 - 97.5</t>
  </si>
  <si>
    <t>97.5 - 98.5</t>
  </si>
  <si>
    <t>98.5 - 99.5</t>
  </si>
  <si>
    <t>99.5 - 100.5</t>
  </si>
  <si>
    <t>100.5 - 101.5</t>
  </si>
  <si>
    <t>101.5 - 102.5</t>
  </si>
  <si>
    <t>102.5 - 103.5</t>
  </si>
  <si>
    <t>Especificación: 102 ± 3</t>
  </si>
  <si>
    <t>103.5 - 104.5</t>
  </si>
  <si>
    <t>104.5 - 105.5</t>
  </si>
  <si>
    <t>El proceso tiende al límite inferior de la especificación, con una cantidad importante de producto por debajo del límite inferior de la especificación.</t>
  </si>
  <si>
    <t>d) 5pts.</t>
  </si>
  <si>
    <t>Mean</t>
  </si>
  <si>
    <t>Standard Error</t>
  </si>
  <si>
    <t>Median</t>
  </si>
  <si>
    <t>Mode</t>
  </si>
  <si>
    <t>Standard Deviation</t>
  </si>
  <si>
    <t>Sample Variance</t>
  </si>
  <si>
    <t>Kurtosis</t>
  </si>
  <si>
    <t>Skewness</t>
  </si>
  <si>
    <t>Range</t>
  </si>
  <si>
    <t>Minimum</t>
  </si>
  <si>
    <t>Maximum</t>
  </si>
  <si>
    <t>Sum</t>
  </si>
  <si>
    <t>Count</t>
  </si>
  <si>
    <t>Column1</t>
  </si>
  <si>
    <t>Curtosis</t>
  </si>
  <si>
    <t>Sesgo</t>
  </si>
  <si>
    <t>k*fo</t>
  </si>
  <si>
    <t>Media</t>
  </si>
  <si>
    <t>Mediana</t>
  </si>
  <si>
    <t>mx-media</t>
  </si>
  <si>
    <t>a la cuatro</t>
  </si>
  <si>
    <t>a la tres</t>
  </si>
  <si>
    <t>Moda</t>
  </si>
  <si>
    <t>S</t>
  </si>
  <si>
    <t>S =</t>
  </si>
  <si>
    <t>Histograma es el mismo</t>
  </si>
  <si>
    <t>c) 5 pts</t>
  </si>
  <si>
    <t>d) 5 pts</t>
  </si>
  <si>
    <t>a) 1 pts.</t>
  </si>
  <si>
    <t>b) 1 pts.</t>
  </si>
  <si>
    <t>Respuesta incorrecta con datos sin agrupar</t>
  </si>
  <si>
    <t>Es Leptocúrtica</t>
  </si>
  <si>
    <t>La variabilidad de los datos aparenta ser aceptable, no hay valores fuera de los límites</t>
  </si>
  <si>
    <t>2.5 - 5.5</t>
  </si>
  <si>
    <t>5.5 - 7.5</t>
  </si>
  <si>
    <t>7.5 - 9.5</t>
  </si>
  <si>
    <t>9.5 - 11.5</t>
  </si>
  <si>
    <t>11.5 - 13.5</t>
  </si>
  <si>
    <t>13.5 - 15.5</t>
  </si>
  <si>
    <t>15.5 - 17.5</t>
  </si>
  <si>
    <t>Especificación: 8 ± 4</t>
  </si>
  <si>
    <t>La variabilidad del proceso de producción es mayor a la variabilidad permitida por la especificación, con una cantidad de producto por debajo del límite inferior de la especificación y una cantidad todavía mayor de producto por encima del límite superior de la especificación. El proceso aparenta tener problemas de capacidad.</t>
  </si>
  <si>
    <t>Los datos son casi simétricos. No hay evidencia clara de asimetría</t>
  </si>
  <si>
    <t>Es platicurtica</t>
  </si>
  <si>
    <t>0.70 - 0 97</t>
  </si>
  <si>
    <t>0.97 - 1.24</t>
  </si>
  <si>
    <t>1.24 - 1.50</t>
  </si>
  <si>
    <t>1.50 - 1.77</t>
  </si>
  <si>
    <t>1.77 - 2.03</t>
  </si>
  <si>
    <t>2.03 - 2.30</t>
  </si>
  <si>
    <t>2.30 - 2.56</t>
  </si>
  <si>
    <t>OJO ES UN HISTOGRAMA NO UN GRÁFICO DE BARRAS</t>
  </si>
  <si>
    <t>Es Platicurtica</t>
  </si>
  <si>
    <t>No podemos asegurar que la variabilidad de los datos sea la correcta ya que tenemos un valor por fuera</t>
  </si>
  <si>
    <t>82.5 - 87.5</t>
  </si>
  <si>
    <t>87.5 - 92.5</t>
  </si>
  <si>
    <t>92.5 - 97.5</t>
  </si>
  <si>
    <t>97.5 - 102.5</t>
  </si>
  <si>
    <t>102.5 - 107.5</t>
  </si>
  <si>
    <t>107.5 - 112.5</t>
  </si>
  <si>
    <t>112.5 - 117.5</t>
  </si>
  <si>
    <t>117.5 - 122.5</t>
  </si>
  <si>
    <t>Especificación: 1.5 ± 0.5</t>
  </si>
  <si>
    <t>Especificación: 100 ± 5</t>
  </si>
  <si>
    <t>La variabilidad del proceso de producción es mayor a la variabilidad permitida por la especificación, con una cantidad de producto por encima del límite superior de la especificación y una cantidad todavía mayor de producto por debajo del límite inferior de la especificación. El proceso aparenta tener problemas de capacidad.</t>
  </si>
  <si>
    <t>Se tiene una asimetría positiva, los datos están sesgados a la derecha</t>
  </si>
  <si>
    <t>Se tiene una asimetría negativa, los datos están sesgados hacia la izquierda</t>
  </si>
  <si>
    <t>7.295 - 10.300</t>
  </si>
  <si>
    <t>10.300 - 13.305</t>
  </si>
  <si>
    <t>13.305 - 16.310</t>
  </si>
  <si>
    <t>16.310 - 19.315</t>
  </si>
  <si>
    <t>19.315 - 22.320</t>
  </si>
  <si>
    <t>22.320 - 25.325</t>
  </si>
  <si>
    <t>25.325 - 28.330</t>
  </si>
  <si>
    <t>28.330 - 31.355</t>
  </si>
  <si>
    <t>Especificación: 25 ± 1</t>
  </si>
  <si>
    <t>*</t>
  </si>
  <si>
    <t>No sería correcto</t>
  </si>
  <si>
    <r>
      <rPr>
        <sz val="16"/>
        <color rgb="FFFF0000"/>
        <rFont val="Calibri (Body)"/>
      </rPr>
      <t>*</t>
    </r>
    <r>
      <rPr>
        <sz val="12"/>
        <color theme="1"/>
        <rFont val="Calibri"/>
        <family val="2"/>
        <scheme val="minor"/>
      </rPr>
      <t xml:space="preserve"> Las muestras marcadas con un asterisco son claramente valores extremos que son consecuencia de una causa asignable importante y deberían de eliminarse antes de construir el histrograma y hacer el análisis</t>
    </r>
  </si>
  <si>
    <t>22.45 - 22.95</t>
  </si>
  <si>
    <t>22.95 - 23.65</t>
  </si>
  <si>
    <t>23.65 - 24.36</t>
  </si>
  <si>
    <t>24.36 - 25 06</t>
  </si>
  <si>
    <t>25.06 - 25.77</t>
  </si>
  <si>
    <t>25.77 - 26.47</t>
  </si>
  <si>
    <t>26.47 - 27.18</t>
  </si>
  <si>
    <t>27.18 - 27.88</t>
  </si>
  <si>
    <t>1.825 - 1.885</t>
  </si>
  <si>
    <t>1.885 - 1.935</t>
  </si>
  <si>
    <t>1.935 - 1.985</t>
  </si>
  <si>
    <t>1.985 - 2.035</t>
  </si>
  <si>
    <t>2.035 - 2.085</t>
  </si>
  <si>
    <t>2.085 - 2.135</t>
  </si>
  <si>
    <t>2.135 - 2.185</t>
  </si>
  <si>
    <t>2.185 - 2.235</t>
  </si>
  <si>
    <t>Especificación: 2 ± 0.10</t>
  </si>
  <si>
    <t>La variabilidad del proceso de producción es mayor a la variabilidad permitida por la especificación, con una cantidad de producto por encima del límite superior de la especificación y una cantidad por debajo del límite inferior de la especificación. El proceso aparenta tener problemas de capacidad.</t>
  </si>
  <si>
    <t>Es Platicúrtica</t>
  </si>
  <si>
    <t>2.185 - 2.415</t>
  </si>
  <si>
    <t>2.415 - 2.645</t>
  </si>
  <si>
    <t>2.645 - 2.875</t>
  </si>
  <si>
    <t>2.875 - 3.105</t>
  </si>
  <si>
    <t>3.105 - 3.335</t>
  </si>
  <si>
    <t>3.335 - 3.565</t>
  </si>
  <si>
    <t>3.565 - 3.795</t>
  </si>
  <si>
    <t>3.795 - 4.025</t>
  </si>
  <si>
    <t>Especificación: &gt;3</t>
  </si>
  <si>
    <t>Los datos son casi simétricos. Hay una leve asimetría hacia la derecha</t>
  </si>
  <si>
    <t>4.895 - 4.935</t>
  </si>
  <si>
    <t>4.935 - 4.965</t>
  </si>
  <si>
    <t>4.965 - 4.995</t>
  </si>
  <si>
    <t>4.995 - 5.025</t>
  </si>
  <si>
    <t>5.025 - 5.055</t>
  </si>
  <si>
    <t>5.055 - 5.085</t>
  </si>
  <si>
    <t>5.085 - 5.115</t>
  </si>
  <si>
    <t>Especificación: 5 ± 0.10</t>
  </si>
  <si>
    <t>La variabilidad del proceso es amplia, pero sólo un porcentaje muy pequeño de producto cae fuera de especificaciones.</t>
  </si>
  <si>
    <t>Los datos son casi simétricos.</t>
  </si>
  <si>
    <t>967.5 - 976.5</t>
  </si>
  <si>
    <t>976.5 - 984.5</t>
  </si>
  <si>
    <t>984.5 - 992.5</t>
  </si>
  <si>
    <t>992.5 - 1000.5</t>
  </si>
  <si>
    <t>1000.5 - 1008.5</t>
  </si>
  <si>
    <t>1008.5 - 1016.5</t>
  </si>
  <si>
    <t>1016.5 - 1024.5</t>
  </si>
  <si>
    <t>1024.5 - 1032.5</t>
  </si>
  <si>
    <t>La variabilidad del proceso de producción es mayor a la variabilidad permitida por la especificación, con una cantidad de producto muy importante fuera de especificaciones. El proceso aparenta tener problemas de capacidad.</t>
  </si>
  <si>
    <t>La variabilidad del proceso de producción es mayor a la variabilidad permitida por la especificación, con una cantidad de producto muy importante por debajo del límite mínimo de la especificación. El proceso aparenta tener problemas de capacidad.</t>
  </si>
  <si>
    <t>Se tiene una asimetría positiva, los datos están sesgados hacia la derecha</t>
  </si>
  <si>
    <t>11.860 - 11.905</t>
  </si>
  <si>
    <t>11.905 - 11.945</t>
  </si>
  <si>
    <t>11.945 - 11.985</t>
  </si>
  <si>
    <t>11.985 - 12.025</t>
  </si>
  <si>
    <t>12.025 - 12.065</t>
  </si>
  <si>
    <t>12.065 - 12.105</t>
  </si>
  <si>
    <t>12.105 - 12.145</t>
  </si>
  <si>
    <t>Especificación: 12 ± 0.10</t>
  </si>
  <si>
    <t>Especificación: 1000 ± 5</t>
  </si>
  <si>
    <t>Se tiene una ligera asimetría negativa, los datos están un poco sesgados hacia la izquierda</t>
  </si>
  <si>
    <t>d2</t>
  </si>
  <si>
    <t>X//</t>
  </si>
  <si>
    <t>Rango/</t>
  </si>
  <si>
    <t>Desv. Estand</t>
  </si>
  <si>
    <t>Zs=</t>
  </si>
  <si>
    <t>Zi=</t>
  </si>
  <si>
    <t>Se calculó el Zc ya que los datos son con base en una muestra.</t>
  </si>
  <si>
    <t>Especificación</t>
  </si>
  <si>
    <t>Calidad tres sigma=</t>
  </si>
  <si>
    <t>Valor P</t>
  </si>
  <si>
    <t>ZtLs</t>
  </si>
  <si>
    <t>Ztli</t>
  </si>
  <si>
    <t>Por debajo del límite inferior</t>
  </si>
  <si>
    <t>P. Buenos</t>
  </si>
  <si>
    <t>Desperdicio</t>
  </si>
  <si>
    <t>Aumento de Costos</t>
  </si>
  <si>
    <t>Defectuosos</t>
  </si>
  <si>
    <t>PPM</t>
  </si>
  <si>
    <t>Nivel Sigma</t>
  </si>
  <si>
    <t>LS =</t>
  </si>
  <si>
    <t>LI =</t>
  </si>
  <si>
    <t>LC =</t>
  </si>
  <si>
    <t>LS</t>
  </si>
  <si>
    <t>LSC</t>
  </si>
  <si>
    <t>LI</t>
  </si>
  <si>
    <t>Promedios</t>
  </si>
  <si>
    <t>D4</t>
  </si>
  <si>
    <t>D3</t>
  </si>
  <si>
    <t>El índice Z</t>
  </si>
  <si>
    <t>LS real =</t>
  </si>
  <si>
    <t>LI real =</t>
  </si>
  <si>
    <t>Los límites reales del proceso son mayores a los límites de la especificación por lo que tenemos producto fuera de especificaciones</t>
  </si>
  <si>
    <t>La calidad tres sigma de este proceso es pobre, sólo 0.186</t>
  </si>
  <si>
    <t>a) 2.5 pts</t>
  </si>
  <si>
    <t>b) 2.5 pts</t>
  </si>
  <si>
    <t>c) 2.5 pts</t>
  </si>
  <si>
    <t>d) 2.5 pts</t>
  </si>
  <si>
    <t>Cp</t>
  </si>
  <si>
    <t xml:space="preserve"> --</t>
  </si>
  <si>
    <t>a) 2 pts</t>
  </si>
  <si>
    <t>b) 2 pts</t>
  </si>
  <si>
    <t>c) 2 pts</t>
  </si>
  <si>
    <t>d) 4 pts</t>
  </si>
  <si>
    <t>Los límites reales del proceso son menores a los límites de la especificación por lo que no tenemos producto fuera de especificaciones</t>
  </si>
  <si>
    <t>La calidad tres sigma de este proceso es de 3.33</t>
  </si>
  <si>
    <t>La calidad tres sigma de este proceso es de 3.95</t>
  </si>
  <si>
    <t>Se tiene un nivel sigma de 5.3 que representa un Cp de 1.769 por lo que el proceso es capaz de cumplir con especificaciones obteniéndose apenas 78 defectuosos por millón de oportunidades.  La empresa tiene un gran desempeño y está muy cerca de lograr ser de categoría mundial, para ello debe continuar trabjando en su proceso de mejora continua.</t>
  </si>
  <si>
    <t>La calidad tres sigma de este proceso es apenas de 1.223</t>
  </si>
  <si>
    <t>Se tiene un nivel sigma muy cercano a 3, lo que representa un Cp de 0.901 el cual es muy cercano a uno pero no lo suficiente para evitar el producto defectuoso que  asciende a un 12.36% aumentando los costos de producción y disminuyendo la calidad y competitividad</t>
  </si>
  <si>
    <t>El límite superior real del proceso está por encima del límite superior de la especificación por lo que se espera que se tenga porcentajes de producto con mayor producto de lo etiquetado</t>
  </si>
  <si>
    <t>La calidad tres sigma de este proceso es de 2.08</t>
  </si>
  <si>
    <t>El proceso está centrado</t>
  </si>
  <si>
    <t>Se tiene un nivel sigma de 3.6 que representa un Cp de 1.198 por lo que el proceso es apenas capaz de cumplir con especificaciones obteniéndose 18752 defectuosos por millón de oportunidades.  La empresa tiene un desempeño aceptable pero le falta mucho para  ser de categoría mundial, para ello debe continuar trabjando en su proceso de mejora continua eliminando causas asignables</t>
  </si>
  <si>
    <t>La calidad tres sigma de este proceso es de 1.11</t>
  </si>
  <si>
    <t>Se tiene un nivel sigma muy bajo de 2.3 que representa un Cp de 0.769  por lo que el proceso NO es capaz de cumplir con especificaciones obteniéndose 220604 defectuosos por millón de oportunidades.  La empresa tiene un pobre desempeño y está muy lejos de lograr ser de categoría mundial, para ello debe trabajar fuerte en su proceso de mejora continua.</t>
  </si>
  <si>
    <t>El limite inferior real está por debajo del límite inferior de la especificación por lo que se espera producto por debajo de especificaciones</t>
  </si>
  <si>
    <t>La calidad tres sigma de este proceso es de 2.34</t>
  </si>
  <si>
    <t>Se tiene un nivel sigma de 3.8 que representa un Cp de 1.264, lo que significa que el proceso es apenas capaz.  El proceso tiende al límite inferior de la especificación por lo que se tiene 9545 unidades defectuosas por millón de oportunidades.  El nivel sigma es bueno pero se debe seguir trabajando con el sistema de calidad para mejorarlo.</t>
  </si>
  <si>
    <t>La calidad tres sigma de este proceso es de 0.401</t>
  </si>
  <si>
    <t>Se tiene un nivel sigma de 1.5 que representa un Cp de 0.5, lo que significa que el proceso NO es capaz de cumplir especificaciones.  Del proceso se obtiene prodcuto por encima y por debajo de los límites de la especificación  por lo que se obtiene 452316 unidades defectuosas por millón de oportunidades.  El nivel sigma es muy pobre y se está muy lejos de ser una empresa de calidad mundial,  se debe trabajar fuerte con el sistema de calidad.</t>
  </si>
  <si>
    <t>La calidad tres sigma de este proceso es de 0.536</t>
  </si>
  <si>
    <t>Se tiene un nivel sigma de 1.1 que representa un Cp de 0.364, lo que significa que el proceso NO es capaz de cumplir especificaciones.  Del proceso se obtiene prodcuto por encima y por debajo de los límites de la especificación  por lo que se obtiene 539772 unidades defectuosas por millón de oportunidades.  El nivel sigma es muy pobre y se está muy lejos de ser una empresa de calidad mundial,  se debe trabajar fuerte con el sistema de calidad.</t>
  </si>
  <si>
    <t>La calidad tres sigma de este proceso es de 0.341</t>
  </si>
  <si>
    <r>
      <t xml:space="preserve">La fórmula da error por la cantidad tan grande de producto defectuoso dando un valor negativo dentro de la raíz.  Por lo que se considera un </t>
    </r>
    <r>
      <rPr>
        <b/>
        <sz val="12"/>
        <color theme="1"/>
        <rFont val="Calibri"/>
        <family val="2"/>
        <scheme val="minor"/>
      </rPr>
      <t>nivel sigma de 0 y un Cp de 0</t>
    </r>
    <r>
      <rPr>
        <sz val="12"/>
        <color theme="1"/>
        <rFont val="Calibri"/>
        <family val="2"/>
        <scheme val="minor"/>
      </rPr>
      <t>.  Esta empresa debe considerar seriamente si cambia el diseño del prodcuto y busca otro nicho de mercado en donde pueda competir</t>
    </r>
  </si>
  <si>
    <t>Alturas</t>
  </si>
  <si>
    <t>10 pts.</t>
  </si>
  <si>
    <t>Hay suficienrte evidencia para rechazar la Ho</t>
  </si>
  <si>
    <t>No Hay suficienrte evidencia para rechazar la Ho</t>
  </si>
  <si>
    <t>NO Hay suficienrte evidencia para rechazar la Ho</t>
  </si>
  <si>
    <t>Se tiene un nivel sigma de 4.8 que representa un Cp de 1.602 por lo que el proceso es capaz de cumplir con especificaciones obteniéndose apenas 497 defectuosos por millón de oportunidades.  La empresa tiene un gran desempeño y está muy cerca de lograr ser de categoría mundial, para ello debe continuar trabajando en su proceso de mejora continua.</t>
  </si>
  <si>
    <t>Existe evidencia para rechar Ho por lo que la multa esta bien aplicada</t>
  </si>
  <si>
    <t>No existe suficiente evidencia para rechazar Ho por lo que los lotes se aceptan</t>
  </si>
  <si>
    <t>Existe suficiente evidencia para rechazar Ho por lo que la máquina está empacando con menos producto</t>
  </si>
  <si>
    <t>No existe suficiente evidencia para rechazar Ho por lo que se toman como ciertas las afirmaciones de la empresa de seguros.</t>
  </si>
  <si>
    <t>Perros calientes</t>
  </si>
  <si>
    <t>Hamburgesas</t>
  </si>
  <si>
    <t>Pollo</t>
  </si>
  <si>
    <t>Pescado</t>
  </si>
  <si>
    <t>No se rechaza Ho</t>
  </si>
  <si>
    <t>Se rechaza Ho</t>
  </si>
  <si>
    <t>Hay suficiente evidencia para rechazar Ho</t>
  </si>
  <si>
    <t>No rechazamos Ho</t>
  </si>
  <si>
    <t>Pantalla pequeña</t>
  </si>
  <si>
    <t>Pantalla mediana</t>
  </si>
  <si>
    <t>Pantallas grandes</t>
  </si>
  <si>
    <t>Hay evidencia para rechazar Ho</t>
  </si>
  <si>
    <t>Hay suficiente evidencia para rechazar la Ho</t>
  </si>
  <si>
    <t>No hay suficiente evidencia estadística para rechazar Ho</t>
  </si>
  <si>
    <t>Pareto de primer nivel</t>
  </si>
  <si>
    <t xml:space="preserve">Tipo </t>
  </si>
  <si>
    <t>Mal Montaje</t>
  </si>
  <si>
    <t>{1:NUMERICAL:=6,96:0,01~%40%6,96:0}</t>
  </si>
  <si>
    <t>{1:NUMERICAL:=27,83:0,01~%40%27,83:0}</t>
  </si>
  <si>
    <t>{1:NUMERICAL:=50,43:0,01~%40%50,43:0}</t>
  </si>
  <si>
    <t>{1:NUMERICAL:=14,78:0,01~%40%14,78:0,01}</t>
  </si>
  <si>
    <t>Pareto de segundo nivel</t>
  </si>
  <si>
    <t>{1:NUMERICAL:=17,24:0,01~%40%17,24:0}</t>
  </si>
  <si>
    <t>{1:NUMERICAL:=24,14:0,01~%40%24,14:0}</t>
  </si>
  <si>
    <t>{1:NUMERICAL:=58,62:0,01~%40%58,62:0}</t>
  </si>
  <si>
    <t>Problema principal</t>
  </si>
  <si>
    <t>Causa principal</t>
  </si>
  <si>
    <t>{1:MULTICHOICE:~=Reventado de piel~Piel arrugada~Falla costura~Mal montaje}</t>
  </si>
  <si>
    <t>{2:MULTICHOICE:~Máquina1~Máquina2~=Máquina3}</t>
  </si>
  <si>
    <t>Actividad</t>
  </si>
  <si>
    <t>{2:NUMERICAL:=47,62:0,01~%40%47,62:0}</t>
  </si>
  <si>
    <t>{2:NUMERICAL:=19,05:0,01~%40%19,05:0}</t>
  </si>
  <si>
    <t>{2:NUMERICAL:=14,29:0,01~%40%14,29:0}</t>
  </si>
  <si>
    <t>{1:NUMERICAL:=11,11:0,01~%40%11,11:0,01}</t>
  </si>
  <si>
    <t>{1:NUMERICAL:=7,94:0,01~%40%7,94:0,01}</t>
  </si>
  <si>
    <t>{1:NUMERICAL:=35,73:0,01~%40%35,73:0}</t>
  </si>
  <si>
    <t>{1:NUMERICAL:=17,95:0,01~%40%17,95:0}</t>
  </si>
  <si>
    <t>{1:NUMERICAL:=15,76:0,01~%40%15,76:0}</t>
  </si>
  <si>
    <t>{1:NUMERICAL:=14,54:0,01~%40%14,54:0,01}</t>
  </si>
  <si>
    <t>{1:NUMERICAL:=14,01:0,01~%40%14,01:0,01}</t>
  </si>
  <si>
    <t>{1:NUMERICAL:=2,00:0,01~%40%2,00:0,01}</t>
  </si>
  <si>
    <r>
      <rPr>
        <b/>
        <sz val="10"/>
        <rFont val="Verdana"/>
        <family val="2"/>
      </rPr>
      <t>Conclusión</t>
    </r>
    <r>
      <rPr>
        <sz val="10"/>
        <rFont val="Verdana"/>
        <family val="2"/>
      </rPr>
      <t>: Se debe de realizar un pareto de segundo nivel con aquellos factores de la producción que intervienen en el proceso de etiquetado para eliminar la causa raíz que genera tantos problemas en la calidad del producto por este concepto.</t>
    </r>
  </si>
  <si>
    <t>{4:MULTICHOICE:~Cambiar proveedor de etiquetas~Comprar máquina de etiquetado nueva~=Realizar Diagrama de Pareto de segundo nivel}</t>
  </si>
  <si>
    <t>Errores</t>
  </si>
  <si>
    <t>Cantidad</t>
  </si>
  <si>
    <t>{2:NUMERICAL:=42,29:0,01~%40%42,29:0}</t>
  </si>
  <si>
    <t>{2:NUMERICAL:=27,36:0,01~%40%27,36:0}</t>
  </si>
  <si>
    <t>{2:NUMERICAL:=19,90:0,01~%40%19,90:0}</t>
  </si>
  <si>
    <t>{2:NUMERICAL:=10,45:0,01~%40%10,45:0}</t>
  </si>
  <si>
    <t>{2:MULTICHOICE:~Despedir al Gerente General~Comprar un software nuevo de facturación~=Realizar Diagrama de Pareto de segundo nivel}</t>
  </si>
  <si>
    <r>
      <rPr>
        <b/>
        <sz val="10"/>
        <rFont val="Verdana"/>
        <family val="2"/>
      </rPr>
      <t>Conclusión</t>
    </r>
    <r>
      <rPr>
        <sz val="10"/>
        <rFont val="Verdana"/>
        <family val="2"/>
      </rPr>
      <t>: Se debe de realizar un pareto de segundo nivel con aquellos factores que intervienen en el proceso de facturación para tratar de encontrar la causa raíz que genera tantos problemas en la calidad del producto por este concepto.</t>
    </r>
  </si>
  <si>
    <t>Recepcionista no ubica la persona</t>
  </si>
  <si>
    <t>{2:NUMERICAL:=48,98:0,01~%40%48,98:0}</t>
  </si>
  <si>
    <t>{2:NUMERICAL:=20,93:0,01~%40%20,93:0}</t>
  </si>
  <si>
    <t>{2:NUMERICAL:=17,28:0,01~%40%17,28:0}</t>
  </si>
  <si>
    <t>{2:NUMERICAL:=5,49:0,01~%40%5,49:0}</t>
  </si>
  <si>
    <t>{1:NUMERICAL:=4,47:0,01~%40%4,47:0}</t>
  </si>
  <si>
    <t>{1:NUMERICAL:=2,85:0,01~%40%2,85:0}</t>
  </si>
  <si>
    <r>
      <rPr>
        <b/>
        <sz val="10"/>
        <rFont val="Verdana"/>
        <family val="2"/>
      </rPr>
      <t>Conclusión</t>
    </r>
    <r>
      <rPr>
        <sz val="10"/>
        <rFont val="Verdana"/>
        <family val="2"/>
      </rPr>
      <t>: Se debe de realizar un pareto de segundo nivel con aquellos factores que intervienen en el proceso de exhausting para tratar de encontrar la causa raíz que genera tantos problemas en la calidad del producto por este concepto.</t>
    </r>
  </si>
  <si>
    <t>{2:NUMERICAL:=52:0~%40%52:0}</t>
  </si>
  <si>
    <t>{2:NUMERICAL:=38:0~%40%38:0}</t>
  </si>
  <si>
    <t>{2:NUMERICAL:=6:0~%40%6:0}</t>
  </si>
  <si>
    <t>{2:NUMERICAL:=4:0~%40%4:0}</t>
  </si>
  <si>
    <t>{2:MULTICHOICE:~Despedir al Gerente General~Sub contratar el proceso de exhausting~=Realizar Diagrama de Pareto de segundo nivel}</t>
  </si>
  <si>
    <t>{10:NUMERICAL:=14,11:0,01~%40%14,11:5}</t>
  </si>
  <si>
    <t>{8:NUMERICAL:=9,24:0,01~%40%9,24:1}</t>
  </si>
  <si>
    <t>{10:NUMERICAL:=2,88:0,01~%40%2,88:0,5}</t>
  </si>
  <si>
    <t>{8:NUMERICAL:=12,52:0,01~%40%12,52:2}</t>
  </si>
  <si>
    <t>{2:MULTICHOICE:~=No rechazar Ho~Rechazar Ho}</t>
  </si>
  <si>
    <t>{2:MULTICHOICE:~No rechazar Ho~=Rechazar Ho}</t>
  </si>
  <si>
    <t>Dn máximo</t>
  </si>
  <si>
    <t>dn tabular</t>
  </si>
  <si>
    <t>{10:NUMERICAL:=0,069:0,001~%40%0,069:0,005}</t>
  </si>
  <si>
    <t>{8:NUMERICAL:=0,192:0,001~%40%0,192:0,005}</t>
  </si>
  <si>
    <t>{10:NUMERICAL:=0,167:0,001~%40%0,167:0,005}</t>
  </si>
  <si>
    <t>{8:NUMERICAL:=0,404:0,001~%40%0,404:0,005}</t>
  </si>
  <si>
    <t>{10:NUMERICAL:=2,54:0,01~%40%2,54:0,5}</t>
  </si>
  <si>
    <t>{8:NUMERICAL:=3,84:0,01~%40%3,84:2}</t>
  </si>
  <si>
    <t>Z calculado</t>
  </si>
  <si>
    <t>Z tabular</t>
  </si>
  <si>
    <t>{10:NUMERICAL:=0,631:0,001~%40%0,631:0,005}</t>
  </si>
  <si>
    <t>{8:NUMERICAL:=1,960:0~%40%1,960:0}</t>
  </si>
  <si>
    <t>{10:NUMERICAL:=6,15:0,01~%40%6,15:0,05}</t>
  </si>
  <si>
    <t>{8:NUMERICAL:=7,81:0,01~%40%7,81:0,02}</t>
  </si>
  <si>
    <t>{10:NUMERICAL:=8,96:0,01~%40%8,96:0,5}</t>
  </si>
  <si>
    <t>{8:NUMERICAL:=11,07:0,01~%40%11,07:0,02}</t>
  </si>
  <si>
    <t>a)</t>
  </si>
  <si>
    <t>b)</t>
  </si>
  <si>
    <t>Moda =</t>
  </si>
  <si>
    <t>Mediana =</t>
  </si>
  <si>
    <t>Desviación std =</t>
  </si>
  <si>
    <t>Límite superior =</t>
  </si>
  <si>
    <t>Límite inferior =</t>
  </si>
  <si>
    <t>c)</t>
  </si>
  <si>
    <t>El proceso tiende a:</t>
  </si>
  <si>
    <t>d)</t>
  </si>
  <si>
    <t>Curtosis =</t>
  </si>
  <si>
    <t>Sesgo =</t>
  </si>
  <si>
    <t>Los datos parecen:</t>
  </si>
  <si>
    <t>Los datos:</t>
  </si>
  <si>
    <t xml:space="preserve">a) </t>
  </si>
  <si>
    <t xml:space="preserve">b) </t>
  </si>
  <si>
    <t xml:space="preserve">c) </t>
  </si>
  <si>
    <t xml:space="preserve">d) </t>
  </si>
  <si>
    <t>{2:MULTICHOICE:~=Límite inferior~Esta centrado~Límite superior}</t>
  </si>
  <si>
    <t>Media =</t>
  </si>
  <si>
    <t>{2:NUMERICAL:=99,13:0,07~%40%99,13:1}</t>
  </si>
  <si>
    <t>{2:NUMERICAL:=99,36:0,01~%40%99,36:1}</t>
  </si>
  <si>
    <t>{2:NUMERICAL:=99,48:0,01~%40%99,48:1}</t>
  </si>
  <si>
    <t>{2:NUMERICAL:=1,38:0,01~%40%1,38:0,05}</t>
  </si>
  <si>
    <t>{2:NUMERICAL:=103,61:0,01~%40%103,61:1}</t>
  </si>
  <si>
    <t>{2:NUMERICAL:=95,34:0,01~%40%95,34:1}</t>
  </si>
  <si>
    <t>{2:NUMERICAL:=3,327:0,001~%40%3,327:0,005}</t>
  </si>
  <si>
    <t>{2:NUMERICAL:=0,081:0,001~%40%0,081:0,005}</t>
  </si>
  <si>
    <t>{1:MULTICHOICE:~=Leptocúrtica~Mesocúrtica~Platicúrtica}</t>
  </si>
  <si>
    <t>{1:MULTICHOICE:~Asimétrica negativa~Asimétrica positiva~=Simétrica}</t>
  </si>
  <si>
    <t>{2:NUMERICAL:=10,33:0,07~%40%10,33:1}</t>
  </si>
  <si>
    <t>{2:NUMERICAL:=9,88:0,02~%40%9,88:1}</t>
  </si>
  <si>
    <t>{2:NUMERICAL:=9,78:0,02~%40%9,78:1}</t>
  </si>
  <si>
    <t>{2:NUMERICAL:=2,52:0,01~%40%2,52:0,05}</t>
  </si>
  <si>
    <t>{2:NUMERICAL:=17,35:0,01~%40%17,35:1}</t>
  </si>
  <si>
    <t>{2:NUMERICAL:=2,21:0,01~%40%2,21:1}</t>
  </si>
  <si>
    <t>{2:MULTICHOICE:~Límite inferior~Esta centrado~=Límite superior}</t>
  </si>
  <si>
    <t>{2:NUMERICAL:=2,882:0,001~%40%2,882:0,005}</t>
  </si>
  <si>
    <t>{1:MULTICHOICE:~Leptocúrtica~Mesocúrtica~=Platicúrtica}</t>
  </si>
  <si>
    <t>{2:NUMERICAL:=0,164:0,001~%40%0,164:0,005}</t>
  </si>
  <si>
    <t>{2:NUMERICAL:=1,728:0,002~%40%1,728:0,01}</t>
  </si>
  <si>
    <t>{2:NUMERICAL:=1,773:0,002~%40%1,773:0,01}</t>
  </si>
  <si>
    <t>{2:NUMERICAL:=0,389:0,001~%40%0,389:0,005}</t>
  </si>
  <si>
    <t>{2:NUMERICAL:=2,938:0,001~%40%2,938:0,07}</t>
  </si>
  <si>
    <t>{2:NUMERICAL:=0,607:0,001~%40%0,607:0,07}</t>
  </si>
  <si>
    <t>{2:NUMERICAL:=3,153:0,001~%40%3,153:0,005}</t>
  </si>
  <si>
    <t>{2:NUMERICAL:=-0,392:0,001~%40%-0,392:0,005}</t>
  </si>
  <si>
    <t>{1:MULTICHOICE:~=Asimétrica negativa~Asimétrica positiva~Simétrica}</t>
  </si>
  <si>
    <t>{2:NUMERICAL:=98,10:0,02~%40%98,10:0,1}</t>
  </si>
  <si>
    <t>{2:NUMERICAL:=97,71:0,01~%40%97,71:0,1}</t>
  </si>
  <si>
    <t>{2:NUMERICAL:=98,07:0,01~%40%98,07:0,1}</t>
  </si>
  <si>
    <t>{2:NUMERICAL:=6,57:0,01~%40%6,57:0,1}</t>
  </si>
  <si>
    <t>{2:NUMERICAL:=117,78:0,01~%40%117,78:0,1}</t>
  </si>
  <si>
    <t>{2:NUMERICAL:=78,37:0,01~%40%78,37:0,1}</t>
  </si>
  <si>
    <t>{2:MULTICHOICE:~Límite inferior~Esta centrado~Límite superior~=Se sale de los límites}</t>
  </si>
  <si>
    <t>{2:NUMERICAL:=4,976:0,001~%40%4,976:0,005}</t>
  </si>
  <si>
    <t>{2:NUMERICAL:=-0,404:0,001~%40%-0,404:0,005}</t>
  </si>
  <si>
    <t>{1:MULTICHOICE:~Asimétrica negativa~=Asimétrica positiva~Simétrica}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</si>
</sst>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00"/>
    <numFmt numFmtId="165" formatCode="_(&quot;C&quot;* #,##0.00_);_(&quot;C&quot;* \(#,##0.00\);_(&quot;C&quot;* &quot;-&quot;??_);_(@_)"/>
    <numFmt numFmtId="166" formatCode="0.0000"/>
    <numFmt numFmtId="167" formatCode="0.000%"/>
    <numFmt numFmtId="168" formatCode="_-* #,##0_-;\-* #,##0_-;_-* &quot;-&quot;??_-;_-@_-"/>
    <numFmt numFmtId="169" formatCode="0.0"/>
    <numFmt numFmtId="170" formatCode="0.00000"/>
  </numFmts>
  <fonts count="40" x14ac:knownFonts="1">
    <font>
      <sz val="12"/>
      <color theme="1"/>
      <name val="Calibri"/>
      <family val="2"/>
      <scheme val="minor"/>
    </font>
    <font>
      <b/>
      <sz val="12"/>
      <color theme="1"/>
      <name val="Calibri"/>
      <family val="2"/>
      <scheme val="minor"/>
    </font>
    <font>
      <sz val="12"/>
      <color theme="1"/>
      <name val="Times New Roman"/>
      <family val="1"/>
    </font>
    <font>
      <b/>
      <sz val="12"/>
      <color rgb="FFFF0000"/>
      <name val="Calibri"/>
      <family val="2"/>
      <scheme val="minor"/>
    </font>
    <font>
      <b/>
      <sz val="16"/>
      <color theme="1"/>
      <name val="Calibri"/>
      <family val="2"/>
      <scheme val="minor"/>
    </font>
    <font>
      <sz val="12"/>
      <color theme="1"/>
      <name val="Calibri"/>
      <family val="2"/>
      <scheme val="minor"/>
    </font>
    <font>
      <b/>
      <sz val="12"/>
      <color theme="1"/>
      <name val="Times New Roman"/>
      <family val="1"/>
    </font>
    <font>
      <sz val="12"/>
      <color rgb="FF000000"/>
      <name val="Calibri"/>
      <family val="2"/>
      <scheme val="minor"/>
    </font>
    <font>
      <sz val="10"/>
      <name val="Verdana"/>
      <family val="2"/>
    </font>
    <font>
      <sz val="11"/>
      <color theme="1"/>
      <name val="Calibri"/>
      <family val="2"/>
      <scheme val="minor"/>
    </font>
    <font>
      <b/>
      <sz val="10"/>
      <name val="Verdana"/>
      <family val="2"/>
    </font>
    <font>
      <sz val="16"/>
      <color theme="1"/>
      <name val="Calibri"/>
      <family val="2"/>
      <scheme val="minor"/>
    </font>
    <font>
      <b/>
      <sz val="11"/>
      <color indexed="8"/>
      <name val="Helvetica"/>
      <family val="2"/>
    </font>
    <font>
      <sz val="11"/>
      <color indexed="8"/>
      <name val="Helvetica"/>
      <family val="2"/>
    </font>
    <font>
      <b/>
      <sz val="11"/>
      <color rgb="FFFF0000"/>
      <name val="Helvetica"/>
      <family val="2"/>
    </font>
    <font>
      <sz val="12"/>
      <name val="Arial"/>
      <family val="2"/>
    </font>
    <font>
      <sz val="10"/>
      <name val="Arial"/>
      <family val="2"/>
    </font>
    <font>
      <sz val="12"/>
      <name val="Symbol"/>
      <charset val="2"/>
    </font>
    <font>
      <sz val="14"/>
      <color theme="1"/>
      <name val="Calibri"/>
      <family val="2"/>
      <scheme val="minor"/>
    </font>
    <font>
      <sz val="22"/>
      <name val="Arial"/>
      <family val="2"/>
    </font>
    <font>
      <sz val="14"/>
      <name val="Arial"/>
      <family val="2"/>
    </font>
    <font>
      <b/>
      <sz val="12"/>
      <color theme="1"/>
      <name val="Arial"/>
      <family val="2"/>
    </font>
    <font>
      <sz val="12"/>
      <color theme="1"/>
      <name val="Arial"/>
      <family val="2"/>
    </font>
    <font>
      <sz val="12"/>
      <name val="Times New Roman"/>
      <family val="1"/>
    </font>
    <font>
      <b/>
      <sz val="14"/>
      <color rgb="FFFF0000"/>
      <name val="Calibri"/>
      <family val="2"/>
      <scheme val="minor"/>
    </font>
    <font>
      <b/>
      <sz val="16"/>
      <color rgb="FFFF0000"/>
      <name val="Calibri"/>
      <family val="2"/>
      <scheme val="minor"/>
    </font>
    <font>
      <b/>
      <sz val="10"/>
      <color rgb="FFFF0000"/>
      <name val="Verdana"/>
      <family val="2"/>
    </font>
    <font>
      <b/>
      <sz val="12"/>
      <color rgb="FFFF0000"/>
      <name val="Verdana"/>
      <family val="2"/>
    </font>
    <font>
      <b/>
      <sz val="14"/>
      <color theme="1"/>
      <name val="Calibri"/>
      <family val="2"/>
      <scheme val="minor"/>
    </font>
    <font>
      <b/>
      <sz val="12"/>
      <name val="Arial"/>
      <family val="2"/>
    </font>
    <font>
      <b/>
      <sz val="12"/>
      <color rgb="FFFF0000"/>
      <name val="Arial"/>
      <family val="2"/>
    </font>
    <font>
      <i/>
      <sz val="12"/>
      <color theme="1"/>
      <name val="Calibri"/>
      <family val="2"/>
      <scheme val="minor"/>
    </font>
    <font>
      <b/>
      <sz val="18"/>
      <color theme="1"/>
      <name val="Calibri"/>
      <family val="2"/>
      <scheme val="minor"/>
    </font>
    <font>
      <sz val="16"/>
      <color rgb="FFFF0000"/>
      <name val="Calibri (Body)"/>
    </font>
    <font>
      <sz val="12"/>
      <color rgb="FFFF0000"/>
      <name val="Calibri"/>
      <family val="2"/>
      <scheme val="minor"/>
    </font>
    <font>
      <sz val="20"/>
      <color theme="1"/>
      <name val="Calibri"/>
      <family val="2"/>
      <scheme val="minor"/>
    </font>
    <font>
      <sz val="18"/>
      <color theme="1"/>
      <name val="Calibri"/>
      <family val="2"/>
      <scheme val="minor"/>
    </font>
    <font>
      <sz val="10"/>
      <color theme="1"/>
      <name val="Verdana"/>
      <family val="2"/>
    </font>
    <font>
      <sz val="8"/>
      <name val="Calibri"/>
      <family val="2"/>
      <scheme val="minor"/>
    </font>
    <font>
      <sz val="10"/>
      <color rgb="FF000000"/>
      <name val="Verdana"/>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thin">
        <color indexed="64"/>
      </right>
      <top style="thin">
        <color indexed="64"/>
      </top>
      <bottom style="thin">
        <color indexed="64"/>
      </bottom>
      <diagonal/>
    </border>
  </borders>
  <cellStyleXfs count="8">
    <xf numFmtId="0" fontId="0" fillId="0" borderId="0"/>
    <xf numFmtId="9" fontId="5" fillId="0" borderId="0" applyFont="0" applyFill="0" applyBorder="0" applyAlignment="0" applyProtection="0"/>
    <xf numFmtId="0" fontId="8" fillId="0" borderId="0"/>
    <xf numFmtId="0" fontId="9" fillId="0" borderId="0"/>
    <xf numFmtId="165" fontId="8" fillId="0" borderId="0" applyFont="0" applyFill="0" applyBorder="0" applyAlignment="0" applyProtection="0"/>
    <xf numFmtId="9" fontId="8" fillId="0" borderId="0" applyFont="0" applyFill="0" applyBorder="0" applyAlignment="0" applyProtection="0"/>
    <xf numFmtId="43" fontId="5" fillId="0" borderId="0" applyFont="0" applyFill="0" applyBorder="0" applyAlignment="0" applyProtection="0"/>
    <xf numFmtId="0" fontId="16" fillId="0" borderId="0"/>
  </cellStyleXfs>
  <cellXfs count="346">
    <xf numFmtId="0" fontId="0" fillId="0" borderId="0" xfId="0"/>
    <xf numFmtId="0" fontId="0" fillId="0" borderId="7" xfId="0" applyBorder="1"/>
    <xf numFmtId="2" fontId="0" fillId="0" borderId="0" xfId="0" applyNumberFormat="1"/>
    <xf numFmtId="0" fontId="0" fillId="0" borderId="0" xfId="0" applyAlignment="1">
      <alignment wrapText="1"/>
    </xf>
    <xf numFmtId="0" fontId="3" fillId="0" borderId="0" xfId="0" applyFont="1"/>
    <xf numFmtId="2" fontId="0" fillId="0" borderId="9" xfId="0" applyNumberFormat="1" applyBorder="1"/>
    <xf numFmtId="0" fontId="0" fillId="0" borderId="9" xfId="0" applyBorder="1"/>
    <xf numFmtId="2" fontId="3" fillId="0" borderId="0" xfId="0" applyNumberFormat="1" applyFont="1"/>
    <xf numFmtId="0" fontId="1" fillId="0" borderId="0" xfId="0" applyFont="1"/>
    <xf numFmtId="0" fontId="0" fillId="0" borderId="10" xfId="0" applyBorder="1"/>
    <xf numFmtId="0" fontId="2" fillId="0" borderId="10" xfId="0" applyFont="1" applyBorder="1" applyAlignment="1">
      <alignment horizontal="center" vertical="center" wrapText="1"/>
    </xf>
    <xf numFmtId="2" fontId="0" fillId="0" borderId="10" xfId="0" applyNumberFormat="1" applyBorder="1" applyAlignment="1">
      <alignment horizontal="center"/>
    </xf>
    <xf numFmtId="0" fontId="6" fillId="0" borderId="10" xfId="0" applyFont="1" applyBorder="1" applyAlignment="1">
      <alignment horizontal="center" vertical="center" wrapText="1"/>
    </xf>
    <xf numFmtId="0" fontId="8" fillId="0" borderId="0" xfId="2"/>
    <xf numFmtId="164" fontId="8" fillId="0" borderId="0" xfId="2" applyNumberFormat="1"/>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9" fontId="0" fillId="0" borderId="0" xfId="0" applyNumberFormat="1"/>
    <xf numFmtId="0" fontId="10" fillId="0" borderId="0" xfId="2" applyFont="1"/>
    <xf numFmtId="167" fontId="8" fillId="0" borderId="0" xfId="2" applyNumberFormat="1"/>
    <xf numFmtId="0" fontId="8" fillId="0" borderId="0" xfId="2" applyAlignment="1">
      <alignment horizontal="center" vertical="center"/>
    </xf>
    <xf numFmtId="0" fontId="8" fillId="0" borderId="0" xfId="2" applyAlignment="1">
      <alignment horizontal="center" wrapText="1"/>
    </xf>
    <xf numFmtId="0" fontId="8" fillId="0" borderId="0" xfId="2" applyAlignment="1">
      <alignment horizontal="center" vertical="center" wrapText="1"/>
    </xf>
    <xf numFmtId="0" fontId="8" fillId="0" borderId="0" xfId="2" applyAlignment="1">
      <alignment horizontal="center"/>
    </xf>
    <xf numFmtId="9" fontId="0" fillId="0" borderId="0" xfId="5" applyFont="1" applyAlignment="1">
      <alignment horizontal="center"/>
    </xf>
    <xf numFmtId="9" fontId="0" fillId="0" borderId="0" xfId="5" applyFont="1"/>
    <xf numFmtId="0" fontId="0" fillId="0" borderId="0" xfId="0" applyAlignment="1">
      <alignment horizontal="center"/>
    </xf>
    <xf numFmtId="164" fontId="0" fillId="0" borderId="0" xfId="0" applyNumberFormat="1"/>
    <xf numFmtId="2" fontId="0" fillId="0" borderId="0" xfId="0" applyNumberFormat="1" applyAlignment="1">
      <alignment horizontal="center"/>
    </xf>
    <xf numFmtId="0" fontId="9" fillId="0" borderId="0" xfId="0" applyFont="1" applyAlignment="1">
      <alignment horizontal="center" vertical="center" wrapText="1"/>
    </xf>
    <xf numFmtId="164" fontId="0" fillId="0" borderId="0" xfId="0" applyNumberFormat="1" applyAlignment="1">
      <alignment horizontal="center"/>
    </xf>
    <xf numFmtId="1" fontId="0" fillId="0" borderId="0" xfId="0" applyNumberFormat="1" applyAlignment="1">
      <alignment horizontal="center"/>
    </xf>
    <xf numFmtId="0" fontId="1" fillId="0" borderId="0" xfId="0" applyFont="1" applyAlignment="1">
      <alignment horizontal="center"/>
    </xf>
    <xf numFmtId="164" fontId="1" fillId="0" borderId="0" xfId="0" applyNumberFormat="1" applyFont="1" applyAlignment="1">
      <alignment horizontal="center"/>
    </xf>
    <xf numFmtId="0" fontId="0" fillId="0" borderId="0" xfId="0" applyAlignment="1">
      <alignment horizontal="center" wrapText="1"/>
    </xf>
    <xf numFmtId="168" fontId="0" fillId="0" borderId="0" xfId="6" applyNumberFormat="1" applyFont="1"/>
    <xf numFmtId="168" fontId="0" fillId="0" borderId="0" xfId="0" applyNumberFormat="1"/>
    <xf numFmtId="0" fontId="12" fillId="0" borderId="0" xfId="0" applyFont="1"/>
    <xf numFmtId="0" fontId="13" fillId="0" borderId="0" xfId="0" applyFont="1"/>
    <xf numFmtId="2" fontId="13" fillId="0" borderId="0" xfId="0" applyNumberFormat="1" applyFont="1"/>
    <xf numFmtId="164" fontId="13" fillId="0" borderId="0" xfId="0" applyNumberFormat="1" applyFont="1"/>
    <xf numFmtId="164" fontId="14" fillId="0" borderId="0" xfId="0" applyNumberFormat="1" applyFont="1"/>
    <xf numFmtId="0" fontId="14" fillId="0" borderId="0" xfId="0" applyFont="1"/>
    <xf numFmtId="0" fontId="3" fillId="0" borderId="0" xfId="0" applyFont="1" applyAlignment="1">
      <alignment horizontal="center"/>
    </xf>
    <xf numFmtId="164" fontId="14" fillId="0" borderId="0" xfId="0" applyNumberFormat="1" applyFont="1" applyAlignment="1">
      <alignment horizontal="center"/>
    </xf>
    <xf numFmtId="0" fontId="13" fillId="0" borderId="9" xfId="0" applyFont="1" applyBorder="1"/>
    <xf numFmtId="2" fontId="13" fillId="0" borderId="9" xfId="0" applyNumberFormat="1" applyFont="1" applyBorder="1"/>
    <xf numFmtId="164" fontId="13" fillId="0" borderId="9" xfId="0" applyNumberFormat="1" applyFont="1" applyBorder="1"/>
    <xf numFmtId="0" fontId="16" fillId="0" borderId="0" xfId="7"/>
    <xf numFmtId="0" fontId="16" fillId="0" borderId="0" xfId="7" applyAlignment="1">
      <alignment horizontal="center"/>
    </xf>
    <xf numFmtId="2" fontId="16" fillId="0" borderId="0" xfId="7" applyNumberFormat="1" applyAlignment="1">
      <alignment horizontal="center"/>
    </xf>
    <xf numFmtId="0" fontId="16" fillId="0" borderId="0" xfId="7" applyAlignment="1">
      <alignment horizontal="center" wrapText="1"/>
    </xf>
    <xf numFmtId="0" fontId="17" fillId="0" borderId="0" xfId="2" applyFont="1" applyAlignment="1">
      <alignment horizontal="center"/>
    </xf>
    <xf numFmtId="2" fontId="8" fillId="0" borderId="0" xfId="2" applyNumberFormat="1" applyAlignment="1">
      <alignment horizontal="center"/>
    </xf>
    <xf numFmtId="0" fontId="18" fillId="0" borderId="0" xfId="0" applyFont="1"/>
    <xf numFmtId="0" fontId="18" fillId="0" borderId="0" xfId="0" applyFont="1" applyAlignment="1">
      <alignment horizontal="center"/>
    </xf>
    <xf numFmtId="164" fontId="18" fillId="0" borderId="0" xfId="0" applyNumberFormat="1" applyFont="1" applyAlignment="1">
      <alignment horizontal="center"/>
    </xf>
    <xf numFmtId="0" fontId="10" fillId="0" borderId="10" xfId="2" applyFont="1" applyBorder="1"/>
    <xf numFmtId="0" fontId="8" fillId="0" borderId="10" xfId="2" applyBorder="1"/>
    <xf numFmtId="0" fontId="10" fillId="0" borderId="10" xfId="2" applyFont="1" applyBorder="1" applyAlignment="1">
      <alignment horizontal="center"/>
    </xf>
    <xf numFmtId="0" fontId="8" fillId="0" borderId="10" xfId="2" applyBorder="1" applyAlignment="1">
      <alignment horizontal="center"/>
    </xf>
    <xf numFmtId="2" fontId="8" fillId="0" borderId="10" xfId="2" applyNumberFormat="1" applyBorder="1" applyAlignment="1">
      <alignment horizontal="center"/>
    </xf>
    <xf numFmtId="2" fontId="8" fillId="0" borderId="0" xfId="2" applyNumberFormat="1"/>
    <xf numFmtId="0" fontId="19" fillId="0" borderId="0" xfId="7" applyFont="1" applyAlignment="1">
      <alignment horizontal="right"/>
    </xf>
    <xf numFmtId="0" fontId="20" fillId="0" borderId="0" xfId="7" applyFont="1" applyAlignment="1">
      <alignment horizontal="center"/>
    </xf>
    <xf numFmtId="164" fontId="16" fillId="0" borderId="0" xfId="7" applyNumberFormat="1" applyAlignment="1">
      <alignment horizontal="center"/>
    </xf>
    <xf numFmtId="0" fontId="0" fillId="0" borderId="10" xfId="0" applyBorder="1" applyAlignment="1">
      <alignment horizontal="center" vertical="center" wrapText="1"/>
    </xf>
    <xf numFmtId="0" fontId="18" fillId="0" borderId="10" xfId="0" applyFont="1" applyBorder="1" applyAlignment="1">
      <alignment horizontal="center" vertical="center" wrapText="1"/>
    </xf>
    <xf numFmtId="0" fontId="0" fillId="2" borderId="0" xfId="0" applyFill="1"/>
    <xf numFmtId="2" fontId="18" fillId="0" borderId="10" xfId="0" applyNumberFormat="1" applyFont="1" applyBorder="1" applyAlignment="1">
      <alignment horizontal="center" vertical="center" wrapText="1"/>
    </xf>
    <xf numFmtId="0" fontId="1" fillId="0" borderId="10" xfId="0" applyFont="1" applyBorder="1" applyAlignment="1">
      <alignment horizontal="center" vertical="center" wrapText="1"/>
    </xf>
    <xf numFmtId="0" fontId="21" fillId="0" borderId="10" xfId="0" applyFont="1" applyBorder="1" applyAlignment="1">
      <alignment vertical="center"/>
    </xf>
    <xf numFmtId="0" fontId="21" fillId="0" borderId="10" xfId="0" applyFont="1" applyBorder="1" applyAlignment="1">
      <alignment horizontal="center" vertical="center"/>
    </xf>
    <xf numFmtId="0" fontId="22" fillId="0" borderId="10" xfId="0" applyFont="1" applyBorder="1" applyAlignment="1">
      <alignment horizontal="right" vertical="center"/>
    </xf>
    <xf numFmtId="0" fontId="7" fillId="0" borderId="0" xfId="0" applyFont="1"/>
    <xf numFmtId="0" fontId="0" fillId="0" borderId="10" xfId="0" applyBorder="1" applyAlignment="1">
      <alignment horizontal="right" vertical="center"/>
    </xf>
    <xf numFmtId="0" fontId="24" fillId="0" borderId="0" xfId="0" applyFont="1"/>
    <xf numFmtId="0" fontId="24" fillId="0" borderId="1" xfId="0" applyFont="1" applyBorder="1"/>
    <xf numFmtId="0" fontId="24" fillId="0" borderId="2" xfId="0" applyFont="1" applyBorder="1"/>
    <xf numFmtId="0" fontId="24" fillId="0" borderId="3" xfId="0" applyFont="1" applyBorder="1"/>
    <xf numFmtId="0" fontId="24" fillId="0" borderId="4" xfId="0" applyFont="1" applyBorder="1"/>
    <xf numFmtId="0" fontId="24" fillId="0" borderId="5" xfId="0" applyFont="1" applyBorder="1"/>
    <xf numFmtId="0" fontId="24" fillId="0" borderId="6" xfId="0" applyFont="1" applyBorder="1"/>
    <xf numFmtId="0" fontId="24" fillId="0" borderId="7" xfId="0" applyFont="1" applyBorder="1"/>
    <xf numFmtId="0" fontId="24" fillId="0" borderId="8" xfId="0" applyFont="1" applyBorder="1"/>
    <xf numFmtId="0" fontId="11" fillId="0" borderId="0" xfId="0" applyFont="1"/>
    <xf numFmtId="0" fontId="25" fillId="0" borderId="1" xfId="0" applyFont="1" applyBorder="1"/>
    <xf numFmtId="0" fontId="11" fillId="0" borderId="2" xfId="0" applyFont="1" applyBorder="1"/>
    <xf numFmtId="0" fontId="25" fillId="0" borderId="4" xfId="0" applyFont="1" applyBorder="1"/>
    <xf numFmtId="0" fontId="25" fillId="0" borderId="6" xfId="0" applyFont="1" applyBorder="1"/>
    <xf numFmtId="0" fontId="11" fillId="0" borderId="7" xfId="0" applyFont="1" applyBorder="1"/>
    <xf numFmtId="0" fontId="0" fillId="0" borderId="2" xfId="0" applyBorder="1"/>
    <xf numFmtId="0" fontId="3" fillId="0" borderId="3" xfId="0" applyFont="1" applyBorder="1"/>
    <xf numFmtId="0" fontId="3" fillId="0" borderId="4" xfId="0" applyFont="1" applyBorder="1"/>
    <xf numFmtId="0" fontId="3" fillId="0" borderId="5" xfId="0" applyFont="1" applyBorder="1"/>
    <xf numFmtId="0" fontId="3" fillId="0" borderId="6" xfId="0" applyFont="1" applyBorder="1"/>
    <xf numFmtId="0" fontId="3" fillId="0" borderId="8" xfId="0" applyFont="1" applyBorder="1"/>
    <xf numFmtId="0" fontId="25" fillId="0" borderId="3" xfId="0" applyFont="1" applyBorder="1"/>
    <xf numFmtId="0" fontId="25" fillId="0" borderId="5" xfId="0" applyFont="1" applyBorder="1"/>
    <xf numFmtId="0" fontId="25" fillId="0" borderId="8" xfId="0" applyFont="1" applyBorder="1"/>
    <xf numFmtId="2" fontId="25" fillId="0" borderId="5" xfId="0" applyNumberFormat="1" applyFont="1" applyBorder="1"/>
    <xf numFmtId="0" fontId="25" fillId="0" borderId="2" xfId="0" applyFont="1" applyBorder="1"/>
    <xf numFmtId="0" fontId="25" fillId="0" borderId="0" xfId="0" applyFont="1"/>
    <xf numFmtId="0" fontId="25" fillId="0" borderId="7" xfId="0" applyFont="1" applyBorder="1"/>
    <xf numFmtId="0" fontId="27" fillId="0" borderId="1" xfId="2" applyFont="1" applyBorder="1"/>
    <xf numFmtId="0" fontId="27" fillId="0" borderId="3" xfId="2" applyFont="1" applyBorder="1"/>
    <xf numFmtId="0" fontId="27" fillId="0" borderId="6" xfId="2" applyFont="1" applyBorder="1"/>
    <xf numFmtId="0" fontId="27" fillId="0" borderId="8" xfId="2" applyFont="1" applyBorder="1"/>
    <xf numFmtId="2" fontId="24" fillId="0" borderId="1" xfId="0" applyNumberFormat="1" applyFont="1" applyBorder="1"/>
    <xf numFmtId="0" fontId="28" fillId="0" borderId="27" xfId="0" applyFont="1" applyBorder="1"/>
    <xf numFmtId="0" fontId="28" fillId="0" borderId="28" xfId="0" applyFont="1" applyBorder="1" applyAlignment="1">
      <alignment horizontal="center"/>
    </xf>
    <xf numFmtId="0" fontId="28" fillId="0" borderId="29" xfId="0" applyFont="1" applyBorder="1" applyAlignment="1">
      <alignment horizontal="center"/>
    </xf>
    <xf numFmtId="0" fontId="28" fillId="0" borderId="22" xfId="0" applyFont="1" applyBorder="1"/>
    <xf numFmtId="0" fontId="18" fillId="0" borderId="10" xfId="0" applyFont="1" applyBorder="1" applyAlignment="1">
      <alignment horizontal="center"/>
    </xf>
    <xf numFmtId="0" fontId="18" fillId="0" borderId="23" xfId="0" applyFont="1" applyBorder="1" applyAlignment="1">
      <alignment horizontal="center"/>
    </xf>
    <xf numFmtId="0" fontId="28" fillId="0" borderId="10" xfId="0" applyFont="1" applyBorder="1" applyAlignment="1">
      <alignment horizontal="center"/>
    </xf>
    <xf numFmtId="0" fontId="28" fillId="0" borderId="23" xfId="0" applyFont="1" applyBorder="1" applyAlignment="1">
      <alignment horizontal="center"/>
    </xf>
    <xf numFmtId="0" fontId="28" fillId="0" borderId="24" xfId="0" applyFont="1" applyBorder="1"/>
    <xf numFmtId="0" fontId="18" fillId="0" borderId="25" xfId="0" applyFont="1" applyBorder="1" applyAlignment="1">
      <alignment horizontal="center"/>
    </xf>
    <xf numFmtId="0" fontId="18" fillId="0" borderId="26" xfId="0" applyFont="1" applyBorder="1" applyAlignment="1">
      <alignment horizontal="center"/>
    </xf>
    <xf numFmtId="166" fontId="18" fillId="0" borderId="0" xfId="0" applyNumberFormat="1" applyFont="1" applyAlignment="1">
      <alignment horizontal="center"/>
    </xf>
    <xf numFmtId="2" fontId="3" fillId="0" borderId="1" xfId="0" applyNumberFormat="1" applyFont="1" applyBorder="1"/>
    <xf numFmtId="0" fontId="3" fillId="0" borderId="2" xfId="0" applyFont="1" applyBorder="1"/>
    <xf numFmtId="0" fontId="3" fillId="0" borderId="7" xfId="0" applyFont="1" applyBorder="1"/>
    <xf numFmtId="0" fontId="0" fillId="0" borderId="9" xfId="0" applyBorder="1" applyAlignment="1">
      <alignment horizontal="center"/>
    </xf>
    <xf numFmtId="0" fontId="18" fillId="0" borderId="9" xfId="0" applyFont="1" applyBorder="1" applyAlignment="1">
      <alignment horizontal="center"/>
    </xf>
    <xf numFmtId="2" fontId="18" fillId="0" borderId="9" xfId="0" applyNumberFormat="1" applyFont="1" applyBorder="1" applyAlignment="1">
      <alignment horizontal="center"/>
    </xf>
    <xf numFmtId="0" fontId="18" fillId="0" borderId="9" xfId="0" applyFont="1" applyBorder="1"/>
    <xf numFmtId="0" fontId="1" fillId="0" borderId="9" xfId="0" applyFont="1" applyBorder="1" applyAlignment="1">
      <alignment horizontal="center"/>
    </xf>
    <xf numFmtId="164" fontId="1" fillId="0" borderId="9" xfId="0" applyNumberFormat="1" applyFont="1" applyBorder="1" applyAlignment="1">
      <alignment horizontal="center"/>
    </xf>
    <xf numFmtId="0" fontId="15" fillId="0" borderId="0" xfId="7" applyFont="1"/>
    <xf numFmtId="0" fontId="15" fillId="0" borderId="0" xfId="7" applyFont="1" applyAlignment="1">
      <alignment horizontal="center"/>
    </xf>
    <xf numFmtId="2" fontId="15" fillId="0" borderId="0" xfId="7" applyNumberFormat="1" applyFont="1" applyAlignment="1">
      <alignment horizontal="center"/>
    </xf>
    <xf numFmtId="164" fontId="15" fillId="0" borderId="0" xfId="7" applyNumberFormat="1" applyFont="1" applyAlignment="1">
      <alignment horizontal="center"/>
    </xf>
    <xf numFmtId="0" fontId="15" fillId="0" borderId="0" xfId="7" applyFont="1" applyAlignment="1">
      <alignment horizontal="center" wrapText="1"/>
    </xf>
    <xf numFmtId="164" fontId="15" fillId="0" borderId="0" xfId="7" applyNumberFormat="1" applyFont="1"/>
    <xf numFmtId="0" fontId="29" fillId="0" borderId="0" xfId="7" applyFont="1" applyAlignment="1">
      <alignment horizontal="center"/>
    </xf>
    <xf numFmtId="2" fontId="29" fillId="0" borderId="0" xfId="7" applyNumberFormat="1" applyFont="1" applyAlignment="1">
      <alignment horizontal="center"/>
    </xf>
    <xf numFmtId="0" fontId="15" fillId="0" borderId="9" xfId="7" applyFont="1" applyBorder="1"/>
    <xf numFmtId="0" fontId="15" fillId="0" borderId="9" xfId="7" applyFont="1" applyBorder="1" applyAlignment="1">
      <alignment horizontal="center" wrapText="1"/>
    </xf>
    <xf numFmtId="0" fontId="15" fillId="0" borderId="9" xfId="7" applyFont="1" applyBorder="1" applyAlignment="1">
      <alignment horizontal="center"/>
    </xf>
    <xf numFmtId="0" fontId="29" fillId="0" borderId="9" xfId="7" applyFont="1" applyBorder="1"/>
    <xf numFmtId="0" fontId="29" fillId="0" borderId="9" xfId="7" applyFont="1" applyBorder="1" applyAlignment="1">
      <alignment horizontal="center"/>
    </xf>
    <xf numFmtId="0" fontId="8" fillId="0" borderId="9" xfId="2" applyBorder="1" applyAlignment="1">
      <alignment horizontal="center"/>
    </xf>
    <xf numFmtId="0" fontId="8" fillId="0" borderId="9" xfId="2" applyBorder="1"/>
    <xf numFmtId="1" fontId="18" fillId="0" borderId="10" xfId="0" applyNumberFormat="1" applyFont="1" applyBorder="1" applyAlignment="1">
      <alignment horizontal="center" vertical="center" wrapText="1"/>
    </xf>
    <xf numFmtId="0" fontId="0" fillId="0" borderId="4" xfId="0" applyBorder="1" applyAlignment="1">
      <alignment horizontal="center"/>
    </xf>
    <xf numFmtId="0" fontId="0" fillId="0" borderId="5" xfId="0" applyBorder="1" applyAlignment="1">
      <alignment horizontal="center"/>
    </xf>
    <xf numFmtId="2" fontId="0" fillId="0" borderId="5" xfId="0" applyNumberFormat="1" applyBorder="1" applyAlignment="1">
      <alignment horizontal="center"/>
    </xf>
    <xf numFmtId="0" fontId="0" fillId="0" borderId="6" xfId="0" applyBorder="1" applyAlignment="1">
      <alignment horizontal="center"/>
    </xf>
    <xf numFmtId="2" fontId="0" fillId="0" borderId="8" xfId="0" applyNumberFormat="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2" fontId="0" fillId="0" borderId="7" xfId="0" applyNumberFormat="1" applyBorder="1" applyAlignment="1">
      <alignment horizontal="center"/>
    </xf>
    <xf numFmtId="0" fontId="0" fillId="0" borderId="5" xfId="0" applyBorder="1"/>
    <xf numFmtId="0" fontId="0" fillId="0" borderId="7" xfId="0" applyBorder="1" applyAlignment="1">
      <alignment horizontal="center"/>
    </xf>
    <xf numFmtId="0" fontId="0" fillId="0" borderId="8" xfId="0" applyBorder="1"/>
    <xf numFmtId="0" fontId="31" fillId="0" borderId="20" xfId="0" applyFont="1" applyBorder="1" applyAlignment="1">
      <alignment horizontal="centerContinuous"/>
    </xf>
    <xf numFmtId="0" fontId="0" fillId="0" borderId="3" xfId="0" applyBorder="1"/>
    <xf numFmtId="0" fontId="0" fillId="0" borderId="4" xfId="0" applyBorder="1"/>
    <xf numFmtId="164" fontId="0" fillId="0" borderId="5" xfId="0" applyNumberFormat="1" applyBorder="1"/>
    <xf numFmtId="164" fontId="0" fillId="0" borderId="7" xfId="0" applyNumberFormat="1" applyBorder="1" applyAlignment="1">
      <alignment horizontal="center"/>
    </xf>
    <xf numFmtId="0" fontId="0" fillId="0" borderId="1" xfId="0" applyBorder="1"/>
    <xf numFmtId="2" fontId="0" fillId="0" borderId="3" xfId="0" applyNumberFormat="1" applyBorder="1"/>
    <xf numFmtId="2" fontId="0" fillId="0" borderId="5" xfId="0" applyNumberFormat="1" applyBorder="1"/>
    <xf numFmtId="0" fontId="0" fillId="0" borderId="6" xfId="0" applyBorder="1"/>
    <xf numFmtId="2" fontId="0" fillId="0" borderId="8" xfId="0" applyNumberFormat="1" applyBorder="1"/>
    <xf numFmtId="0" fontId="3" fillId="0" borderId="0" xfId="0" applyFont="1" applyAlignment="1">
      <alignment horizontal="right"/>
    </xf>
    <xf numFmtId="0" fontId="32" fillId="0" borderId="0" xfId="0" applyFont="1"/>
    <xf numFmtId="164" fontId="0" fillId="0" borderId="2" xfId="0" applyNumberFormat="1" applyBorder="1"/>
    <xf numFmtId="164" fontId="0" fillId="0" borderId="7" xfId="0" applyNumberFormat="1" applyBorder="1"/>
    <xf numFmtId="169" fontId="0" fillId="0" borderId="0" xfId="0" applyNumberFormat="1" applyAlignment="1">
      <alignment horizontal="center"/>
    </xf>
    <xf numFmtId="164" fontId="0" fillId="0" borderId="5" xfId="0" applyNumberFormat="1" applyBorder="1" applyAlignment="1">
      <alignment horizontal="center"/>
    </xf>
    <xf numFmtId="164" fontId="0" fillId="0" borderId="8" xfId="0" applyNumberFormat="1" applyBorder="1" applyAlignment="1">
      <alignment horizontal="center"/>
    </xf>
    <xf numFmtId="2" fontId="18" fillId="3" borderId="10" xfId="0" applyNumberFormat="1" applyFont="1" applyFill="1" applyBorder="1" applyAlignment="1">
      <alignment horizontal="center" vertical="center" wrapText="1"/>
    </xf>
    <xf numFmtId="0" fontId="25" fillId="3" borderId="0" xfId="0" applyFont="1" applyFill="1" applyAlignment="1">
      <alignment horizontal="center"/>
    </xf>
    <xf numFmtId="164" fontId="0" fillId="0" borderId="4" xfId="0" applyNumberFormat="1" applyBorder="1" applyAlignment="1">
      <alignment horizontal="center"/>
    </xf>
    <xf numFmtId="2" fontId="18" fillId="0" borderId="10" xfId="0" applyNumberFormat="1" applyFont="1" applyBorder="1" applyAlignment="1">
      <alignment horizontal="center" vertical="center"/>
    </xf>
    <xf numFmtId="166" fontId="0" fillId="0" borderId="0" xfId="0" applyNumberFormat="1" applyAlignment="1">
      <alignment horizontal="center"/>
    </xf>
    <xf numFmtId="164" fontId="0" fillId="0" borderId="3" xfId="0" applyNumberFormat="1" applyBorder="1"/>
    <xf numFmtId="164" fontId="0" fillId="0" borderId="8" xfId="0" applyNumberFormat="1" applyBorder="1"/>
    <xf numFmtId="2" fontId="2" fillId="0" borderId="10" xfId="0" applyNumberFormat="1" applyFont="1" applyBorder="1" applyAlignment="1">
      <alignment horizontal="center" vertical="center" wrapText="1"/>
    </xf>
    <xf numFmtId="166" fontId="0" fillId="0" borderId="5" xfId="0" applyNumberFormat="1" applyBorder="1"/>
    <xf numFmtId="170" fontId="0" fillId="0" borderId="5" xfId="0" applyNumberFormat="1" applyBorder="1"/>
    <xf numFmtId="166" fontId="0" fillId="0" borderId="0" xfId="0" applyNumberFormat="1"/>
    <xf numFmtId="166" fontId="0" fillId="0" borderId="7" xfId="0" applyNumberFormat="1" applyBorder="1" applyAlignment="1">
      <alignment horizontal="center"/>
    </xf>
    <xf numFmtId="170" fontId="0" fillId="0" borderId="7" xfId="0" applyNumberFormat="1" applyBorder="1"/>
    <xf numFmtId="0" fontId="0" fillId="0" borderId="10" xfId="0" applyBorder="1" applyAlignment="1">
      <alignment horizontal="center"/>
    </xf>
    <xf numFmtId="0" fontId="0" fillId="0" borderId="0" xfId="0" applyAlignment="1">
      <alignment horizontal="center" vertical="center" wrapText="1"/>
    </xf>
    <xf numFmtId="0" fontId="0" fillId="0" borderId="0" xfId="0" applyAlignment="1">
      <alignment horizontal="left" wrapText="1"/>
    </xf>
    <xf numFmtId="0" fontId="0" fillId="0" borderId="18" xfId="0" applyBorder="1"/>
    <xf numFmtId="0" fontId="0" fillId="0" borderId="12" xfId="0" applyBorder="1"/>
    <xf numFmtId="0" fontId="0" fillId="0" borderId="14" xfId="0" applyBorder="1"/>
    <xf numFmtId="0" fontId="0" fillId="0" borderId="13" xfId="0" applyBorder="1"/>
    <xf numFmtId="10" fontId="0" fillId="0" borderId="0" xfId="1" applyNumberFormat="1" applyFont="1"/>
    <xf numFmtId="0" fontId="0" fillId="0" borderId="11" xfId="0" applyBorder="1"/>
    <xf numFmtId="10" fontId="0" fillId="0" borderId="0" xfId="0" applyNumberFormat="1"/>
    <xf numFmtId="0" fontId="0" fillId="0" borderId="16" xfId="0" applyBorder="1"/>
    <xf numFmtId="0" fontId="0" fillId="0" borderId="17" xfId="0" applyBorder="1"/>
    <xf numFmtId="0" fontId="1" fillId="0" borderId="10" xfId="0" applyFont="1" applyBorder="1" applyAlignment="1">
      <alignment horizontal="center"/>
    </xf>
    <xf numFmtId="2" fontId="0" fillId="0" borderId="10" xfId="0" applyNumberFormat="1" applyBorder="1"/>
    <xf numFmtId="0" fontId="0" fillId="0" borderId="1" xfId="0" applyBorder="1" applyAlignment="1">
      <alignment horizontal="center"/>
    </xf>
    <xf numFmtId="2" fontId="0" fillId="0" borderId="2" xfId="0" applyNumberFormat="1" applyBorder="1" applyAlignment="1">
      <alignment horizontal="center"/>
    </xf>
    <xf numFmtId="0" fontId="0" fillId="0" borderId="0" xfId="0" applyAlignment="1">
      <alignment vertical="center" wrapText="1"/>
    </xf>
    <xf numFmtId="0" fontId="1" fillId="0" borderId="1" xfId="0" applyFont="1" applyBorder="1"/>
    <xf numFmtId="10" fontId="0" fillId="0" borderId="2" xfId="0" applyNumberFormat="1" applyBorder="1"/>
    <xf numFmtId="0" fontId="1" fillId="0" borderId="4" xfId="0" applyFont="1" applyBorder="1"/>
    <xf numFmtId="1" fontId="0" fillId="0" borderId="0" xfId="0" applyNumberFormat="1"/>
    <xf numFmtId="169" fontId="0" fillId="0" borderId="0" xfId="0" applyNumberFormat="1"/>
    <xf numFmtId="0" fontId="0" fillId="0" borderId="5" xfId="0" applyBorder="1" applyAlignment="1">
      <alignment vertical="center" wrapText="1"/>
    </xf>
    <xf numFmtId="0" fontId="0" fillId="3" borderId="10" xfId="0" applyFill="1" applyBorder="1" applyAlignment="1">
      <alignment horizontal="center" vertical="center" wrapText="1"/>
    </xf>
    <xf numFmtId="169" fontId="0" fillId="0" borderId="0" xfId="0" applyNumberFormat="1" applyAlignment="1">
      <alignment horizontal="right"/>
    </xf>
    <xf numFmtId="0" fontId="0" fillId="0" borderId="0" xfId="0" applyAlignment="1">
      <alignment horizontal="right"/>
    </xf>
    <xf numFmtId="0" fontId="3" fillId="0" borderId="0" xfId="0" applyFont="1" applyAlignment="1">
      <alignment horizontal="center" vertical="center" wrapText="1"/>
    </xf>
    <xf numFmtId="0" fontId="1" fillId="0" borderId="0" xfId="0" applyFont="1" applyAlignment="1">
      <alignment horizontal="center" vertical="center" wrapText="1"/>
    </xf>
    <xf numFmtId="0" fontId="10" fillId="0" borderId="10" xfId="0" applyFont="1" applyBorder="1"/>
    <xf numFmtId="0" fontId="7" fillId="0" borderId="10" xfId="0" applyFont="1" applyBorder="1"/>
    <xf numFmtId="164" fontId="7" fillId="0" borderId="10" xfId="0" applyNumberFormat="1" applyFont="1" applyBorder="1"/>
    <xf numFmtId="164" fontId="7" fillId="3" borderId="10" xfId="0" applyNumberFormat="1" applyFont="1" applyFill="1" applyBorder="1"/>
    <xf numFmtId="0" fontId="0" fillId="3" borderId="10" xfId="0" applyFill="1" applyBorder="1" applyAlignment="1">
      <alignment horizontal="right" vertical="center"/>
    </xf>
    <xf numFmtId="0" fontId="0" fillId="0" borderId="10" xfId="0" applyBorder="1" applyAlignment="1">
      <alignment horizontal="right"/>
    </xf>
    <xf numFmtId="2" fontId="0" fillId="0" borderId="10" xfId="0" applyNumberFormat="1" applyBorder="1" applyAlignment="1">
      <alignment horizontal="right"/>
    </xf>
    <xf numFmtId="1" fontId="0" fillId="0" borderId="10" xfId="0" applyNumberFormat="1" applyBorder="1" applyAlignment="1">
      <alignment horizontal="right"/>
    </xf>
    <xf numFmtId="0" fontId="1" fillId="0" borderId="10" xfId="0" applyFont="1" applyBorder="1" applyAlignment="1">
      <alignment vertical="center" wrapText="1"/>
    </xf>
    <xf numFmtId="0" fontId="23" fillId="0" borderId="10" xfId="0" applyFont="1" applyBorder="1" applyAlignment="1">
      <alignment horizontal="right" vertical="center" wrapText="1"/>
    </xf>
    <xf numFmtId="169" fontId="0" fillId="0" borderId="10" xfId="0" applyNumberFormat="1" applyBorder="1" applyAlignment="1">
      <alignment horizontal="right"/>
    </xf>
    <xf numFmtId="0" fontId="35" fillId="0" borderId="0" xfId="0" applyFont="1"/>
    <xf numFmtId="0" fontId="36" fillId="0" borderId="0" xfId="0" applyFont="1"/>
    <xf numFmtId="0" fontId="4" fillId="0" borderId="0" xfId="0" applyFont="1"/>
    <xf numFmtId="166" fontId="8" fillId="0" borderId="0" xfId="2" applyNumberFormat="1"/>
    <xf numFmtId="0" fontId="37" fillId="0" borderId="10" xfId="0" applyFont="1" applyBorder="1" applyAlignment="1">
      <alignment horizontal="center" vertical="center"/>
    </xf>
    <xf numFmtId="0" fontId="8" fillId="0" borderId="10" xfId="2" applyBorder="1" applyAlignment="1">
      <alignment horizontal="center" vertical="center"/>
    </xf>
    <xf numFmtId="0" fontId="8" fillId="0" borderId="10" xfId="2" applyBorder="1" applyAlignment="1">
      <alignment vertical="center"/>
    </xf>
    <xf numFmtId="0" fontId="37" fillId="0" borderId="10" xfId="0" applyFont="1" applyBorder="1" applyAlignment="1">
      <alignment horizontal="right" vertical="center"/>
    </xf>
    <xf numFmtId="0" fontId="37" fillId="0" borderId="10" xfId="0" applyFont="1" applyBorder="1" applyAlignment="1">
      <alignment horizontal="left" vertical="center"/>
    </xf>
    <xf numFmtId="0" fontId="37" fillId="0" borderId="34" xfId="0" applyFont="1" applyBorder="1" applyAlignment="1">
      <alignment horizontal="right" vertical="center"/>
    </xf>
    <xf numFmtId="10" fontId="8" fillId="0" borderId="0" xfId="2" applyNumberFormat="1"/>
    <xf numFmtId="0" fontId="39" fillId="0" borderId="10" xfId="0" applyFont="1" applyBorder="1" applyAlignment="1">
      <alignment horizontal="left" vertical="center"/>
    </xf>
    <xf numFmtId="9" fontId="0" fillId="0" borderId="0" xfId="1" applyFont="1"/>
    <xf numFmtId="10" fontId="0" fillId="0" borderId="0" xfId="5" applyNumberFormat="1" applyFont="1"/>
    <xf numFmtId="0" fontId="8" fillId="0" borderId="10" xfId="2" applyBorder="1" applyAlignment="1">
      <alignment horizontal="left"/>
    </xf>
    <xf numFmtId="9" fontId="8" fillId="0" borderId="10" xfId="1" applyFont="1" applyBorder="1"/>
    <xf numFmtId="0" fontId="8" fillId="0" borderId="0" xfId="2" applyAlignment="1">
      <alignment horizontal="left"/>
    </xf>
    <xf numFmtId="167" fontId="0" fillId="0" borderId="2" xfId="0" applyNumberFormat="1" applyBorder="1"/>
    <xf numFmtId="0" fontId="4" fillId="0" borderId="0" xfId="0" applyFont="1" applyAlignment="1">
      <alignment horizontal="center" vertical="center"/>
    </xf>
    <xf numFmtId="0" fontId="25" fillId="0" borderId="5" xfId="0" applyFont="1" applyBorder="1" applyAlignment="1">
      <alignment horizontal="left" vertical="center"/>
    </xf>
    <xf numFmtId="0" fontId="25" fillId="0" borderId="8" xfId="0" applyFont="1" applyBorder="1" applyAlignment="1">
      <alignment horizontal="left" vertical="center"/>
    </xf>
    <xf numFmtId="0" fontId="8" fillId="0" borderId="10" xfId="2" applyBorder="1" applyAlignment="1">
      <alignment horizontal="center" vertical="center"/>
    </xf>
    <xf numFmtId="0" fontId="10" fillId="0" borderId="27" xfId="2" applyFont="1" applyBorder="1" applyAlignment="1">
      <alignment horizontal="center"/>
    </xf>
    <xf numFmtId="0" fontId="10" fillId="0" borderId="28" xfId="2" applyFont="1" applyBorder="1" applyAlignment="1">
      <alignment horizontal="center"/>
    </xf>
    <xf numFmtId="0" fontId="10" fillId="0" borderId="29" xfId="2" applyFont="1" applyBorder="1" applyAlignment="1">
      <alignment horizontal="center"/>
    </xf>
    <xf numFmtId="0" fontId="10" fillId="0" borderId="24" xfId="2" applyFont="1" applyBorder="1" applyAlignment="1">
      <alignment horizontal="center"/>
    </xf>
    <xf numFmtId="0" fontId="10" fillId="0" borderId="25" xfId="2" applyFont="1" applyBorder="1" applyAlignment="1">
      <alignment horizontal="center"/>
    </xf>
    <xf numFmtId="0" fontId="10" fillId="0" borderId="26" xfId="2" applyFont="1"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8" fillId="0" borderId="1" xfId="2" applyBorder="1" applyAlignment="1">
      <alignment horizontal="center" vertical="center" wrapText="1"/>
    </xf>
    <xf numFmtId="0" fontId="8" fillId="0" borderId="2" xfId="2" applyBorder="1" applyAlignment="1">
      <alignment horizontal="center" vertical="center" wrapText="1"/>
    </xf>
    <xf numFmtId="0" fontId="8" fillId="0" borderId="3" xfId="2" applyBorder="1" applyAlignment="1">
      <alignment horizontal="center" vertical="center" wrapText="1"/>
    </xf>
    <xf numFmtId="0" fontId="8" fillId="0" borderId="4" xfId="2" applyBorder="1" applyAlignment="1">
      <alignment horizontal="center" vertical="center" wrapText="1"/>
    </xf>
    <xf numFmtId="0" fontId="8" fillId="0" borderId="0" xfId="2" applyAlignment="1">
      <alignment horizontal="center" vertical="center" wrapText="1"/>
    </xf>
    <xf numFmtId="0" fontId="8" fillId="0" borderId="5" xfId="2" applyBorder="1" applyAlignment="1">
      <alignment horizontal="center" vertical="center" wrapText="1"/>
    </xf>
    <xf numFmtId="0" fontId="8" fillId="0" borderId="6" xfId="2" applyBorder="1" applyAlignment="1">
      <alignment horizontal="center" vertical="center" wrapText="1"/>
    </xf>
    <xf numFmtId="0" fontId="8" fillId="0" borderId="7" xfId="2" applyBorder="1" applyAlignment="1">
      <alignment horizontal="center" vertical="center" wrapText="1"/>
    </xf>
    <xf numFmtId="0" fontId="8" fillId="0" borderId="8" xfId="2" applyBorder="1" applyAlignment="1">
      <alignment horizontal="center" vertical="center"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3" fillId="0" borderId="15" xfId="0" applyFont="1" applyBorder="1" applyAlignment="1">
      <alignment horizontal="center"/>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3" xfId="0" applyFont="1" applyBorder="1" applyAlignment="1">
      <alignment horizontal="center" wrapText="1"/>
    </xf>
    <xf numFmtId="0" fontId="18" fillId="0" borderId="6"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24" fillId="0" borderId="15" xfId="0" applyFont="1" applyBorder="1" applyAlignment="1">
      <alignment horizont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0" xfId="0" applyFont="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0" xfId="0" applyFont="1" applyAlignment="1">
      <alignment horizontal="center"/>
    </xf>
    <xf numFmtId="0" fontId="15" fillId="0" borderId="0" xfId="7" applyFont="1" applyAlignment="1">
      <alignment horizontal="center"/>
    </xf>
    <xf numFmtId="0" fontId="30" fillId="0" borderId="15" xfId="7" applyFont="1" applyBorder="1" applyAlignment="1">
      <alignment horizontal="center"/>
    </xf>
    <xf numFmtId="0" fontId="26" fillId="0" borderId="15" xfId="2" applyFont="1" applyBorder="1" applyAlignment="1">
      <alignment horizontal="center"/>
    </xf>
    <xf numFmtId="0" fontId="18" fillId="0" borderId="0" xfId="0" applyFont="1" applyAlignment="1">
      <alignment horizontal="center"/>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0" xfId="0" applyFont="1" applyAlignment="1">
      <alignment horizontal="center" vertical="center" wrapText="1"/>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3" fillId="0" borderId="0" xfId="0" applyFont="1" applyAlignment="1">
      <alignment horizontal="center" vertical="center" wrapText="1"/>
    </xf>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0" fillId="0" borderId="0" xfId="0"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1" fillId="0" borderId="30" xfId="0" applyFont="1" applyBorder="1" applyAlignment="1">
      <alignment horizontal="center"/>
    </xf>
    <xf numFmtId="0" fontId="1" fillId="0" borderId="31" xfId="0" applyFont="1" applyBorder="1" applyAlignment="1">
      <alignment horizontal="center"/>
    </xf>
    <xf numFmtId="0" fontId="0" fillId="0" borderId="4" xfId="0" applyBorder="1" applyAlignment="1">
      <alignment horizontal="center" vertical="center" wrapText="1"/>
    </xf>
    <xf numFmtId="0" fontId="0" fillId="0" borderId="6" xfId="0" applyBorder="1" applyAlignment="1">
      <alignment horizontal="center" vertical="center" wrapText="1"/>
    </xf>
    <xf numFmtId="164" fontId="0" fillId="0" borderId="3" xfId="0" applyNumberFormat="1" applyBorder="1" applyAlignment="1">
      <alignment horizontal="center" vertical="center" wrapText="1"/>
    </xf>
    <xf numFmtId="0" fontId="0" fillId="0" borderId="0" xfId="0" applyAlignment="1">
      <alignment horizontal="center" wrapText="1"/>
    </xf>
    <xf numFmtId="0" fontId="0" fillId="0" borderId="5" xfId="0" applyBorder="1" applyAlignment="1">
      <alignment horizontal="center" wrapText="1"/>
    </xf>
    <xf numFmtId="0" fontId="0" fillId="0" borderId="6" xfId="0" applyBorder="1" applyAlignment="1">
      <alignment horizontal="center"/>
    </xf>
    <xf numFmtId="0" fontId="0" fillId="0" borderId="7" xfId="0" applyBorder="1" applyAlignment="1">
      <alignment horizontal="center"/>
    </xf>
    <xf numFmtId="0" fontId="1" fillId="0" borderId="10" xfId="0" applyFont="1" applyBorder="1" applyAlignment="1">
      <alignment horizontal="center"/>
    </xf>
    <xf numFmtId="0" fontId="0" fillId="0" borderId="30" xfId="0" applyBorder="1" applyAlignment="1">
      <alignment horizontal="center" wrapText="1"/>
    </xf>
    <xf numFmtId="0" fontId="0" fillId="0" borderId="32" xfId="0" applyBorder="1" applyAlignment="1">
      <alignment horizontal="center" wrapText="1"/>
    </xf>
    <xf numFmtId="0" fontId="0" fillId="0" borderId="31" xfId="0" applyBorder="1" applyAlignment="1">
      <alignment horizontal="center" wrapText="1"/>
    </xf>
    <xf numFmtId="0" fontId="0" fillId="0" borderId="1" xfId="0" applyBorder="1" applyAlignment="1">
      <alignment horizontal="center" vertical="center" wrapText="1"/>
    </xf>
    <xf numFmtId="0" fontId="1" fillId="0" borderId="10" xfId="0" applyFont="1" applyBorder="1" applyAlignment="1">
      <alignment horizontal="center" vertical="center" wrapText="1"/>
    </xf>
    <xf numFmtId="0" fontId="0" fillId="0" borderId="4" xfId="0" applyBorder="1" applyAlignment="1">
      <alignment horizontal="center" wrapText="1"/>
    </xf>
    <xf numFmtId="0" fontId="1" fillId="0" borderId="10" xfId="0" applyFont="1" applyBorder="1" applyAlignment="1">
      <alignment horizontal="center" vertical="center"/>
    </xf>
    <xf numFmtId="0" fontId="0" fillId="0" borderId="30" xfId="0" applyBorder="1" applyAlignment="1">
      <alignment horizontal="center"/>
    </xf>
    <xf numFmtId="0" fontId="0" fillId="0" borderId="32" xfId="0" applyBorder="1" applyAlignment="1">
      <alignment horizontal="center"/>
    </xf>
    <xf numFmtId="0" fontId="0" fillId="0" borderId="31" xfId="0" applyBorder="1" applyAlignment="1">
      <alignment horizontal="center"/>
    </xf>
    <xf numFmtId="0" fontId="7" fillId="0" borderId="30" xfId="0" applyFont="1" applyBorder="1" applyAlignment="1">
      <alignment horizontal="center"/>
    </xf>
    <xf numFmtId="0" fontId="7" fillId="0" borderId="32" xfId="0" applyFont="1" applyBorder="1" applyAlignment="1">
      <alignment horizontal="center"/>
    </xf>
    <xf numFmtId="0" fontId="7" fillId="0" borderId="33" xfId="0" applyFont="1" applyBorder="1" applyAlignment="1">
      <alignment horizontal="center"/>
    </xf>
    <xf numFmtId="0" fontId="11" fillId="0" borderId="0" xfId="0" applyFont="1" applyAlignment="1">
      <alignment horizontal="center" vertical="center" wrapText="1"/>
    </xf>
    <xf numFmtId="0" fontId="4" fillId="0" borderId="1"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34" fillId="0" borderId="30" xfId="0" applyFont="1" applyBorder="1" applyAlignment="1">
      <alignment horizontal="center"/>
    </xf>
    <xf numFmtId="0" fontId="34" fillId="0" borderId="32" xfId="0" applyFont="1" applyBorder="1" applyAlignment="1">
      <alignment horizontal="center"/>
    </xf>
    <xf numFmtId="0" fontId="34" fillId="0" borderId="31" xfId="0" applyFont="1" applyBorder="1" applyAlignment="1">
      <alignment horizontal="center"/>
    </xf>
  </cellXfs>
  <cellStyles count="8">
    <cellStyle name="Comma 2" xfId="6" xr:uid="{F87E1312-0932-C14C-B3A0-605FF04AC8D3}"/>
    <cellStyle name="Currency 2" xfId="4" xr:uid="{65FA352F-7963-A54E-B7A2-881B46425728}"/>
    <cellStyle name="Normal" xfId="0" builtinId="0"/>
    <cellStyle name="Normal 2" xfId="2" xr:uid="{FAA62604-9A09-D541-ADCA-017220EFCE4F}"/>
    <cellStyle name="Normal 2 2" xfId="7" xr:uid="{2F8C775D-C42B-E749-9589-BEC33D31AD9D}"/>
    <cellStyle name="Normal 3" xfId="3" xr:uid="{C460063F-BFCB-1C4B-9244-A763905D0931}"/>
    <cellStyle name="Percent" xfId="1" builtinId="5"/>
    <cellStyle name="Percent 2" xfId="5" xr:uid="{C0AF13DD-7ACB-D144-BC7C-AD5D47E0CF1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2925125714401"/>
          <c:y val="0.114094146677962"/>
          <c:w val="0.71470536915113103"/>
          <c:h val="0.68792059026417995"/>
        </c:manualLayout>
      </c:layout>
      <c:barChart>
        <c:barDir val="col"/>
        <c:grouping val="clustered"/>
        <c:varyColors val="0"/>
        <c:ser>
          <c:idx val="1"/>
          <c:order val="0"/>
          <c:spPr>
            <a:solidFill>
              <a:srgbClr val="000000"/>
            </a:solidFill>
            <a:ln w="12700">
              <a:solidFill>
                <a:srgbClr val="000000"/>
              </a:solidFill>
              <a:prstDash val="solid"/>
            </a:ln>
          </c:spPr>
          <c:invertIfNegative val="0"/>
          <c:dLbls>
            <c:dLbl>
              <c:idx val="0"/>
              <c:layout>
                <c:manualLayout>
                  <c:x val="9.1427132135966094E-3"/>
                  <c:y val="7.4467909533576307E-2"/>
                </c:manualLayout>
              </c:layout>
              <c:spPr>
                <a:noFill/>
                <a:ln w="25400">
                  <a:noFill/>
                </a:ln>
              </c:spPr>
              <c:txPr>
                <a:bodyPr/>
                <a:lstStyle/>
                <a:p>
                  <a:pPr>
                    <a:defRPr sz="1100" b="1" i="0" u="none" strike="noStrike" baseline="30000">
                      <a:solidFill>
                        <a:srgbClr val="FFFFFF"/>
                      </a:solidFill>
                      <a:latin typeface="Rockwell"/>
                      <a:ea typeface="Rockwell"/>
                      <a:cs typeface="Rockwell"/>
                    </a:defRPr>
                  </a:pPr>
                  <a:endParaRPr lang="en-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88-E54D-8DFF-F54EEBB18C15}"/>
                </c:ext>
              </c:extLst>
            </c:dLbl>
            <c:dLbl>
              <c:idx val="1"/>
              <c:layout>
                <c:manualLayout>
                  <c:x val="5.6194741816854602E-3"/>
                  <c:y val="0.1544876221455170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88-E54D-8DFF-F54EEBB18C15}"/>
                </c:ext>
              </c:extLst>
            </c:dLbl>
            <c:spPr>
              <a:noFill/>
              <a:ln w="25400">
                <a:noFill/>
              </a:ln>
            </c:spPr>
            <c:txPr>
              <a:bodyPr/>
              <a:lstStyle/>
              <a:p>
                <a:pPr>
                  <a:defRPr sz="1100" b="1" i="0" u="none" strike="noStrike" baseline="0">
                    <a:solidFill>
                      <a:srgbClr val="FFFFFF"/>
                    </a:solidFill>
                    <a:latin typeface="Rockwell"/>
                    <a:ea typeface="Rockwell"/>
                    <a:cs typeface="Rockwell"/>
                  </a:defRPr>
                </a:pPr>
                <a:endParaRPr lang="en-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'1IyP'!$A$2:$A$5</c:f>
              <c:strCache>
                <c:ptCount val="4"/>
                <c:pt idx="0">
                  <c:v>Reventado de piel</c:v>
                </c:pt>
                <c:pt idx="1">
                  <c:v>Piel Arrugada</c:v>
                </c:pt>
                <c:pt idx="2">
                  <c:v>Falla costura</c:v>
                </c:pt>
                <c:pt idx="3">
                  <c:v>Mal montaje</c:v>
                </c:pt>
              </c:strCache>
            </c:strRef>
          </c:cat>
          <c:val>
            <c:numRef>
              <c:f>'1IyP'!$C$2:$C$5</c:f>
              <c:numCache>
                <c:formatCode>0.0000</c:formatCode>
                <c:ptCount val="4"/>
                <c:pt idx="0">
                  <c:v>0.5043478260869565</c:v>
                </c:pt>
                <c:pt idx="1">
                  <c:v>0.27826086956521739</c:v>
                </c:pt>
                <c:pt idx="2">
                  <c:v>0.14782608695652175</c:v>
                </c:pt>
                <c:pt idx="3">
                  <c:v>6.9565217391304349E-2</c:v>
                </c:pt>
              </c:numCache>
            </c:numRef>
          </c:val>
          <c:extLst>
            <c:ext xmlns:c16="http://schemas.microsoft.com/office/drawing/2014/chart" uri="{C3380CC4-5D6E-409C-BE32-E72D297353CC}">
              <c16:uniqueId val="{00000002-1188-E54D-8DFF-F54EEBB18C15}"/>
            </c:ext>
          </c:extLst>
        </c:ser>
        <c:dLbls>
          <c:showLegendKey val="0"/>
          <c:showVal val="1"/>
          <c:showCatName val="0"/>
          <c:showSerName val="0"/>
          <c:showPercent val="0"/>
          <c:showBubbleSize val="0"/>
        </c:dLbls>
        <c:gapWidth val="150"/>
        <c:axId val="2100044024"/>
        <c:axId val="1432868456"/>
      </c:barChart>
      <c:lineChart>
        <c:grouping val="standard"/>
        <c:varyColors val="0"/>
        <c:ser>
          <c:idx val="0"/>
          <c:order val="1"/>
          <c:spPr>
            <a:ln w="38100">
              <a:solidFill>
                <a:srgbClr val="99CC00"/>
              </a:solidFill>
              <a:prstDash val="solid"/>
            </a:ln>
          </c:spPr>
          <c:marker>
            <c:symbol val="diamond"/>
            <c:size val="17"/>
            <c:spPr>
              <a:solidFill>
                <a:srgbClr val="993366"/>
              </a:solidFill>
              <a:ln>
                <a:solidFill>
                  <a:srgbClr val="FFFFFF"/>
                </a:solidFill>
                <a:prstDash val="solid"/>
              </a:ln>
            </c:spPr>
          </c:marker>
          <c:dLbls>
            <c:spPr>
              <a:noFill/>
              <a:ln w="25400">
                <a:noFill/>
              </a:ln>
            </c:spPr>
            <c:txPr>
              <a:bodyPr/>
              <a:lstStyle/>
              <a:p>
                <a:pPr>
                  <a:defRPr sz="1000" b="1" i="0" u="none" strike="noStrike" baseline="0">
                    <a:solidFill>
                      <a:srgbClr val="000000"/>
                    </a:solidFill>
                    <a:latin typeface="Rockwell"/>
                    <a:ea typeface="Rockwell"/>
                    <a:cs typeface="Rockwell"/>
                  </a:defRPr>
                </a:pPr>
                <a:endParaRPr lang="en-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'1IyP'!$A$2:$A$5</c:f>
              <c:strCache>
                <c:ptCount val="4"/>
                <c:pt idx="0">
                  <c:v>Reventado de piel</c:v>
                </c:pt>
                <c:pt idx="1">
                  <c:v>Piel Arrugada</c:v>
                </c:pt>
                <c:pt idx="2">
                  <c:v>Falla costura</c:v>
                </c:pt>
                <c:pt idx="3">
                  <c:v>Mal montaje</c:v>
                </c:pt>
              </c:strCache>
            </c:strRef>
          </c:cat>
          <c:val>
            <c:numRef>
              <c:f>'1IyP'!$D$2:$D$5</c:f>
              <c:numCache>
                <c:formatCode>0.000</c:formatCode>
                <c:ptCount val="4"/>
                <c:pt idx="0">
                  <c:v>0.5043478260869565</c:v>
                </c:pt>
                <c:pt idx="1">
                  <c:v>0.78260869565217384</c:v>
                </c:pt>
                <c:pt idx="2">
                  <c:v>0.93043478260869561</c:v>
                </c:pt>
                <c:pt idx="3">
                  <c:v>1</c:v>
                </c:pt>
              </c:numCache>
            </c:numRef>
          </c:val>
          <c:smooth val="0"/>
          <c:extLst>
            <c:ext xmlns:c16="http://schemas.microsoft.com/office/drawing/2014/chart" uri="{C3380CC4-5D6E-409C-BE32-E72D297353CC}">
              <c16:uniqueId val="{00000003-1188-E54D-8DFF-F54EEBB18C15}"/>
            </c:ext>
          </c:extLst>
        </c:ser>
        <c:dLbls>
          <c:showLegendKey val="0"/>
          <c:showVal val="1"/>
          <c:showCatName val="0"/>
          <c:showSerName val="0"/>
          <c:showPercent val="0"/>
          <c:showBubbleSize val="0"/>
        </c:dLbls>
        <c:marker val="1"/>
        <c:smooth val="0"/>
        <c:axId val="1427924664"/>
        <c:axId val="2099395848"/>
      </c:lineChart>
      <c:catAx>
        <c:axId val="2100044024"/>
        <c:scaling>
          <c:orientation val="minMax"/>
        </c:scaling>
        <c:delete val="0"/>
        <c:axPos val="b"/>
        <c:numFmt formatCode="General" sourceLinked="1"/>
        <c:majorTickMark val="none"/>
        <c:minorTickMark val="none"/>
        <c:tickLblPos val="nextTo"/>
        <c:spPr>
          <a:ln w="38100">
            <a:solidFill>
              <a:srgbClr val="993366"/>
            </a:solidFill>
            <a:prstDash val="solid"/>
          </a:ln>
        </c:spPr>
        <c:txPr>
          <a:bodyPr rot="0" vert="horz"/>
          <a:lstStyle/>
          <a:p>
            <a:pPr>
              <a:defRPr sz="1000" b="1" i="0" u="none" strike="noStrike" baseline="0">
                <a:solidFill>
                  <a:srgbClr val="993366"/>
                </a:solidFill>
                <a:latin typeface="Rockwell"/>
                <a:ea typeface="Rockwell"/>
                <a:cs typeface="Rockwell"/>
              </a:defRPr>
            </a:pPr>
            <a:endParaRPr lang="en-CR"/>
          </a:p>
        </c:txPr>
        <c:crossAx val="1432868456"/>
        <c:crosses val="autoZero"/>
        <c:auto val="0"/>
        <c:lblAlgn val="ctr"/>
        <c:lblOffset val="100"/>
        <c:tickLblSkip val="1"/>
        <c:tickMarkSkip val="1"/>
        <c:noMultiLvlLbl val="0"/>
      </c:catAx>
      <c:valAx>
        <c:axId val="1432868456"/>
        <c:scaling>
          <c:orientation val="minMax"/>
        </c:scaling>
        <c:delete val="0"/>
        <c:axPos val="l"/>
        <c:majorGridlines>
          <c:spPr>
            <a:ln w="12700">
              <a:solidFill>
                <a:srgbClr val="99CC00"/>
              </a:solidFill>
              <a:prstDash val="sysDash"/>
            </a:ln>
          </c:spPr>
        </c:majorGridlines>
        <c:numFmt formatCode="0.0000" sourceLinked="1"/>
        <c:majorTickMark val="out"/>
        <c:minorTickMark val="none"/>
        <c:tickLblPos val="nextTo"/>
        <c:spPr>
          <a:ln w="38100">
            <a:solidFill>
              <a:srgbClr val="993366"/>
            </a:solidFill>
            <a:prstDash val="solid"/>
          </a:ln>
        </c:spPr>
        <c:txPr>
          <a:bodyPr rot="0" vert="horz"/>
          <a:lstStyle/>
          <a:p>
            <a:pPr>
              <a:defRPr sz="1000" b="1" i="0" u="none" strike="noStrike" baseline="0">
                <a:solidFill>
                  <a:srgbClr val="993366"/>
                </a:solidFill>
                <a:latin typeface="Rockwell"/>
                <a:ea typeface="Rockwell"/>
                <a:cs typeface="Rockwell"/>
              </a:defRPr>
            </a:pPr>
            <a:endParaRPr lang="en-CR"/>
          </a:p>
        </c:txPr>
        <c:crossAx val="2100044024"/>
        <c:crosses val="autoZero"/>
        <c:crossBetween val="between"/>
      </c:valAx>
      <c:catAx>
        <c:axId val="1427924664"/>
        <c:scaling>
          <c:orientation val="minMax"/>
        </c:scaling>
        <c:delete val="1"/>
        <c:axPos val="b"/>
        <c:numFmt formatCode="General" sourceLinked="0"/>
        <c:majorTickMark val="out"/>
        <c:minorTickMark val="none"/>
        <c:tickLblPos val="nextTo"/>
        <c:crossAx val="2099395848"/>
        <c:crosses val="autoZero"/>
        <c:auto val="0"/>
        <c:lblAlgn val="ctr"/>
        <c:lblOffset val="100"/>
        <c:noMultiLvlLbl val="0"/>
      </c:catAx>
      <c:valAx>
        <c:axId val="2099395848"/>
        <c:scaling>
          <c:orientation val="minMax"/>
        </c:scaling>
        <c:delete val="1"/>
        <c:axPos val="l"/>
        <c:numFmt formatCode="0.000" sourceLinked="1"/>
        <c:majorTickMark val="out"/>
        <c:minorTickMark val="none"/>
        <c:tickLblPos val="nextTo"/>
        <c:crossAx val="1427924664"/>
        <c:crosses val="autoZero"/>
        <c:crossBetween val="between"/>
      </c:valAx>
      <c:spPr>
        <a:noFill/>
        <a:ln w="38100">
          <a:solidFill>
            <a:srgbClr val="99CC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CR"/>
    </a:p>
  </c:txPr>
  <c:printSettings>
    <c:headerFooter>
      <c:oddHeader>&amp;A</c:oddHeader>
      <c:oddFooter>Page &amp;P</c:oddFooter>
    </c:headerFooter>
    <c:pageMargins b="1" l="0.75" r="0.75" t="1" header="0.5" footer="0.5"/>
    <c:pageSetup paperSize="0" orientation="landscape"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Histograma llenado de bolsas</a:t>
            </a:r>
            <a:endParaRPr lang="en-CR">
              <a:effectLst/>
            </a:endParaRPr>
          </a:p>
          <a:p>
            <a:pPr>
              <a:defRPr/>
            </a:pPr>
            <a:r>
              <a:rPr lang="en-US" sz="1800" b="0" i="0" baseline="0">
                <a:effectLst/>
              </a:rPr>
              <a:t>Especificación 25 +/- 1</a:t>
            </a:r>
            <a:endParaRPr lang="en-CR">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barChart>
        <c:barDir val="col"/>
        <c:grouping val="clustered"/>
        <c:varyColors val="0"/>
        <c:ser>
          <c:idx val="0"/>
          <c:order val="0"/>
          <c:spPr>
            <a:solidFill>
              <a:schemeClr val="accent1"/>
            </a:solidFill>
            <a:ln w="1587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'5medidas'!$Y$36:$Y$43</c:f>
              <c:strCache>
                <c:ptCount val="8"/>
                <c:pt idx="0">
                  <c:v>22.45 - 22.95</c:v>
                </c:pt>
                <c:pt idx="1">
                  <c:v>22.95 - 23.65</c:v>
                </c:pt>
                <c:pt idx="2">
                  <c:v>23.65 - 24.36</c:v>
                </c:pt>
                <c:pt idx="3">
                  <c:v>24.36 - 25 06</c:v>
                </c:pt>
                <c:pt idx="4">
                  <c:v>25.06 - 25.77</c:v>
                </c:pt>
                <c:pt idx="5">
                  <c:v>25.77 - 26.47</c:v>
                </c:pt>
                <c:pt idx="6">
                  <c:v>26.47 - 27.18</c:v>
                </c:pt>
                <c:pt idx="7">
                  <c:v>27.18 - 27.88</c:v>
                </c:pt>
              </c:strCache>
            </c:strRef>
          </c:cat>
          <c:val>
            <c:numRef>
              <c:f>'5medidas'!$AA$12:$AA$19</c:f>
              <c:numCache>
                <c:formatCode>General</c:formatCode>
                <c:ptCount val="8"/>
                <c:pt idx="0">
                  <c:v>2</c:v>
                </c:pt>
                <c:pt idx="1">
                  <c:v>6</c:v>
                </c:pt>
                <c:pt idx="2">
                  <c:v>14</c:v>
                </c:pt>
                <c:pt idx="3">
                  <c:v>21</c:v>
                </c:pt>
                <c:pt idx="4">
                  <c:v>23</c:v>
                </c:pt>
                <c:pt idx="5">
                  <c:v>9</c:v>
                </c:pt>
                <c:pt idx="6">
                  <c:v>2</c:v>
                </c:pt>
                <c:pt idx="7">
                  <c:v>3</c:v>
                </c:pt>
              </c:numCache>
            </c:numRef>
          </c:val>
          <c:extLst>
            <c:ext xmlns:c16="http://schemas.microsoft.com/office/drawing/2014/chart" uri="{C3380CC4-5D6E-409C-BE32-E72D297353CC}">
              <c16:uniqueId val="{00000000-2770-1747-BD21-09FB5A3D202F}"/>
            </c:ext>
          </c:extLst>
        </c:ser>
        <c:dLbls>
          <c:showLegendKey val="0"/>
          <c:showVal val="0"/>
          <c:showCatName val="0"/>
          <c:showSerName val="0"/>
          <c:showPercent val="0"/>
          <c:showBubbleSize val="0"/>
        </c:dLbls>
        <c:gapWidth val="0"/>
        <c:overlap val="-27"/>
        <c:axId val="2103171552"/>
        <c:axId val="2103173184"/>
      </c:barChart>
      <c:catAx>
        <c:axId val="2103171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2103173184"/>
        <c:crosses val="autoZero"/>
        <c:auto val="1"/>
        <c:lblAlgn val="ctr"/>
        <c:lblOffset val="100"/>
        <c:noMultiLvlLbl val="0"/>
      </c:catAx>
      <c:valAx>
        <c:axId val="2103173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21031715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Histograma diámetro pelotas de golf</a:t>
            </a:r>
          </a:p>
          <a:p>
            <a:pPr>
              <a:defRPr/>
            </a:pPr>
            <a:r>
              <a:rPr lang="en-US"/>
              <a:t>Especificación 2 +/- 0.10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barChart>
        <c:barDir val="col"/>
        <c:grouping val="clustered"/>
        <c:varyColors val="0"/>
        <c:ser>
          <c:idx val="0"/>
          <c:order val="0"/>
          <c:spPr>
            <a:solidFill>
              <a:schemeClr val="accent1"/>
            </a:solidFill>
            <a:ln w="1587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'6medidas'!$F$36:$F$43</c:f>
              <c:strCache>
                <c:ptCount val="8"/>
                <c:pt idx="0">
                  <c:v>1.825 - 1.885</c:v>
                </c:pt>
                <c:pt idx="1">
                  <c:v>1.885 - 1.935</c:v>
                </c:pt>
                <c:pt idx="2">
                  <c:v>1.935 - 1.985</c:v>
                </c:pt>
                <c:pt idx="3">
                  <c:v>1.985 - 2.035</c:v>
                </c:pt>
                <c:pt idx="4">
                  <c:v>2.035 - 2.085</c:v>
                </c:pt>
                <c:pt idx="5">
                  <c:v>2.085 - 2.135</c:v>
                </c:pt>
                <c:pt idx="6">
                  <c:v>2.135 - 2.185</c:v>
                </c:pt>
                <c:pt idx="7">
                  <c:v>2.185 - 2.235</c:v>
                </c:pt>
              </c:strCache>
            </c:strRef>
          </c:cat>
          <c:val>
            <c:numRef>
              <c:f>'6medidas'!$G$36:$G$43</c:f>
              <c:numCache>
                <c:formatCode>General</c:formatCode>
                <c:ptCount val="8"/>
                <c:pt idx="0">
                  <c:v>4</c:v>
                </c:pt>
                <c:pt idx="1">
                  <c:v>12</c:v>
                </c:pt>
                <c:pt idx="2">
                  <c:v>12</c:v>
                </c:pt>
                <c:pt idx="3">
                  <c:v>21</c:v>
                </c:pt>
                <c:pt idx="4">
                  <c:v>16</c:v>
                </c:pt>
                <c:pt idx="5">
                  <c:v>10</c:v>
                </c:pt>
                <c:pt idx="6">
                  <c:v>4</c:v>
                </c:pt>
                <c:pt idx="7">
                  <c:v>1</c:v>
                </c:pt>
              </c:numCache>
            </c:numRef>
          </c:val>
          <c:extLst>
            <c:ext xmlns:c16="http://schemas.microsoft.com/office/drawing/2014/chart" uri="{C3380CC4-5D6E-409C-BE32-E72D297353CC}">
              <c16:uniqueId val="{00000000-1AB2-EB4E-A56C-C2BAEE158CC0}"/>
            </c:ext>
          </c:extLst>
        </c:ser>
        <c:dLbls>
          <c:showLegendKey val="0"/>
          <c:showVal val="0"/>
          <c:showCatName val="0"/>
          <c:showSerName val="0"/>
          <c:showPercent val="0"/>
          <c:showBubbleSize val="0"/>
        </c:dLbls>
        <c:gapWidth val="0"/>
        <c:overlap val="-27"/>
        <c:axId val="587423600"/>
        <c:axId val="587397696"/>
      </c:barChart>
      <c:catAx>
        <c:axId val="58742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587397696"/>
        <c:crosses val="autoZero"/>
        <c:auto val="1"/>
        <c:lblAlgn val="ctr"/>
        <c:lblOffset val="100"/>
        <c:noMultiLvlLbl val="0"/>
      </c:catAx>
      <c:valAx>
        <c:axId val="587397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587423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Histograma concentración de grasas</a:t>
            </a:r>
          </a:p>
          <a:p>
            <a:pPr>
              <a:defRPr/>
            </a:pPr>
            <a:r>
              <a:rPr lang="en-US"/>
              <a:t>Especificación &gt;3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barChart>
        <c:barDir val="col"/>
        <c:grouping val="clustered"/>
        <c:varyColors val="0"/>
        <c:ser>
          <c:idx val="0"/>
          <c:order val="0"/>
          <c:spPr>
            <a:solidFill>
              <a:schemeClr val="accent1"/>
            </a:solidFill>
            <a:ln w="1587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'7medidas'!$F$36:$F$43</c:f>
              <c:strCache>
                <c:ptCount val="8"/>
                <c:pt idx="0">
                  <c:v>2.185 - 2.415</c:v>
                </c:pt>
                <c:pt idx="1">
                  <c:v>2.415 - 2.645</c:v>
                </c:pt>
                <c:pt idx="2">
                  <c:v>2.645 - 2.875</c:v>
                </c:pt>
                <c:pt idx="3">
                  <c:v>2.875 - 3.105</c:v>
                </c:pt>
                <c:pt idx="4">
                  <c:v>3.105 - 3.335</c:v>
                </c:pt>
                <c:pt idx="5">
                  <c:v>3.335 - 3.565</c:v>
                </c:pt>
                <c:pt idx="6">
                  <c:v>3.565 - 3.795</c:v>
                </c:pt>
                <c:pt idx="7">
                  <c:v>3.795 - 4.025</c:v>
                </c:pt>
              </c:strCache>
            </c:strRef>
          </c:cat>
          <c:val>
            <c:numRef>
              <c:f>'7medidas'!$G$36:$G$43</c:f>
              <c:numCache>
                <c:formatCode>General</c:formatCode>
                <c:ptCount val="8"/>
                <c:pt idx="0">
                  <c:v>1</c:v>
                </c:pt>
                <c:pt idx="1">
                  <c:v>2</c:v>
                </c:pt>
                <c:pt idx="2">
                  <c:v>8</c:v>
                </c:pt>
                <c:pt idx="3">
                  <c:v>29</c:v>
                </c:pt>
                <c:pt idx="4">
                  <c:v>23</c:v>
                </c:pt>
                <c:pt idx="5">
                  <c:v>18</c:v>
                </c:pt>
                <c:pt idx="6">
                  <c:v>5</c:v>
                </c:pt>
                <c:pt idx="7">
                  <c:v>4</c:v>
                </c:pt>
              </c:numCache>
            </c:numRef>
          </c:val>
          <c:extLst>
            <c:ext xmlns:c16="http://schemas.microsoft.com/office/drawing/2014/chart" uri="{C3380CC4-5D6E-409C-BE32-E72D297353CC}">
              <c16:uniqueId val="{00000000-D463-054E-B496-E7451467CFE2}"/>
            </c:ext>
          </c:extLst>
        </c:ser>
        <c:dLbls>
          <c:showLegendKey val="0"/>
          <c:showVal val="0"/>
          <c:showCatName val="0"/>
          <c:showSerName val="0"/>
          <c:showPercent val="0"/>
          <c:showBubbleSize val="0"/>
        </c:dLbls>
        <c:gapWidth val="0"/>
        <c:overlap val="-27"/>
        <c:axId val="799870032"/>
        <c:axId val="799146256"/>
      </c:barChart>
      <c:catAx>
        <c:axId val="79987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799146256"/>
        <c:crosses val="autoZero"/>
        <c:auto val="1"/>
        <c:lblAlgn val="ctr"/>
        <c:lblOffset val="100"/>
        <c:noMultiLvlLbl val="0"/>
      </c:catAx>
      <c:valAx>
        <c:axId val="799146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799870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Histograma temperaturas promedio</a:t>
            </a:r>
          </a:p>
          <a:p>
            <a:pPr>
              <a:defRPr/>
            </a:pPr>
            <a:r>
              <a:rPr lang="en-US"/>
              <a:t>Especificación 5 +/- 0.10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barChart>
        <c:barDir val="col"/>
        <c:grouping val="clustered"/>
        <c:varyColors val="0"/>
        <c:ser>
          <c:idx val="0"/>
          <c:order val="0"/>
          <c:spPr>
            <a:solidFill>
              <a:schemeClr val="accent1"/>
            </a:solidFill>
            <a:ln w="1587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'8medidas'!$F$31:$F$37</c:f>
              <c:strCache>
                <c:ptCount val="7"/>
                <c:pt idx="0">
                  <c:v>4.895 - 4.935</c:v>
                </c:pt>
                <c:pt idx="1">
                  <c:v>4.935 - 4.965</c:v>
                </c:pt>
                <c:pt idx="2">
                  <c:v>4.965 - 4.995</c:v>
                </c:pt>
                <c:pt idx="3">
                  <c:v>4.995 - 5.025</c:v>
                </c:pt>
                <c:pt idx="4">
                  <c:v>5.025 - 5.055</c:v>
                </c:pt>
                <c:pt idx="5">
                  <c:v>5.055 - 5.085</c:v>
                </c:pt>
                <c:pt idx="6">
                  <c:v>5.085 - 5.115</c:v>
                </c:pt>
              </c:strCache>
            </c:strRef>
          </c:cat>
          <c:val>
            <c:numRef>
              <c:f>'8medidas'!$G$31:$G$37</c:f>
              <c:numCache>
                <c:formatCode>General</c:formatCode>
                <c:ptCount val="7"/>
                <c:pt idx="0">
                  <c:v>4</c:v>
                </c:pt>
                <c:pt idx="1">
                  <c:v>10</c:v>
                </c:pt>
                <c:pt idx="2">
                  <c:v>9</c:v>
                </c:pt>
                <c:pt idx="3">
                  <c:v>16</c:v>
                </c:pt>
                <c:pt idx="4">
                  <c:v>9</c:v>
                </c:pt>
                <c:pt idx="5">
                  <c:v>7</c:v>
                </c:pt>
                <c:pt idx="6">
                  <c:v>5</c:v>
                </c:pt>
              </c:numCache>
            </c:numRef>
          </c:val>
          <c:extLst>
            <c:ext xmlns:c16="http://schemas.microsoft.com/office/drawing/2014/chart" uri="{C3380CC4-5D6E-409C-BE32-E72D297353CC}">
              <c16:uniqueId val="{00000000-46E9-F747-8B46-DFB3E3942670}"/>
            </c:ext>
          </c:extLst>
        </c:ser>
        <c:dLbls>
          <c:showLegendKey val="0"/>
          <c:showVal val="0"/>
          <c:showCatName val="0"/>
          <c:showSerName val="0"/>
          <c:showPercent val="0"/>
          <c:showBubbleSize val="0"/>
        </c:dLbls>
        <c:gapWidth val="0"/>
        <c:overlap val="-27"/>
        <c:axId val="302408112"/>
        <c:axId val="761475520"/>
      </c:barChart>
      <c:catAx>
        <c:axId val="30240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761475520"/>
        <c:crosses val="autoZero"/>
        <c:auto val="1"/>
        <c:lblAlgn val="ctr"/>
        <c:lblOffset val="100"/>
        <c:noMultiLvlLbl val="0"/>
      </c:catAx>
      <c:valAx>
        <c:axId val="761475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302408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Histograma fabricación de resistencias</a:t>
            </a:r>
          </a:p>
          <a:p>
            <a:pPr>
              <a:defRPr/>
            </a:pPr>
            <a:r>
              <a:rPr lang="en-US"/>
              <a:t>Especificación 1000 +/- 5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barChart>
        <c:barDir val="col"/>
        <c:grouping val="clustered"/>
        <c:varyColors val="0"/>
        <c:ser>
          <c:idx val="0"/>
          <c:order val="0"/>
          <c:spPr>
            <a:solidFill>
              <a:schemeClr val="accent1"/>
            </a:solidFill>
            <a:ln w="1587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'9medidas'!$F$40:$F$47</c:f>
              <c:strCache>
                <c:ptCount val="8"/>
                <c:pt idx="0">
                  <c:v>967.5 - 976.5</c:v>
                </c:pt>
                <c:pt idx="1">
                  <c:v>976.5 - 984.5</c:v>
                </c:pt>
                <c:pt idx="2">
                  <c:v>984.5 - 992.5</c:v>
                </c:pt>
                <c:pt idx="3">
                  <c:v>992.5 - 1000.5</c:v>
                </c:pt>
                <c:pt idx="4">
                  <c:v>1000.5 - 1008.5</c:v>
                </c:pt>
                <c:pt idx="5">
                  <c:v>1008.5 - 1016.5</c:v>
                </c:pt>
                <c:pt idx="6">
                  <c:v>1016.5 - 1024.5</c:v>
                </c:pt>
                <c:pt idx="7">
                  <c:v>1024.5 - 1032.5</c:v>
                </c:pt>
              </c:strCache>
            </c:strRef>
          </c:cat>
          <c:val>
            <c:numRef>
              <c:f>'9medidas'!$G$40:$G$47</c:f>
              <c:numCache>
                <c:formatCode>General</c:formatCode>
                <c:ptCount val="8"/>
                <c:pt idx="0">
                  <c:v>2</c:v>
                </c:pt>
                <c:pt idx="1">
                  <c:v>7</c:v>
                </c:pt>
                <c:pt idx="2">
                  <c:v>36</c:v>
                </c:pt>
                <c:pt idx="3">
                  <c:v>26</c:v>
                </c:pt>
                <c:pt idx="4">
                  <c:v>22</c:v>
                </c:pt>
                <c:pt idx="5">
                  <c:v>15</c:v>
                </c:pt>
                <c:pt idx="6">
                  <c:v>9</c:v>
                </c:pt>
                <c:pt idx="7">
                  <c:v>3</c:v>
                </c:pt>
              </c:numCache>
            </c:numRef>
          </c:val>
          <c:extLst>
            <c:ext xmlns:c16="http://schemas.microsoft.com/office/drawing/2014/chart" uri="{C3380CC4-5D6E-409C-BE32-E72D297353CC}">
              <c16:uniqueId val="{00000000-271D-564B-BB80-D8036067CA22}"/>
            </c:ext>
          </c:extLst>
        </c:ser>
        <c:dLbls>
          <c:showLegendKey val="0"/>
          <c:showVal val="0"/>
          <c:showCatName val="0"/>
          <c:showSerName val="0"/>
          <c:showPercent val="0"/>
          <c:showBubbleSize val="0"/>
        </c:dLbls>
        <c:gapWidth val="0"/>
        <c:overlap val="-27"/>
        <c:axId val="734726128"/>
        <c:axId val="797761152"/>
      </c:barChart>
      <c:catAx>
        <c:axId val="734726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797761152"/>
        <c:crosses val="autoZero"/>
        <c:auto val="1"/>
        <c:lblAlgn val="ctr"/>
        <c:lblOffset val="100"/>
        <c:noMultiLvlLbl val="0"/>
      </c:catAx>
      <c:valAx>
        <c:axId val="797761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7347261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Histograma</a:t>
            </a:r>
            <a:r>
              <a:rPr lang="en-US" baseline="0"/>
              <a:t> llenado de botellas</a:t>
            </a:r>
          </a:p>
          <a:p>
            <a:pPr>
              <a:defRPr/>
            </a:pPr>
            <a:r>
              <a:rPr lang="en-US" baseline="0"/>
              <a:t>Especificación 12 +/- 0.10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barChart>
        <c:barDir val="col"/>
        <c:grouping val="clustered"/>
        <c:varyColors val="0"/>
        <c:ser>
          <c:idx val="0"/>
          <c:order val="0"/>
          <c:spPr>
            <a:solidFill>
              <a:schemeClr val="accent1"/>
            </a:solidFill>
            <a:ln w="1587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'10medidas'!$F$42:$F$48</c:f>
              <c:strCache>
                <c:ptCount val="7"/>
                <c:pt idx="0">
                  <c:v>11.860 - 11.905</c:v>
                </c:pt>
                <c:pt idx="1">
                  <c:v>11.905 - 11.945</c:v>
                </c:pt>
                <c:pt idx="2">
                  <c:v>11.945 - 11.985</c:v>
                </c:pt>
                <c:pt idx="3">
                  <c:v>11.985 - 12.025</c:v>
                </c:pt>
                <c:pt idx="4">
                  <c:v>12.025 - 12.065</c:v>
                </c:pt>
                <c:pt idx="5">
                  <c:v>12.065 - 12.105</c:v>
                </c:pt>
                <c:pt idx="6">
                  <c:v>12.105 - 12.145</c:v>
                </c:pt>
              </c:strCache>
            </c:strRef>
          </c:cat>
          <c:val>
            <c:numRef>
              <c:f>'10medidas'!$G$42:$G$48</c:f>
              <c:numCache>
                <c:formatCode>General</c:formatCode>
                <c:ptCount val="7"/>
                <c:pt idx="0">
                  <c:v>1</c:v>
                </c:pt>
                <c:pt idx="1">
                  <c:v>7</c:v>
                </c:pt>
                <c:pt idx="2">
                  <c:v>12</c:v>
                </c:pt>
                <c:pt idx="3">
                  <c:v>17</c:v>
                </c:pt>
                <c:pt idx="4">
                  <c:v>12</c:v>
                </c:pt>
                <c:pt idx="5">
                  <c:v>10</c:v>
                </c:pt>
                <c:pt idx="6">
                  <c:v>1</c:v>
                </c:pt>
              </c:numCache>
            </c:numRef>
          </c:val>
          <c:extLst>
            <c:ext xmlns:c16="http://schemas.microsoft.com/office/drawing/2014/chart" uri="{C3380CC4-5D6E-409C-BE32-E72D297353CC}">
              <c16:uniqueId val="{00000000-7383-7648-A4AB-E71B671B1370}"/>
            </c:ext>
          </c:extLst>
        </c:ser>
        <c:dLbls>
          <c:showLegendKey val="0"/>
          <c:showVal val="0"/>
          <c:showCatName val="0"/>
          <c:showSerName val="0"/>
          <c:showPercent val="0"/>
          <c:showBubbleSize val="0"/>
        </c:dLbls>
        <c:gapWidth val="0"/>
        <c:overlap val="-27"/>
        <c:axId val="329291984"/>
        <c:axId val="329293616"/>
      </c:barChart>
      <c:catAx>
        <c:axId val="329291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329293616"/>
        <c:crosses val="autoZero"/>
        <c:auto val="1"/>
        <c:lblAlgn val="ctr"/>
        <c:lblOffset val="100"/>
        <c:noMultiLvlLbl val="0"/>
      </c:catAx>
      <c:valAx>
        <c:axId val="329293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3292919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72696450026301"/>
          <c:y val="0.113402014285157"/>
          <c:w val="0.70096545563092205"/>
          <c:h val="0.72508560648994302"/>
        </c:manualLayout>
      </c:layout>
      <c:barChart>
        <c:barDir val="col"/>
        <c:grouping val="clustered"/>
        <c:varyColors val="0"/>
        <c:ser>
          <c:idx val="1"/>
          <c:order val="0"/>
          <c:spPr>
            <a:solidFill>
              <a:srgbClr val="000000"/>
            </a:solidFill>
            <a:ln w="12700">
              <a:solidFill>
                <a:srgbClr val="000000"/>
              </a:solidFill>
              <a:prstDash val="solid"/>
            </a:ln>
          </c:spPr>
          <c:invertIfNegative val="0"/>
          <c:dLbls>
            <c:dLbl>
              <c:idx val="0"/>
              <c:layout>
                <c:manualLayout>
                  <c:x val="1.00789877260815E-2"/>
                  <c:y val="7.5951325815139303E-2"/>
                </c:manualLayout>
              </c:layout>
              <c:spPr>
                <a:noFill/>
                <a:ln w="25400">
                  <a:noFill/>
                </a:ln>
              </c:spPr>
              <c:txPr>
                <a:bodyPr/>
                <a:lstStyle/>
                <a:p>
                  <a:pPr>
                    <a:defRPr sz="1100" b="1" i="0" u="none" strike="noStrike" baseline="30000">
                      <a:solidFill>
                        <a:srgbClr val="FFFFFF"/>
                      </a:solidFill>
                      <a:latin typeface="Rockwell"/>
                      <a:ea typeface="Rockwell"/>
                      <a:cs typeface="Rockwell"/>
                    </a:defRPr>
                  </a:pPr>
                  <a:endParaRPr lang="en-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FF-454E-A16A-7A91173D308E}"/>
                </c:ext>
              </c:extLst>
            </c:dLbl>
            <c:dLbl>
              <c:idx val="1"/>
              <c:layout>
                <c:manualLayout>
                  <c:x val="3.3499950400826001E-3"/>
                  <c:y val="0.1647330005841279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FF-454E-A16A-7A91173D308E}"/>
                </c:ext>
              </c:extLst>
            </c:dLbl>
            <c:spPr>
              <a:noFill/>
              <a:ln w="25400">
                <a:noFill/>
              </a:ln>
            </c:spPr>
            <c:txPr>
              <a:bodyPr/>
              <a:lstStyle/>
              <a:p>
                <a:pPr>
                  <a:defRPr sz="1100" b="1" i="0" u="none" strike="noStrike" baseline="0">
                    <a:solidFill>
                      <a:srgbClr val="FFFFFF"/>
                    </a:solidFill>
                    <a:latin typeface="Rockwell"/>
                    <a:ea typeface="Rockwell"/>
                    <a:cs typeface="Rockwell"/>
                  </a:defRPr>
                </a:pPr>
                <a:endParaRPr lang="en-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'1IyP'!$A$9:$A$11</c:f>
              <c:strCache>
                <c:ptCount val="3"/>
                <c:pt idx="0">
                  <c:v>Máquina 3</c:v>
                </c:pt>
                <c:pt idx="1">
                  <c:v>Máquina 2</c:v>
                </c:pt>
                <c:pt idx="2">
                  <c:v>Máquina 1</c:v>
                </c:pt>
              </c:strCache>
            </c:strRef>
          </c:cat>
          <c:val>
            <c:numRef>
              <c:f>'1IyP'!$C$9:$C$11</c:f>
              <c:numCache>
                <c:formatCode>0.0000</c:formatCode>
                <c:ptCount val="3"/>
                <c:pt idx="0">
                  <c:v>0.58620689655172409</c:v>
                </c:pt>
                <c:pt idx="1">
                  <c:v>0.2413793103448276</c:v>
                </c:pt>
                <c:pt idx="2">
                  <c:v>0.17241379310344829</c:v>
                </c:pt>
              </c:numCache>
            </c:numRef>
          </c:val>
          <c:extLst>
            <c:ext xmlns:c16="http://schemas.microsoft.com/office/drawing/2014/chart" uri="{C3380CC4-5D6E-409C-BE32-E72D297353CC}">
              <c16:uniqueId val="{00000002-1EFF-454E-A16A-7A91173D308E}"/>
            </c:ext>
          </c:extLst>
        </c:ser>
        <c:dLbls>
          <c:showLegendKey val="0"/>
          <c:showVal val="1"/>
          <c:showCatName val="0"/>
          <c:showSerName val="0"/>
          <c:showPercent val="0"/>
          <c:showBubbleSize val="0"/>
        </c:dLbls>
        <c:gapWidth val="150"/>
        <c:axId val="2099339432"/>
        <c:axId val="2099337144"/>
      </c:barChart>
      <c:lineChart>
        <c:grouping val="standard"/>
        <c:varyColors val="0"/>
        <c:ser>
          <c:idx val="0"/>
          <c:order val="1"/>
          <c:spPr>
            <a:ln w="38100">
              <a:solidFill>
                <a:srgbClr val="99CC00"/>
              </a:solidFill>
              <a:prstDash val="solid"/>
            </a:ln>
          </c:spPr>
          <c:marker>
            <c:symbol val="diamond"/>
            <c:size val="17"/>
            <c:spPr>
              <a:solidFill>
                <a:srgbClr val="993366"/>
              </a:solidFill>
              <a:ln>
                <a:solidFill>
                  <a:srgbClr val="FFFFFF"/>
                </a:solidFill>
                <a:prstDash val="solid"/>
              </a:ln>
            </c:spPr>
          </c:marker>
          <c:dLbls>
            <c:spPr>
              <a:noFill/>
              <a:ln w="25400">
                <a:noFill/>
              </a:ln>
            </c:spPr>
            <c:txPr>
              <a:bodyPr/>
              <a:lstStyle/>
              <a:p>
                <a:pPr>
                  <a:defRPr sz="1000" b="1" i="0" u="none" strike="noStrike" baseline="0">
                    <a:solidFill>
                      <a:srgbClr val="000000"/>
                    </a:solidFill>
                    <a:latin typeface="Rockwell"/>
                    <a:ea typeface="Rockwell"/>
                    <a:cs typeface="Rockwell"/>
                  </a:defRPr>
                </a:pPr>
                <a:endParaRPr lang="en-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'1IyP'!$A$9:$A$11</c:f>
              <c:strCache>
                <c:ptCount val="3"/>
                <c:pt idx="0">
                  <c:v>Máquina 3</c:v>
                </c:pt>
                <c:pt idx="1">
                  <c:v>Máquina 2</c:v>
                </c:pt>
                <c:pt idx="2">
                  <c:v>Máquina 1</c:v>
                </c:pt>
              </c:strCache>
            </c:strRef>
          </c:cat>
          <c:val>
            <c:numRef>
              <c:f>'1IyP'!$D$9:$D$11</c:f>
              <c:numCache>
                <c:formatCode>0.000</c:formatCode>
                <c:ptCount val="3"/>
                <c:pt idx="0">
                  <c:v>0.58620689655172409</c:v>
                </c:pt>
                <c:pt idx="1">
                  <c:v>0.82758620689655171</c:v>
                </c:pt>
                <c:pt idx="2">
                  <c:v>1</c:v>
                </c:pt>
              </c:numCache>
            </c:numRef>
          </c:val>
          <c:smooth val="0"/>
          <c:extLst>
            <c:ext xmlns:c16="http://schemas.microsoft.com/office/drawing/2014/chart" uri="{C3380CC4-5D6E-409C-BE32-E72D297353CC}">
              <c16:uniqueId val="{00000003-1EFF-454E-A16A-7A91173D308E}"/>
            </c:ext>
          </c:extLst>
        </c:ser>
        <c:dLbls>
          <c:showLegendKey val="0"/>
          <c:showVal val="1"/>
          <c:showCatName val="0"/>
          <c:showSerName val="0"/>
          <c:showPercent val="0"/>
          <c:showBubbleSize val="0"/>
        </c:dLbls>
        <c:marker val="1"/>
        <c:smooth val="0"/>
        <c:axId val="2099318216"/>
        <c:axId val="2099321192"/>
      </c:lineChart>
      <c:catAx>
        <c:axId val="2099339432"/>
        <c:scaling>
          <c:orientation val="minMax"/>
        </c:scaling>
        <c:delete val="0"/>
        <c:axPos val="b"/>
        <c:numFmt formatCode="General" sourceLinked="1"/>
        <c:majorTickMark val="none"/>
        <c:minorTickMark val="none"/>
        <c:tickLblPos val="nextTo"/>
        <c:spPr>
          <a:ln w="38100">
            <a:solidFill>
              <a:srgbClr val="993366"/>
            </a:solidFill>
            <a:prstDash val="solid"/>
          </a:ln>
        </c:spPr>
        <c:txPr>
          <a:bodyPr rot="0" vert="horz"/>
          <a:lstStyle/>
          <a:p>
            <a:pPr>
              <a:defRPr sz="1000" b="1" i="0" u="none" strike="noStrike" baseline="0">
                <a:solidFill>
                  <a:srgbClr val="993366"/>
                </a:solidFill>
                <a:latin typeface="Rockwell"/>
                <a:ea typeface="Rockwell"/>
                <a:cs typeface="Rockwell"/>
              </a:defRPr>
            </a:pPr>
            <a:endParaRPr lang="en-CR"/>
          </a:p>
        </c:txPr>
        <c:crossAx val="2099337144"/>
        <c:crosses val="autoZero"/>
        <c:auto val="0"/>
        <c:lblAlgn val="ctr"/>
        <c:lblOffset val="100"/>
        <c:tickLblSkip val="1"/>
        <c:tickMarkSkip val="1"/>
        <c:noMultiLvlLbl val="0"/>
      </c:catAx>
      <c:valAx>
        <c:axId val="2099337144"/>
        <c:scaling>
          <c:orientation val="minMax"/>
        </c:scaling>
        <c:delete val="0"/>
        <c:axPos val="l"/>
        <c:majorGridlines>
          <c:spPr>
            <a:ln w="12700">
              <a:solidFill>
                <a:srgbClr val="99CC00"/>
              </a:solidFill>
              <a:prstDash val="sysDash"/>
            </a:ln>
          </c:spPr>
        </c:majorGridlines>
        <c:numFmt formatCode="0.0000" sourceLinked="1"/>
        <c:majorTickMark val="out"/>
        <c:minorTickMark val="none"/>
        <c:tickLblPos val="nextTo"/>
        <c:spPr>
          <a:ln w="38100">
            <a:solidFill>
              <a:srgbClr val="993366"/>
            </a:solidFill>
            <a:prstDash val="solid"/>
          </a:ln>
        </c:spPr>
        <c:txPr>
          <a:bodyPr rot="0" vert="horz"/>
          <a:lstStyle/>
          <a:p>
            <a:pPr>
              <a:defRPr sz="1000" b="1" i="0" u="none" strike="noStrike" baseline="0">
                <a:solidFill>
                  <a:srgbClr val="993366"/>
                </a:solidFill>
                <a:latin typeface="Rockwell"/>
                <a:ea typeface="Rockwell"/>
                <a:cs typeface="Rockwell"/>
              </a:defRPr>
            </a:pPr>
            <a:endParaRPr lang="en-CR"/>
          </a:p>
        </c:txPr>
        <c:crossAx val="2099339432"/>
        <c:crosses val="autoZero"/>
        <c:crossBetween val="between"/>
      </c:valAx>
      <c:catAx>
        <c:axId val="2099318216"/>
        <c:scaling>
          <c:orientation val="minMax"/>
        </c:scaling>
        <c:delete val="1"/>
        <c:axPos val="b"/>
        <c:numFmt formatCode="General" sourceLinked="0"/>
        <c:majorTickMark val="out"/>
        <c:minorTickMark val="none"/>
        <c:tickLblPos val="nextTo"/>
        <c:crossAx val="2099321192"/>
        <c:crosses val="autoZero"/>
        <c:auto val="0"/>
        <c:lblAlgn val="ctr"/>
        <c:lblOffset val="100"/>
        <c:noMultiLvlLbl val="0"/>
      </c:catAx>
      <c:valAx>
        <c:axId val="2099321192"/>
        <c:scaling>
          <c:orientation val="minMax"/>
        </c:scaling>
        <c:delete val="1"/>
        <c:axPos val="l"/>
        <c:numFmt formatCode="0.000" sourceLinked="1"/>
        <c:majorTickMark val="out"/>
        <c:minorTickMark val="none"/>
        <c:tickLblPos val="nextTo"/>
        <c:crossAx val="2099318216"/>
        <c:crosses val="autoZero"/>
        <c:crossBetween val="between"/>
      </c:valAx>
      <c:spPr>
        <a:noFill/>
        <a:ln w="38100">
          <a:solidFill>
            <a:srgbClr val="99CC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CR"/>
    </a:p>
  </c:txPr>
  <c:printSettings>
    <c:headerFooter>
      <c:oddHeader>&amp;A</c:oddHeader>
      <c:oddFooter>Page &amp;P</c:oddFooter>
    </c:headerFooter>
    <c:pageMargins b="1" l="0.75" r="0.75" t="1" header="0.5" footer="0.5"/>
    <c:pageSetup paperSize="0" orientation="landscape" horizontalDpi="-4" verticalDpi="-4"/>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Diagrama de Pareto</a:t>
            </a:r>
          </a:p>
        </c:rich>
      </c:tx>
      <c:layout>
        <c:manualLayout>
          <c:xMode val="edge"/>
          <c:yMode val="edge"/>
          <c:x val="0.37843585090975701"/>
          <c:y val="2.8888888888888901E-2"/>
        </c:manualLayout>
      </c:layout>
      <c:overlay val="0"/>
      <c:spPr>
        <a:noFill/>
        <a:ln w="25400">
          <a:noFill/>
        </a:ln>
      </c:spPr>
    </c:title>
    <c:autoTitleDeleted val="0"/>
    <c:plotArea>
      <c:layout>
        <c:manualLayout>
          <c:layoutTarget val="inner"/>
          <c:xMode val="edge"/>
          <c:yMode val="edge"/>
          <c:x val="0.21353082071315399"/>
          <c:y val="0.12222228853205799"/>
          <c:w val="0.73784412305832603"/>
          <c:h val="0.63555590036669896"/>
        </c:manualLayout>
      </c:layout>
      <c:barChart>
        <c:barDir val="col"/>
        <c:grouping val="clustered"/>
        <c:varyColors val="0"/>
        <c:ser>
          <c:idx val="1"/>
          <c:order val="0"/>
          <c:spPr>
            <a:solidFill>
              <a:srgbClr val="000000"/>
            </a:solidFill>
            <a:ln w="12700">
              <a:solidFill>
                <a:srgbClr val="000000"/>
              </a:solidFill>
              <a:prstDash val="solid"/>
            </a:ln>
          </c:spPr>
          <c:invertIfNegative val="0"/>
          <c:dLbls>
            <c:delete val="1"/>
          </c:dLbls>
          <c:cat>
            <c:strRef>
              <c:f>'3IyP'!$B$11:$B$16</c:f>
              <c:strCache>
                <c:ptCount val="6"/>
                <c:pt idx="0">
                  <c:v>Etiqueta</c:v>
                </c:pt>
                <c:pt idx="1">
                  <c:v>Botella sin vigusa</c:v>
                </c:pt>
                <c:pt idx="2">
                  <c:v>Botella</c:v>
                </c:pt>
                <c:pt idx="3">
                  <c:v>Contraetiqueta</c:v>
                </c:pt>
                <c:pt idx="4">
                  <c:v>Tapa</c:v>
                </c:pt>
                <c:pt idx="5">
                  <c:v>Otros</c:v>
                </c:pt>
              </c:strCache>
            </c:strRef>
          </c:cat>
          <c:val>
            <c:numRef>
              <c:f>'3IyP'!$C$11:$C$16</c:f>
              <c:numCache>
                <c:formatCode>0.000%</c:formatCode>
                <c:ptCount val="6"/>
                <c:pt idx="0">
                  <c:v>0.35731085848686789</c:v>
                </c:pt>
                <c:pt idx="1">
                  <c:v>0.1795374362994904</c:v>
                </c:pt>
                <c:pt idx="2">
                  <c:v>0.15758526068208545</c:v>
                </c:pt>
                <c:pt idx="3">
                  <c:v>0.14543316346530771</c:v>
                </c:pt>
                <c:pt idx="4">
                  <c:v>0.14014112112896904</c:v>
                </c:pt>
                <c:pt idx="5">
                  <c:v>1.9992159937279499E-2</c:v>
                </c:pt>
              </c:numCache>
            </c:numRef>
          </c:val>
          <c:extLst>
            <c:ext xmlns:c16="http://schemas.microsoft.com/office/drawing/2014/chart" uri="{C3380CC4-5D6E-409C-BE32-E72D297353CC}">
              <c16:uniqueId val="{00000000-564B-8E44-AECB-ED58CE1FFB45}"/>
            </c:ext>
          </c:extLst>
        </c:ser>
        <c:dLbls>
          <c:showLegendKey val="0"/>
          <c:showVal val="0"/>
          <c:showCatName val="1"/>
          <c:showSerName val="0"/>
          <c:showPercent val="0"/>
          <c:showBubbleSize val="0"/>
        </c:dLbls>
        <c:gapWidth val="150"/>
        <c:axId val="1451439304"/>
        <c:axId val="1451451368"/>
      </c:barChart>
      <c:lineChart>
        <c:grouping val="standard"/>
        <c:varyColors val="0"/>
        <c:ser>
          <c:idx val="0"/>
          <c:order val="1"/>
          <c:spPr>
            <a:ln w="38100">
              <a:solidFill>
                <a:srgbClr val="99CC00"/>
              </a:solidFill>
              <a:prstDash val="solid"/>
            </a:ln>
          </c:spPr>
          <c:marker>
            <c:symbol val="diamond"/>
            <c:size val="17"/>
            <c:spPr>
              <a:solidFill>
                <a:srgbClr val="993366"/>
              </a:solidFill>
              <a:ln>
                <a:solidFill>
                  <a:srgbClr val="FFFFFF"/>
                </a:solidFill>
                <a:prstDash val="solid"/>
              </a:ln>
            </c:spPr>
          </c:marker>
          <c:dLbls>
            <c:spPr>
              <a:noFill/>
              <a:ln w="25400">
                <a:noFill/>
              </a:ln>
            </c:spPr>
            <c:txPr>
              <a:bodyPr/>
              <a:lstStyle/>
              <a:p>
                <a:pPr>
                  <a:defRPr sz="1000" b="1" i="0" u="none" strike="noStrike" baseline="0">
                    <a:solidFill>
                      <a:srgbClr val="000000"/>
                    </a:solidFill>
                    <a:latin typeface="Rockwell"/>
                    <a:ea typeface="Rockwell"/>
                    <a:cs typeface="Rockwell"/>
                  </a:defRPr>
                </a:pPr>
                <a:endParaRPr lang="en-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'3IyP'!$B$11:$B$16</c:f>
              <c:strCache>
                <c:ptCount val="6"/>
                <c:pt idx="0">
                  <c:v>Etiqueta</c:v>
                </c:pt>
                <c:pt idx="1">
                  <c:v>Botella sin vigusa</c:v>
                </c:pt>
                <c:pt idx="2">
                  <c:v>Botella</c:v>
                </c:pt>
                <c:pt idx="3">
                  <c:v>Contraetiqueta</c:v>
                </c:pt>
                <c:pt idx="4">
                  <c:v>Tapa</c:v>
                </c:pt>
                <c:pt idx="5">
                  <c:v>Otros</c:v>
                </c:pt>
              </c:strCache>
            </c:strRef>
          </c:cat>
          <c:val>
            <c:numRef>
              <c:f>'3IyP'!$D$11:$D$16</c:f>
              <c:numCache>
                <c:formatCode>0.000%</c:formatCode>
                <c:ptCount val="6"/>
                <c:pt idx="0">
                  <c:v>0.35731085848686789</c:v>
                </c:pt>
                <c:pt idx="1">
                  <c:v>0.53684829478635832</c:v>
                </c:pt>
                <c:pt idx="2">
                  <c:v>0.69443355546844376</c:v>
                </c:pt>
                <c:pt idx="3">
                  <c:v>0.83986671893375142</c:v>
                </c:pt>
                <c:pt idx="4">
                  <c:v>0.98000784006272046</c:v>
                </c:pt>
                <c:pt idx="5">
                  <c:v>1</c:v>
                </c:pt>
              </c:numCache>
            </c:numRef>
          </c:val>
          <c:smooth val="0"/>
          <c:extLst>
            <c:ext xmlns:c16="http://schemas.microsoft.com/office/drawing/2014/chart" uri="{C3380CC4-5D6E-409C-BE32-E72D297353CC}">
              <c16:uniqueId val="{00000001-564B-8E44-AECB-ED58CE1FFB45}"/>
            </c:ext>
          </c:extLst>
        </c:ser>
        <c:dLbls>
          <c:showLegendKey val="0"/>
          <c:showVal val="0"/>
          <c:showCatName val="1"/>
          <c:showSerName val="0"/>
          <c:showPercent val="0"/>
          <c:showBubbleSize val="0"/>
        </c:dLbls>
        <c:marker val="1"/>
        <c:smooth val="0"/>
        <c:axId val="1451457768"/>
        <c:axId val="1451460744"/>
      </c:lineChart>
      <c:catAx>
        <c:axId val="14514393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Causas</a:t>
                </a:r>
              </a:p>
            </c:rich>
          </c:tx>
          <c:layout>
            <c:manualLayout>
              <c:xMode val="edge"/>
              <c:yMode val="edge"/>
              <c:x val="0.53911255014898996"/>
              <c:y val="0.94000052493438302"/>
            </c:manualLayout>
          </c:layout>
          <c:overlay val="0"/>
          <c:spPr>
            <a:noFill/>
            <a:ln w="25400">
              <a:noFill/>
            </a:ln>
          </c:spPr>
        </c:title>
        <c:numFmt formatCode="General" sourceLinked="1"/>
        <c:majorTickMark val="none"/>
        <c:minorTickMark val="none"/>
        <c:tickLblPos val="nextTo"/>
        <c:spPr>
          <a:ln w="38100">
            <a:solidFill>
              <a:srgbClr val="993366"/>
            </a:solidFill>
            <a:prstDash val="solid"/>
          </a:ln>
        </c:spPr>
        <c:txPr>
          <a:bodyPr rot="-2700000" vert="horz"/>
          <a:lstStyle/>
          <a:p>
            <a:pPr>
              <a:defRPr sz="1000" b="1" i="0" u="none" strike="noStrike" baseline="0">
                <a:solidFill>
                  <a:srgbClr val="993366"/>
                </a:solidFill>
                <a:latin typeface="Rockwell"/>
                <a:ea typeface="Rockwell"/>
                <a:cs typeface="Rockwell"/>
              </a:defRPr>
            </a:pPr>
            <a:endParaRPr lang="en-CR"/>
          </a:p>
        </c:txPr>
        <c:crossAx val="1451451368"/>
        <c:crosses val="autoZero"/>
        <c:auto val="0"/>
        <c:lblAlgn val="ctr"/>
        <c:lblOffset val="100"/>
        <c:tickLblSkip val="1"/>
        <c:tickMarkSkip val="1"/>
        <c:noMultiLvlLbl val="0"/>
      </c:catAx>
      <c:valAx>
        <c:axId val="1451451368"/>
        <c:scaling>
          <c:orientation val="minMax"/>
        </c:scaling>
        <c:delete val="0"/>
        <c:axPos val="l"/>
        <c:majorGridlines>
          <c:spPr>
            <a:ln w="12700">
              <a:solidFill>
                <a:srgbClr val="99CC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US"/>
                  <a:t>Porcentaje</a:t>
                </a:r>
              </a:p>
            </c:rich>
          </c:tx>
          <c:layout>
            <c:manualLayout>
              <c:xMode val="edge"/>
              <c:yMode val="edge"/>
              <c:x val="5.9196617336152203E-2"/>
              <c:y val="0.37777795275590498"/>
            </c:manualLayout>
          </c:layout>
          <c:overlay val="0"/>
          <c:spPr>
            <a:noFill/>
            <a:ln w="25400">
              <a:noFill/>
            </a:ln>
          </c:spPr>
        </c:title>
        <c:numFmt formatCode="0.000%" sourceLinked="1"/>
        <c:majorTickMark val="out"/>
        <c:minorTickMark val="none"/>
        <c:tickLblPos val="nextTo"/>
        <c:spPr>
          <a:ln w="38100">
            <a:solidFill>
              <a:srgbClr val="993366"/>
            </a:solidFill>
            <a:prstDash val="solid"/>
          </a:ln>
        </c:spPr>
        <c:txPr>
          <a:bodyPr rot="0" vert="horz"/>
          <a:lstStyle/>
          <a:p>
            <a:pPr>
              <a:defRPr sz="1000" b="1" i="0" u="none" strike="noStrike" baseline="0">
                <a:solidFill>
                  <a:srgbClr val="993366"/>
                </a:solidFill>
                <a:latin typeface="Rockwell"/>
                <a:ea typeface="Rockwell"/>
                <a:cs typeface="Rockwell"/>
              </a:defRPr>
            </a:pPr>
            <a:endParaRPr lang="en-CR"/>
          </a:p>
        </c:txPr>
        <c:crossAx val="1451439304"/>
        <c:crosses val="autoZero"/>
        <c:crossBetween val="between"/>
      </c:valAx>
      <c:catAx>
        <c:axId val="1451457768"/>
        <c:scaling>
          <c:orientation val="minMax"/>
        </c:scaling>
        <c:delete val="1"/>
        <c:axPos val="b"/>
        <c:numFmt formatCode="General" sourceLinked="1"/>
        <c:majorTickMark val="out"/>
        <c:minorTickMark val="none"/>
        <c:tickLblPos val="nextTo"/>
        <c:crossAx val="1451460744"/>
        <c:crosses val="autoZero"/>
        <c:auto val="0"/>
        <c:lblAlgn val="ctr"/>
        <c:lblOffset val="100"/>
        <c:noMultiLvlLbl val="0"/>
      </c:catAx>
      <c:valAx>
        <c:axId val="1451460744"/>
        <c:scaling>
          <c:orientation val="minMax"/>
        </c:scaling>
        <c:delete val="1"/>
        <c:axPos val="l"/>
        <c:numFmt formatCode="0.000%" sourceLinked="1"/>
        <c:majorTickMark val="out"/>
        <c:minorTickMark val="none"/>
        <c:tickLblPos val="nextTo"/>
        <c:crossAx val="1451457768"/>
        <c:crosses val="autoZero"/>
        <c:crossBetween val="between"/>
      </c:valAx>
      <c:spPr>
        <a:noFill/>
        <a:ln w="38100">
          <a:solidFill>
            <a:srgbClr val="99CC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CR"/>
    </a:p>
  </c:txPr>
  <c:printSettings>
    <c:headerFooter>
      <c:oddHeader>&amp;A</c:oddHeader>
      <c:oddFooter>Page &amp;P</c:oddFooter>
    </c:headerFooter>
    <c:pageMargins b="1" l="0.75" r="0.75" t="1" header="0.5" footer="0.5"/>
    <c:pageSetup paperSize="0" orientation="landscape" horizontalDpi="-4" verticalDpi="-4"/>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Gráfico de Pareto para el problema</a:t>
            </a:r>
          </a:p>
          <a:p>
            <a:pPr>
              <a:defRPr/>
            </a:pPr>
            <a:r>
              <a:rPr lang="en-US"/>
              <a:t>de perdida de Vitamina C</a:t>
            </a:r>
          </a:p>
        </c:rich>
      </c:tx>
      <c:overlay val="0"/>
    </c:title>
    <c:autoTitleDeleted val="0"/>
    <c:plotArea>
      <c:layout/>
      <c:barChart>
        <c:barDir val="col"/>
        <c:grouping val="clustered"/>
        <c:varyColors val="0"/>
        <c:ser>
          <c:idx val="0"/>
          <c:order val="0"/>
          <c:tx>
            <c:strRef>
              <c:f>'6IyP'!$C$9</c:f>
              <c:strCache>
                <c:ptCount val="1"/>
                <c:pt idx="0">
                  <c:v>Porcentaje</c:v>
                </c:pt>
              </c:strCache>
            </c:strRef>
          </c:tx>
          <c:invertIfNegative val="0"/>
          <c:cat>
            <c:strRef>
              <c:f>'6IyP'!$B$10:$B$13</c:f>
              <c:strCache>
                <c:ptCount val="4"/>
                <c:pt idx="0">
                  <c:v>Exhausting</c:v>
                </c:pt>
                <c:pt idx="1">
                  <c:v>Pasteurizado</c:v>
                </c:pt>
                <c:pt idx="2">
                  <c:v>Adición de líquido</c:v>
                </c:pt>
                <c:pt idx="3">
                  <c:v>Pelado y corte</c:v>
                </c:pt>
              </c:strCache>
            </c:strRef>
          </c:cat>
          <c:val>
            <c:numRef>
              <c:f>'6IyP'!$C$10:$C$13</c:f>
              <c:numCache>
                <c:formatCode>0.00%</c:formatCode>
                <c:ptCount val="4"/>
                <c:pt idx="0">
                  <c:v>0.52</c:v>
                </c:pt>
                <c:pt idx="1">
                  <c:v>0.38</c:v>
                </c:pt>
                <c:pt idx="2">
                  <c:v>0.06</c:v>
                </c:pt>
                <c:pt idx="3">
                  <c:v>0.04</c:v>
                </c:pt>
              </c:numCache>
            </c:numRef>
          </c:val>
          <c:extLst>
            <c:ext xmlns:c16="http://schemas.microsoft.com/office/drawing/2014/chart" uri="{C3380CC4-5D6E-409C-BE32-E72D297353CC}">
              <c16:uniqueId val="{00000000-422B-0F43-86BD-421F3A5CAFEA}"/>
            </c:ext>
          </c:extLst>
        </c:ser>
        <c:dLbls>
          <c:showLegendKey val="0"/>
          <c:showVal val="0"/>
          <c:showCatName val="0"/>
          <c:showSerName val="0"/>
          <c:showPercent val="0"/>
          <c:showBubbleSize val="0"/>
        </c:dLbls>
        <c:gapWidth val="0"/>
        <c:overlap val="-25"/>
        <c:axId val="1456795272"/>
        <c:axId val="1456798248"/>
      </c:barChart>
      <c:lineChart>
        <c:grouping val="standard"/>
        <c:varyColors val="0"/>
        <c:ser>
          <c:idx val="1"/>
          <c:order val="1"/>
          <c:tx>
            <c:strRef>
              <c:f>'6IyP'!$D$9</c:f>
              <c:strCache>
                <c:ptCount val="1"/>
                <c:pt idx="0">
                  <c:v>Porcentaje Acumulado</c:v>
                </c:pt>
              </c:strCache>
            </c:strRef>
          </c:tx>
          <c:marker>
            <c:symbol val="none"/>
          </c:marker>
          <c:cat>
            <c:strRef>
              <c:f>'6IyP'!$B$10:$B$13</c:f>
              <c:strCache>
                <c:ptCount val="4"/>
                <c:pt idx="0">
                  <c:v>Exhausting</c:v>
                </c:pt>
                <c:pt idx="1">
                  <c:v>Pasteurizado</c:v>
                </c:pt>
                <c:pt idx="2">
                  <c:v>Adición de líquido</c:v>
                </c:pt>
                <c:pt idx="3">
                  <c:v>Pelado y corte</c:v>
                </c:pt>
              </c:strCache>
            </c:strRef>
          </c:cat>
          <c:val>
            <c:numRef>
              <c:f>'6IyP'!$D$10:$D$13</c:f>
              <c:numCache>
                <c:formatCode>0%</c:formatCode>
                <c:ptCount val="4"/>
                <c:pt idx="0">
                  <c:v>0.52</c:v>
                </c:pt>
                <c:pt idx="1">
                  <c:v>0.9</c:v>
                </c:pt>
                <c:pt idx="2">
                  <c:v>0.96</c:v>
                </c:pt>
                <c:pt idx="3">
                  <c:v>1</c:v>
                </c:pt>
              </c:numCache>
            </c:numRef>
          </c:val>
          <c:smooth val="0"/>
          <c:extLst>
            <c:ext xmlns:c16="http://schemas.microsoft.com/office/drawing/2014/chart" uri="{C3380CC4-5D6E-409C-BE32-E72D297353CC}">
              <c16:uniqueId val="{00000001-422B-0F43-86BD-421F3A5CAFEA}"/>
            </c:ext>
          </c:extLst>
        </c:ser>
        <c:dLbls>
          <c:showLegendKey val="0"/>
          <c:showVal val="0"/>
          <c:showCatName val="0"/>
          <c:showSerName val="0"/>
          <c:showPercent val="0"/>
          <c:showBubbleSize val="0"/>
        </c:dLbls>
        <c:marker val="1"/>
        <c:smooth val="0"/>
        <c:axId val="1456795272"/>
        <c:axId val="1456798248"/>
      </c:lineChart>
      <c:catAx>
        <c:axId val="1456795272"/>
        <c:scaling>
          <c:orientation val="minMax"/>
        </c:scaling>
        <c:delete val="0"/>
        <c:axPos val="b"/>
        <c:numFmt formatCode="General" sourceLinked="0"/>
        <c:majorTickMark val="none"/>
        <c:minorTickMark val="none"/>
        <c:tickLblPos val="nextTo"/>
        <c:crossAx val="1456798248"/>
        <c:crosses val="autoZero"/>
        <c:auto val="1"/>
        <c:lblAlgn val="ctr"/>
        <c:lblOffset val="100"/>
        <c:noMultiLvlLbl val="0"/>
      </c:catAx>
      <c:valAx>
        <c:axId val="1456798248"/>
        <c:scaling>
          <c:orientation val="minMax"/>
        </c:scaling>
        <c:delete val="0"/>
        <c:axPos val="l"/>
        <c:majorGridlines/>
        <c:numFmt formatCode="0.00%" sourceLinked="1"/>
        <c:majorTickMark val="none"/>
        <c:minorTickMark val="none"/>
        <c:tickLblPos val="nextTo"/>
        <c:spPr>
          <a:ln w="9525">
            <a:noFill/>
          </a:ln>
        </c:spPr>
        <c:crossAx val="145679527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a:t>Histograma fabricación de capacitores </a:t>
            </a:r>
          </a:p>
          <a:p>
            <a:pPr>
              <a:defRPr/>
            </a:pPr>
            <a:r>
              <a:rPr lang="en-US" sz="1600"/>
              <a:t>Especificación 102 +/- 3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barChart>
        <c:barDir val="col"/>
        <c:grouping val="clustered"/>
        <c:varyColors val="0"/>
        <c:ser>
          <c:idx val="0"/>
          <c:order val="0"/>
          <c:tx>
            <c:v>Histograma fabricación de capacitores Especificación 102 +/- 3</c:v>
          </c:tx>
          <c:spPr>
            <a:solidFill>
              <a:schemeClr val="accent1"/>
            </a:solidFill>
            <a:ln w="1587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'1medidas'!$F$36:$F$45</c:f>
              <c:strCache>
                <c:ptCount val="10"/>
                <c:pt idx="0">
                  <c:v>95.5 - 96.5</c:v>
                </c:pt>
                <c:pt idx="1">
                  <c:v>96.5 - 97.5</c:v>
                </c:pt>
                <c:pt idx="2">
                  <c:v>97.5 - 98.5</c:v>
                </c:pt>
                <c:pt idx="3">
                  <c:v>98.5 - 99.5</c:v>
                </c:pt>
                <c:pt idx="4">
                  <c:v>99.5 - 100.5</c:v>
                </c:pt>
                <c:pt idx="5">
                  <c:v>100.5 - 101.5</c:v>
                </c:pt>
                <c:pt idx="6">
                  <c:v>101.5 - 102.5</c:v>
                </c:pt>
                <c:pt idx="7">
                  <c:v>102.5 - 103.5</c:v>
                </c:pt>
                <c:pt idx="8">
                  <c:v>103.5 - 104.5</c:v>
                </c:pt>
                <c:pt idx="9">
                  <c:v>104.5 - 105.5</c:v>
                </c:pt>
              </c:strCache>
            </c:strRef>
          </c:cat>
          <c:val>
            <c:numRef>
              <c:f>'1medidas'!$G$36:$G$45</c:f>
              <c:numCache>
                <c:formatCode>General</c:formatCode>
                <c:ptCount val="10"/>
                <c:pt idx="0">
                  <c:v>2</c:v>
                </c:pt>
                <c:pt idx="1">
                  <c:v>3</c:v>
                </c:pt>
                <c:pt idx="2">
                  <c:v>11</c:v>
                </c:pt>
                <c:pt idx="3">
                  <c:v>28</c:v>
                </c:pt>
                <c:pt idx="4">
                  <c:v>18</c:v>
                </c:pt>
                <c:pt idx="5">
                  <c:v>13</c:v>
                </c:pt>
                <c:pt idx="6">
                  <c:v>3</c:v>
                </c:pt>
                <c:pt idx="7">
                  <c:v>2</c:v>
                </c:pt>
                <c:pt idx="8">
                  <c:v>0</c:v>
                </c:pt>
                <c:pt idx="9">
                  <c:v>0</c:v>
                </c:pt>
              </c:numCache>
            </c:numRef>
          </c:val>
          <c:extLst>
            <c:ext xmlns:c16="http://schemas.microsoft.com/office/drawing/2014/chart" uri="{C3380CC4-5D6E-409C-BE32-E72D297353CC}">
              <c16:uniqueId val="{00000000-ECB6-EF42-AEB9-11B79C437045}"/>
            </c:ext>
          </c:extLst>
        </c:ser>
        <c:dLbls>
          <c:showLegendKey val="0"/>
          <c:showVal val="0"/>
          <c:showCatName val="0"/>
          <c:showSerName val="0"/>
          <c:showPercent val="0"/>
          <c:showBubbleSize val="0"/>
        </c:dLbls>
        <c:gapWidth val="0"/>
        <c:overlap val="-27"/>
        <c:axId val="1530890304"/>
        <c:axId val="1520150144"/>
      </c:barChart>
      <c:catAx>
        <c:axId val="1530890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1520150144"/>
        <c:crosses val="autoZero"/>
        <c:auto val="1"/>
        <c:lblAlgn val="ctr"/>
        <c:lblOffset val="100"/>
        <c:noMultiLvlLbl val="0"/>
      </c:catAx>
      <c:valAx>
        <c:axId val="1520150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15308903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Histograma</a:t>
            </a:r>
            <a:r>
              <a:rPr lang="en-US" baseline="0"/>
              <a:t> del diámetro de fabricación</a:t>
            </a:r>
          </a:p>
          <a:p>
            <a:pPr>
              <a:defRPr/>
            </a:pPr>
            <a:r>
              <a:rPr lang="en-US" baseline="0"/>
              <a:t>Especificación 8 +/- 4</a:t>
            </a:r>
            <a:r>
              <a:rPr lang="en-U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barChart>
        <c:barDir val="col"/>
        <c:grouping val="clustered"/>
        <c:varyColors val="0"/>
        <c:ser>
          <c:idx val="0"/>
          <c:order val="0"/>
          <c:tx>
            <c:v>Histograma </c:v>
          </c:tx>
          <c:spPr>
            <a:solidFill>
              <a:schemeClr val="accent1"/>
            </a:solidFill>
            <a:ln w="1587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'2medidas'!$F$32:$F$38</c:f>
              <c:strCache>
                <c:ptCount val="7"/>
                <c:pt idx="0">
                  <c:v>2.5 - 5.5</c:v>
                </c:pt>
                <c:pt idx="1">
                  <c:v>5.5 - 7.5</c:v>
                </c:pt>
                <c:pt idx="2">
                  <c:v>7.5 - 9.5</c:v>
                </c:pt>
                <c:pt idx="3">
                  <c:v>9.5 - 11.5</c:v>
                </c:pt>
                <c:pt idx="4">
                  <c:v>11.5 - 13.5</c:v>
                </c:pt>
                <c:pt idx="5">
                  <c:v>13.5 - 15.5</c:v>
                </c:pt>
                <c:pt idx="6">
                  <c:v>15.5 - 17.5</c:v>
                </c:pt>
              </c:strCache>
            </c:strRef>
          </c:cat>
          <c:val>
            <c:numRef>
              <c:f>'2medidas'!$G$32:$G$38</c:f>
              <c:numCache>
                <c:formatCode>General</c:formatCode>
                <c:ptCount val="7"/>
                <c:pt idx="0">
                  <c:v>1</c:v>
                </c:pt>
                <c:pt idx="1">
                  <c:v>10</c:v>
                </c:pt>
                <c:pt idx="2">
                  <c:v>11</c:v>
                </c:pt>
                <c:pt idx="3">
                  <c:v>16</c:v>
                </c:pt>
                <c:pt idx="4">
                  <c:v>9</c:v>
                </c:pt>
                <c:pt idx="5">
                  <c:v>2</c:v>
                </c:pt>
                <c:pt idx="6">
                  <c:v>1</c:v>
                </c:pt>
              </c:numCache>
            </c:numRef>
          </c:val>
          <c:extLst>
            <c:ext xmlns:c16="http://schemas.microsoft.com/office/drawing/2014/chart" uri="{C3380CC4-5D6E-409C-BE32-E72D297353CC}">
              <c16:uniqueId val="{00000000-9280-E647-B8BB-C3D94EA27C0F}"/>
            </c:ext>
          </c:extLst>
        </c:ser>
        <c:dLbls>
          <c:showLegendKey val="0"/>
          <c:showVal val="0"/>
          <c:showCatName val="0"/>
          <c:showSerName val="0"/>
          <c:showPercent val="0"/>
          <c:showBubbleSize val="0"/>
        </c:dLbls>
        <c:gapWidth val="0"/>
        <c:overlap val="-27"/>
        <c:axId val="719032768"/>
        <c:axId val="823606496"/>
      </c:barChart>
      <c:catAx>
        <c:axId val="719032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823606496"/>
        <c:crosses val="autoZero"/>
        <c:auto val="1"/>
        <c:lblAlgn val="ctr"/>
        <c:lblOffset val="100"/>
        <c:noMultiLvlLbl val="0"/>
      </c:catAx>
      <c:valAx>
        <c:axId val="823606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7190327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Histograma contenido de cafeína</a:t>
            </a:r>
          </a:p>
          <a:p>
            <a:pPr>
              <a:defRPr/>
            </a:pPr>
            <a:r>
              <a:rPr lang="en-US"/>
              <a:t>Especificación 1.5 +/-  0.5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barChart>
        <c:barDir val="col"/>
        <c:grouping val="clustered"/>
        <c:varyColors val="0"/>
        <c:ser>
          <c:idx val="0"/>
          <c:order val="0"/>
          <c:spPr>
            <a:solidFill>
              <a:schemeClr val="accent1"/>
            </a:solidFill>
            <a:ln w="1587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'3medidas'!$F$32:$F$38</c:f>
              <c:strCache>
                <c:ptCount val="7"/>
                <c:pt idx="0">
                  <c:v>0.70 - 0 97</c:v>
                </c:pt>
                <c:pt idx="1">
                  <c:v>0.97 - 1.24</c:v>
                </c:pt>
                <c:pt idx="2">
                  <c:v>1.24 - 1.50</c:v>
                </c:pt>
                <c:pt idx="3">
                  <c:v>1.50 - 1.77</c:v>
                </c:pt>
                <c:pt idx="4">
                  <c:v>1.77 - 2.03</c:v>
                </c:pt>
                <c:pt idx="5">
                  <c:v>2.03 - 2.30</c:v>
                </c:pt>
                <c:pt idx="6">
                  <c:v>2.30 - 2.56</c:v>
                </c:pt>
              </c:strCache>
            </c:strRef>
          </c:cat>
          <c:val>
            <c:numRef>
              <c:f>'3medidas'!$G$32:$G$38</c:f>
              <c:numCache>
                <c:formatCode>General</c:formatCode>
                <c:ptCount val="7"/>
                <c:pt idx="0">
                  <c:v>2</c:v>
                </c:pt>
                <c:pt idx="1">
                  <c:v>2</c:v>
                </c:pt>
                <c:pt idx="2">
                  <c:v>3</c:v>
                </c:pt>
                <c:pt idx="3">
                  <c:v>13</c:v>
                </c:pt>
                <c:pt idx="4">
                  <c:v>11</c:v>
                </c:pt>
                <c:pt idx="5">
                  <c:v>5</c:v>
                </c:pt>
                <c:pt idx="6">
                  <c:v>4</c:v>
                </c:pt>
              </c:numCache>
            </c:numRef>
          </c:val>
          <c:extLst>
            <c:ext xmlns:c16="http://schemas.microsoft.com/office/drawing/2014/chart" uri="{C3380CC4-5D6E-409C-BE32-E72D297353CC}">
              <c16:uniqueId val="{00000000-7918-CA4E-BDB0-9A9E22FD58D9}"/>
            </c:ext>
          </c:extLst>
        </c:ser>
        <c:dLbls>
          <c:showLegendKey val="0"/>
          <c:showVal val="0"/>
          <c:showCatName val="0"/>
          <c:showSerName val="0"/>
          <c:showPercent val="0"/>
          <c:showBubbleSize val="0"/>
        </c:dLbls>
        <c:gapWidth val="0"/>
        <c:overlap val="-27"/>
        <c:axId val="1974778384"/>
        <c:axId val="1974780624"/>
      </c:barChart>
      <c:catAx>
        <c:axId val="197477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1974780624"/>
        <c:crosses val="autoZero"/>
        <c:auto val="1"/>
        <c:lblAlgn val="ctr"/>
        <c:lblOffset val="100"/>
        <c:noMultiLvlLbl val="0"/>
      </c:catAx>
      <c:valAx>
        <c:axId val="19747806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1974778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Histograma cantidad de arena</a:t>
            </a:r>
          </a:p>
          <a:p>
            <a:pPr>
              <a:defRPr/>
            </a:pPr>
            <a:r>
              <a:rPr lang="en-US"/>
              <a:t>Especificación 100 +/- 5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barChart>
        <c:barDir val="col"/>
        <c:grouping val="clustered"/>
        <c:varyColors val="0"/>
        <c:ser>
          <c:idx val="0"/>
          <c:order val="0"/>
          <c:spPr>
            <a:solidFill>
              <a:schemeClr val="accent1"/>
            </a:solidFill>
            <a:ln w="1587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'4medidas'!$F$35:$F$42</c:f>
              <c:strCache>
                <c:ptCount val="8"/>
                <c:pt idx="0">
                  <c:v>82.5 - 87.5</c:v>
                </c:pt>
                <c:pt idx="1">
                  <c:v>87.5 - 92.5</c:v>
                </c:pt>
                <c:pt idx="2">
                  <c:v>92.5 - 97.5</c:v>
                </c:pt>
                <c:pt idx="3">
                  <c:v>97.5 - 102.5</c:v>
                </c:pt>
                <c:pt idx="4">
                  <c:v>102.5 - 107.5</c:v>
                </c:pt>
                <c:pt idx="5">
                  <c:v>107.5 - 112.5</c:v>
                </c:pt>
                <c:pt idx="6">
                  <c:v>112.5 - 117.5</c:v>
                </c:pt>
                <c:pt idx="7">
                  <c:v>117.5 - 122.5</c:v>
                </c:pt>
              </c:strCache>
            </c:strRef>
          </c:cat>
          <c:val>
            <c:numRef>
              <c:f>'4medidas'!$G$35:$G$42</c:f>
              <c:numCache>
                <c:formatCode>General</c:formatCode>
                <c:ptCount val="8"/>
                <c:pt idx="0">
                  <c:v>0</c:v>
                </c:pt>
                <c:pt idx="1">
                  <c:v>9</c:v>
                </c:pt>
                <c:pt idx="2">
                  <c:v>19</c:v>
                </c:pt>
                <c:pt idx="3">
                  <c:v>21</c:v>
                </c:pt>
                <c:pt idx="4">
                  <c:v>8</c:v>
                </c:pt>
                <c:pt idx="5">
                  <c:v>5</c:v>
                </c:pt>
                <c:pt idx="6">
                  <c:v>1</c:v>
                </c:pt>
                <c:pt idx="7">
                  <c:v>1</c:v>
                </c:pt>
              </c:numCache>
            </c:numRef>
          </c:val>
          <c:extLst>
            <c:ext xmlns:c16="http://schemas.microsoft.com/office/drawing/2014/chart" uri="{C3380CC4-5D6E-409C-BE32-E72D297353CC}">
              <c16:uniqueId val="{00000000-4619-2944-8429-6425B15BCDE2}"/>
            </c:ext>
          </c:extLst>
        </c:ser>
        <c:dLbls>
          <c:showLegendKey val="0"/>
          <c:showVal val="0"/>
          <c:showCatName val="0"/>
          <c:showSerName val="0"/>
          <c:showPercent val="0"/>
          <c:showBubbleSize val="0"/>
        </c:dLbls>
        <c:gapWidth val="0"/>
        <c:overlap val="-27"/>
        <c:axId val="1974735360"/>
        <c:axId val="2084541520"/>
      </c:barChart>
      <c:catAx>
        <c:axId val="197473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2084541520"/>
        <c:crosses val="autoZero"/>
        <c:auto val="1"/>
        <c:lblAlgn val="ctr"/>
        <c:lblOffset val="100"/>
        <c:noMultiLvlLbl val="0"/>
      </c:catAx>
      <c:valAx>
        <c:axId val="2084541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1974735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Histograma llenado de bolsas</a:t>
            </a:r>
          </a:p>
          <a:p>
            <a:pPr>
              <a:defRPr/>
            </a:pPr>
            <a:r>
              <a:rPr lang="en-US"/>
              <a:t>Especificación 25 +/- 1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R"/>
        </a:p>
      </c:txPr>
    </c:title>
    <c:autoTitleDeleted val="0"/>
    <c:plotArea>
      <c:layout/>
      <c:barChart>
        <c:barDir val="col"/>
        <c:grouping val="clustered"/>
        <c:varyColors val="0"/>
        <c:ser>
          <c:idx val="0"/>
          <c:order val="0"/>
          <c:spPr>
            <a:solidFill>
              <a:schemeClr val="accent1"/>
            </a:solidFill>
            <a:ln w="1587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'5medidas'!$F$37:$F$44</c:f>
              <c:strCache>
                <c:ptCount val="8"/>
                <c:pt idx="0">
                  <c:v>7.295 - 10.300</c:v>
                </c:pt>
                <c:pt idx="1">
                  <c:v>10.300 - 13.305</c:v>
                </c:pt>
                <c:pt idx="2">
                  <c:v>13.305 - 16.310</c:v>
                </c:pt>
                <c:pt idx="3">
                  <c:v>16.310 - 19.315</c:v>
                </c:pt>
                <c:pt idx="4">
                  <c:v>19.315 - 22.320</c:v>
                </c:pt>
                <c:pt idx="5">
                  <c:v>22.320 - 25.325</c:v>
                </c:pt>
                <c:pt idx="6">
                  <c:v>25.325 - 28.330</c:v>
                </c:pt>
                <c:pt idx="7">
                  <c:v>28.330 - 31.355</c:v>
                </c:pt>
              </c:strCache>
            </c:strRef>
          </c:cat>
          <c:val>
            <c:numRef>
              <c:f>'5medidas'!$G$37:$G$44</c:f>
              <c:numCache>
                <c:formatCode>General</c:formatCode>
                <c:ptCount val="8"/>
                <c:pt idx="0">
                  <c:v>0</c:v>
                </c:pt>
                <c:pt idx="1">
                  <c:v>3</c:v>
                </c:pt>
                <c:pt idx="2">
                  <c:v>3</c:v>
                </c:pt>
                <c:pt idx="3">
                  <c:v>3</c:v>
                </c:pt>
                <c:pt idx="4">
                  <c:v>1</c:v>
                </c:pt>
                <c:pt idx="5">
                  <c:v>56</c:v>
                </c:pt>
                <c:pt idx="6">
                  <c:v>24</c:v>
                </c:pt>
                <c:pt idx="7">
                  <c:v>0</c:v>
                </c:pt>
              </c:numCache>
            </c:numRef>
          </c:val>
          <c:extLst>
            <c:ext xmlns:c16="http://schemas.microsoft.com/office/drawing/2014/chart" uri="{C3380CC4-5D6E-409C-BE32-E72D297353CC}">
              <c16:uniqueId val="{00000000-E209-3F4A-B008-114A9B55CC45}"/>
            </c:ext>
          </c:extLst>
        </c:ser>
        <c:dLbls>
          <c:showLegendKey val="0"/>
          <c:showVal val="0"/>
          <c:showCatName val="0"/>
          <c:showSerName val="0"/>
          <c:showPercent val="0"/>
          <c:showBubbleSize val="0"/>
        </c:dLbls>
        <c:gapWidth val="0"/>
        <c:overlap val="-27"/>
        <c:axId val="2081578560"/>
        <c:axId val="2048685296"/>
      </c:barChart>
      <c:catAx>
        <c:axId val="208157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2048685296"/>
        <c:crosses val="autoZero"/>
        <c:auto val="1"/>
        <c:lblAlgn val="ctr"/>
        <c:lblOffset val="100"/>
        <c:noMultiLvlLbl val="0"/>
      </c:catAx>
      <c:valAx>
        <c:axId val="2048685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R"/>
          </a:p>
        </c:txPr>
        <c:crossAx val="20815785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7.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7.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2.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5.png"/></Relationships>
</file>

<file path=xl/drawings/_rels/drawing43.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9.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235859</xdr:colOff>
      <xdr:row>0</xdr:row>
      <xdr:rowOff>145143</xdr:rowOff>
    </xdr:from>
    <xdr:to>
      <xdr:col>13</xdr:col>
      <xdr:colOff>519646</xdr:colOff>
      <xdr:row>36</xdr:row>
      <xdr:rowOff>47832</xdr:rowOff>
    </xdr:to>
    <xdr:pic>
      <xdr:nvPicPr>
        <xdr:cNvPr id="2" name="Picture 1">
          <a:extLst>
            <a:ext uri="{FF2B5EF4-FFF2-40B4-BE49-F238E27FC236}">
              <a16:creationId xmlns:a16="http://schemas.microsoft.com/office/drawing/2014/main" id="{8C52B1DE-DB4B-7743-B84D-909CCBAE0F98}"/>
            </a:ext>
          </a:extLst>
        </xdr:cNvPr>
        <xdr:cNvPicPr>
          <a:picLocks noChangeAspect="1"/>
        </xdr:cNvPicPr>
      </xdr:nvPicPr>
      <xdr:blipFill>
        <a:blip xmlns:r="http://schemas.openxmlformats.org/officeDocument/2006/relationships" r:embed="rId1"/>
        <a:stretch>
          <a:fillRect/>
        </a:stretch>
      </xdr:blipFill>
      <xdr:spPr>
        <a:xfrm>
          <a:off x="235859" y="145143"/>
          <a:ext cx="11180387" cy="763814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76200</xdr:colOff>
      <xdr:row>0</xdr:row>
      <xdr:rowOff>67733</xdr:rowOff>
    </xdr:from>
    <xdr:to>
      <xdr:col>12</xdr:col>
      <xdr:colOff>182880</xdr:colOff>
      <xdr:row>25</xdr:row>
      <xdr:rowOff>142241</xdr:rowOff>
    </xdr:to>
    <xdr:graphicFrame macro="">
      <xdr:nvGraphicFramePr>
        <xdr:cNvPr id="2" name="Chart 1">
          <a:extLst>
            <a:ext uri="{FF2B5EF4-FFF2-40B4-BE49-F238E27FC236}">
              <a16:creationId xmlns:a16="http://schemas.microsoft.com/office/drawing/2014/main" id="{E82EBED1-4DFA-1647-A27C-629D9174B3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114300</xdr:colOff>
      <xdr:row>51</xdr:row>
      <xdr:rowOff>76200</xdr:rowOff>
    </xdr:from>
    <xdr:to>
      <xdr:col>11</xdr:col>
      <xdr:colOff>622300</xdr:colOff>
      <xdr:row>51</xdr:row>
      <xdr:rowOff>76200</xdr:rowOff>
    </xdr:to>
    <xdr:sp macro="" textlink="">
      <xdr:nvSpPr>
        <xdr:cNvPr id="3" name="Line 2">
          <a:extLst>
            <a:ext uri="{FF2B5EF4-FFF2-40B4-BE49-F238E27FC236}">
              <a16:creationId xmlns:a16="http://schemas.microsoft.com/office/drawing/2014/main" id="{C14FCA64-3E34-C246-88A9-FB96E937A0E3}"/>
            </a:ext>
          </a:extLst>
        </xdr:cNvPr>
        <xdr:cNvSpPr>
          <a:spLocks noChangeShapeType="1"/>
        </xdr:cNvSpPr>
      </xdr:nvSpPr>
      <xdr:spPr bwMode="auto">
        <a:xfrm>
          <a:off x="8420100" y="9321800"/>
          <a:ext cx="1333500" cy="0"/>
        </a:xfrm>
        <a:prstGeom prst="line">
          <a:avLst/>
        </a:prstGeom>
        <a:noFill/>
        <a:ln w="19050">
          <a:solidFill>
            <a:srgbClr val="000000"/>
          </a:solidFill>
          <a:round/>
          <a:headEnd type="oval" w="med" len="med"/>
          <a:tailEnd type="oval" w="med" len="med"/>
        </a:ln>
        <a:extLst>
          <a:ext uri="{909E8E84-426E-40dd-AFC4-6F175D3DCCD1}">
            <a14:hiddenFill xmlns:a14="http://schemas.microsoft.com/office/drawing/2010/main" xmlns="">
              <a:noFill/>
            </a14:hiddenFill>
          </a:ext>
        </a:extLst>
      </xdr:spPr>
      <xdr:txBody>
        <a:bodyPr rtlCol="0"/>
        <a:lstStyle/>
        <a:p>
          <a:pPr algn="ctr"/>
          <a:endParaRPr lang="en-US"/>
        </a:p>
      </xdr:txBody>
    </xdr:sp>
    <xdr:clientData/>
  </xdr:twoCellAnchor>
  <xdr:oneCellAnchor>
    <xdr:from>
      <xdr:col>10</xdr:col>
      <xdr:colOff>431800</xdr:colOff>
      <xdr:row>51</xdr:row>
      <xdr:rowOff>127000</xdr:rowOff>
    </xdr:from>
    <xdr:ext cx="813331" cy="172355"/>
    <xdr:sp macro="" textlink="">
      <xdr:nvSpPr>
        <xdr:cNvPr id="4" name="Text Box 3">
          <a:extLst>
            <a:ext uri="{FF2B5EF4-FFF2-40B4-BE49-F238E27FC236}">
              <a16:creationId xmlns:a16="http://schemas.microsoft.com/office/drawing/2014/main" id="{0EDA7B2E-3227-3845-9B4E-2C4AB57AD16A}"/>
            </a:ext>
          </a:extLst>
        </xdr:cNvPr>
        <xdr:cNvSpPr txBox="1">
          <a:spLocks noChangeArrowheads="1"/>
        </xdr:cNvSpPr>
      </xdr:nvSpPr>
      <xdr:spPr bwMode="auto">
        <a:xfrm>
          <a:off x="8737600" y="9372600"/>
          <a:ext cx="813331" cy="172355"/>
        </a:xfrm>
        <a:prstGeom prst="rect">
          <a:avLst/>
        </a:prstGeom>
        <a:solidFill>
          <a:srgbClr val="FFFFFF"/>
        </a:solidFill>
        <a:ln w="9525">
          <a:solidFill>
            <a:srgbClr val="000000"/>
          </a:solidFill>
          <a:miter lim="800000"/>
          <a:headEnd/>
          <a:tailEnd/>
        </a:ln>
      </xdr:spPr>
      <xdr:txBody>
        <a:bodyPr wrap="none" lIns="18288" tIns="18288" rIns="0" bIns="0" anchor="t" upright="1">
          <a:spAutoFit/>
        </a:bodyPr>
        <a:lstStyle/>
        <a:p>
          <a:pPr algn="l" rtl="0">
            <a:defRPr sz="1000"/>
          </a:pPr>
          <a:r>
            <a:rPr lang="de-DE" sz="1000" b="0" i="0" u="none" strike="noStrike" baseline="0">
              <a:solidFill>
                <a:srgbClr val="000000"/>
              </a:solidFill>
              <a:latin typeface="Verdana"/>
              <a:ea typeface="Verdana"/>
              <a:cs typeface="Verdana"/>
            </a:rPr>
            <a:t>100 ± 5 lbs.</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10</xdr:col>
      <xdr:colOff>221307</xdr:colOff>
      <xdr:row>21</xdr:row>
      <xdr:rowOff>113169</xdr:rowOff>
    </xdr:from>
    <xdr:to>
      <xdr:col>17</xdr:col>
      <xdr:colOff>817326</xdr:colOff>
      <xdr:row>45</xdr:row>
      <xdr:rowOff>51933</xdr:rowOff>
    </xdr:to>
    <xdr:graphicFrame macro="">
      <xdr:nvGraphicFramePr>
        <xdr:cNvPr id="14" name="Chart 13">
          <a:extLst>
            <a:ext uri="{FF2B5EF4-FFF2-40B4-BE49-F238E27FC236}">
              <a16:creationId xmlns:a16="http://schemas.microsoft.com/office/drawing/2014/main" id="{9F7BEE44-CF03-AE40-9CF0-48A271AAA6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25148</xdr:colOff>
      <xdr:row>25</xdr:row>
      <xdr:rowOff>113169</xdr:rowOff>
    </xdr:from>
    <xdr:to>
      <xdr:col>13</xdr:col>
      <xdr:colOff>27915</xdr:colOff>
      <xdr:row>43</xdr:row>
      <xdr:rowOff>164222</xdr:rowOff>
    </xdr:to>
    <xdr:cxnSp macro="">
      <xdr:nvCxnSpPr>
        <xdr:cNvPr id="16" name="Straight Connector 15">
          <a:extLst>
            <a:ext uri="{FF2B5EF4-FFF2-40B4-BE49-F238E27FC236}">
              <a16:creationId xmlns:a16="http://schemas.microsoft.com/office/drawing/2014/main" id="{28644F92-7E24-E441-806B-028A8F021EC8}"/>
            </a:ext>
          </a:extLst>
        </xdr:cNvPr>
        <xdr:cNvCxnSpPr/>
      </xdr:nvCxnSpPr>
      <xdr:spPr>
        <a:xfrm flipH="1" flipV="1">
          <a:off x="11291683" y="5457228"/>
          <a:ext cx="2767" cy="37227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364653</xdr:colOff>
      <xdr:row>25</xdr:row>
      <xdr:rowOff>100594</xdr:rowOff>
    </xdr:from>
    <xdr:to>
      <xdr:col>17</xdr:col>
      <xdr:colOff>364653</xdr:colOff>
      <xdr:row>43</xdr:row>
      <xdr:rowOff>164220</xdr:rowOff>
    </xdr:to>
    <xdr:cxnSp macro="">
      <xdr:nvCxnSpPr>
        <xdr:cNvPr id="7" name="Straight Connector 6">
          <a:extLst>
            <a:ext uri="{FF2B5EF4-FFF2-40B4-BE49-F238E27FC236}">
              <a16:creationId xmlns:a16="http://schemas.microsoft.com/office/drawing/2014/main" id="{B09384CA-91D9-E846-AF6C-F5203527C3FD}"/>
            </a:ext>
          </a:extLst>
        </xdr:cNvPr>
        <xdr:cNvCxnSpPr/>
      </xdr:nvCxnSpPr>
      <xdr:spPr>
        <a:xfrm flipV="1">
          <a:off x="14950792" y="5444653"/>
          <a:ext cx="0" cy="373531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463550</xdr:colOff>
      <xdr:row>16</xdr:row>
      <xdr:rowOff>63500</xdr:rowOff>
    </xdr:from>
    <xdr:to>
      <xdr:col>17</xdr:col>
      <xdr:colOff>673100</xdr:colOff>
      <xdr:row>38</xdr:row>
      <xdr:rowOff>88900</xdr:rowOff>
    </xdr:to>
    <xdr:graphicFrame macro="">
      <xdr:nvGraphicFramePr>
        <xdr:cNvPr id="3" name="Chart 2">
          <a:extLst>
            <a:ext uri="{FF2B5EF4-FFF2-40B4-BE49-F238E27FC236}">
              <a16:creationId xmlns:a16="http://schemas.microsoft.com/office/drawing/2014/main" id="{B63F126C-C579-9644-A21F-0390AFFBFC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368300</xdr:colOff>
      <xdr:row>18</xdr:row>
      <xdr:rowOff>127000</xdr:rowOff>
    </xdr:from>
    <xdr:to>
      <xdr:col>11</xdr:col>
      <xdr:colOff>381000</xdr:colOff>
      <xdr:row>37</xdr:row>
      <xdr:rowOff>0</xdr:rowOff>
    </xdr:to>
    <xdr:cxnSp macro="">
      <xdr:nvCxnSpPr>
        <xdr:cNvPr id="4" name="Straight Connector 3">
          <a:extLst>
            <a:ext uri="{FF2B5EF4-FFF2-40B4-BE49-F238E27FC236}">
              <a16:creationId xmlns:a16="http://schemas.microsoft.com/office/drawing/2014/main" id="{2705F0B1-F4C8-C041-999F-399FD0CAB6C8}"/>
            </a:ext>
          </a:extLst>
        </xdr:cNvPr>
        <xdr:cNvCxnSpPr/>
      </xdr:nvCxnSpPr>
      <xdr:spPr>
        <a:xfrm flipV="1">
          <a:off x="9563100" y="3987800"/>
          <a:ext cx="12700" cy="378460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203200</xdr:colOff>
      <xdr:row>19</xdr:row>
      <xdr:rowOff>0</xdr:rowOff>
    </xdr:from>
    <xdr:to>
      <xdr:col>15</xdr:col>
      <xdr:colOff>203200</xdr:colOff>
      <xdr:row>37</xdr:row>
      <xdr:rowOff>0</xdr:rowOff>
    </xdr:to>
    <xdr:cxnSp macro="">
      <xdr:nvCxnSpPr>
        <xdr:cNvPr id="6" name="Straight Connector 5">
          <a:extLst>
            <a:ext uri="{FF2B5EF4-FFF2-40B4-BE49-F238E27FC236}">
              <a16:creationId xmlns:a16="http://schemas.microsoft.com/office/drawing/2014/main" id="{1A3E5710-DEA2-0F43-B9F2-BA699207FD93}"/>
            </a:ext>
          </a:extLst>
        </xdr:cNvPr>
        <xdr:cNvCxnSpPr/>
      </xdr:nvCxnSpPr>
      <xdr:spPr>
        <a:xfrm flipV="1">
          <a:off x="12700000" y="4064000"/>
          <a:ext cx="0" cy="370840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792787</xdr:colOff>
      <xdr:row>15</xdr:row>
      <xdr:rowOff>212691</xdr:rowOff>
    </xdr:from>
    <xdr:to>
      <xdr:col>18</xdr:col>
      <xdr:colOff>654241</xdr:colOff>
      <xdr:row>38</xdr:row>
      <xdr:rowOff>76968</xdr:rowOff>
    </xdr:to>
    <xdr:graphicFrame macro="">
      <xdr:nvGraphicFramePr>
        <xdr:cNvPr id="2" name="Chart 1">
          <a:extLst>
            <a:ext uri="{FF2B5EF4-FFF2-40B4-BE49-F238E27FC236}">
              <a16:creationId xmlns:a16="http://schemas.microsoft.com/office/drawing/2014/main" id="{22C63498-53E1-EC4A-8033-84EFDFA815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667072</xdr:colOff>
      <xdr:row>18</xdr:row>
      <xdr:rowOff>192424</xdr:rowOff>
    </xdr:from>
    <xdr:to>
      <xdr:col>12</xdr:col>
      <xdr:colOff>692728</xdr:colOff>
      <xdr:row>36</xdr:row>
      <xdr:rowOff>189988</xdr:rowOff>
    </xdr:to>
    <xdr:cxnSp macro="">
      <xdr:nvCxnSpPr>
        <xdr:cNvPr id="3" name="Straight Connector 2">
          <a:extLst>
            <a:ext uri="{FF2B5EF4-FFF2-40B4-BE49-F238E27FC236}">
              <a16:creationId xmlns:a16="http://schemas.microsoft.com/office/drawing/2014/main" id="{D37D1750-1389-2743-95D6-249E4EC907A6}"/>
            </a:ext>
          </a:extLst>
        </xdr:cNvPr>
        <xdr:cNvCxnSpPr/>
      </xdr:nvCxnSpPr>
      <xdr:spPr>
        <a:xfrm flipV="1">
          <a:off x="10660304" y="3899798"/>
          <a:ext cx="25656" cy="3743422"/>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76969</xdr:colOff>
      <xdr:row>19</xdr:row>
      <xdr:rowOff>12829</xdr:rowOff>
    </xdr:from>
    <xdr:to>
      <xdr:col>16</xdr:col>
      <xdr:colOff>76969</xdr:colOff>
      <xdr:row>36</xdr:row>
      <xdr:rowOff>189989</xdr:rowOff>
    </xdr:to>
    <xdr:cxnSp macro="">
      <xdr:nvCxnSpPr>
        <xdr:cNvPr id="4" name="Straight Connector 3">
          <a:extLst>
            <a:ext uri="{FF2B5EF4-FFF2-40B4-BE49-F238E27FC236}">
              <a16:creationId xmlns:a16="http://schemas.microsoft.com/office/drawing/2014/main" id="{6D596592-A395-AE43-8E26-E01017DFBA9B}"/>
            </a:ext>
          </a:extLst>
        </xdr:cNvPr>
        <xdr:cNvCxnSpPr/>
      </xdr:nvCxnSpPr>
      <xdr:spPr>
        <a:xfrm flipV="1">
          <a:off x="13354242" y="3925455"/>
          <a:ext cx="0" cy="3717766"/>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419100</xdr:colOff>
      <xdr:row>20</xdr:row>
      <xdr:rowOff>12700</xdr:rowOff>
    </xdr:from>
    <xdr:to>
      <xdr:col>17</xdr:col>
      <xdr:colOff>228600</xdr:colOff>
      <xdr:row>41</xdr:row>
      <xdr:rowOff>196850</xdr:rowOff>
    </xdr:to>
    <xdr:graphicFrame macro="">
      <xdr:nvGraphicFramePr>
        <xdr:cNvPr id="2" name="Chart 1">
          <a:extLst>
            <a:ext uri="{FF2B5EF4-FFF2-40B4-BE49-F238E27FC236}">
              <a16:creationId xmlns:a16="http://schemas.microsoft.com/office/drawing/2014/main" id="{00D19457-D012-0747-B6E5-A65EE81D5E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609600</xdr:colOff>
      <xdr:row>23</xdr:row>
      <xdr:rowOff>50800</xdr:rowOff>
    </xdr:from>
    <xdr:to>
      <xdr:col>12</xdr:col>
      <xdr:colOff>622300</xdr:colOff>
      <xdr:row>40</xdr:row>
      <xdr:rowOff>86464</xdr:rowOff>
    </xdr:to>
    <xdr:cxnSp macro="">
      <xdr:nvCxnSpPr>
        <xdr:cNvPr id="3" name="Straight Connector 2">
          <a:extLst>
            <a:ext uri="{FF2B5EF4-FFF2-40B4-BE49-F238E27FC236}">
              <a16:creationId xmlns:a16="http://schemas.microsoft.com/office/drawing/2014/main" id="{7C884BF0-5FA7-3143-9D7E-556023E96511}"/>
            </a:ext>
          </a:extLst>
        </xdr:cNvPr>
        <xdr:cNvCxnSpPr/>
      </xdr:nvCxnSpPr>
      <xdr:spPr>
        <a:xfrm flipH="1" flipV="1">
          <a:off x="10820400" y="4737100"/>
          <a:ext cx="12700" cy="3540864"/>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266700</xdr:colOff>
      <xdr:row>23</xdr:row>
      <xdr:rowOff>63500</xdr:rowOff>
    </xdr:from>
    <xdr:to>
      <xdr:col>14</xdr:col>
      <xdr:colOff>279400</xdr:colOff>
      <xdr:row>40</xdr:row>
      <xdr:rowOff>99164</xdr:rowOff>
    </xdr:to>
    <xdr:cxnSp macro="">
      <xdr:nvCxnSpPr>
        <xdr:cNvPr id="5" name="Straight Connector 4">
          <a:extLst>
            <a:ext uri="{FF2B5EF4-FFF2-40B4-BE49-F238E27FC236}">
              <a16:creationId xmlns:a16="http://schemas.microsoft.com/office/drawing/2014/main" id="{78A34A8B-7E91-A140-947A-CD746202DE20}"/>
            </a:ext>
          </a:extLst>
        </xdr:cNvPr>
        <xdr:cNvCxnSpPr/>
      </xdr:nvCxnSpPr>
      <xdr:spPr>
        <a:xfrm flipH="1" flipV="1">
          <a:off x="12128500" y="4749800"/>
          <a:ext cx="12700" cy="3540864"/>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787400</xdr:colOff>
      <xdr:row>22</xdr:row>
      <xdr:rowOff>63500</xdr:rowOff>
    </xdr:from>
    <xdr:to>
      <xdr:col>19</xdr:col>
      <xdr:colOff>266700</xdr:colOff>
      <xdr:row>44</xdr:row>
      <xdr:rowOff>177800</xdr:rowOff>
    </xdr:to>
    <xdr:graphicFrame macro="">
      <xdr:nvGraphicFramePr>
        <xdr:cNvPr id="2" name="Chart 1">
          <a:extLst>
            <a:ext uri="{FF2B5EF4-FFF2-40B4-BE49-F238E27FC236}">
              <a16:creationId xmlns:a16="http://schemas.microsoft.com/office/drawing/2014/main" id="{EBE37FB3-1DE2-E44C-AA47-91414DEA4B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431800</xdr:colOff>
      <xdr:row>26</xdr:row>
      <xdr:rowOff>63500</xdr:rowOff>
    </xdr:from>
    <xdr:to>
      <xdr:col>16</xdr:col>
      <xdr:colOff>444500</xdr:colOff>
      <xdr:row>43</xdr:row>
      <xdr:rowOff>99164</xdr:rowOff>
    </xdr:to>
    <xdr:cxnSp macro="">
      <xdr:nvCxnSpPr>
        <xdr:cNvPr id="3" name="Straight Connector 2">
          <a:extLst>
            <a:ext uri="{FF2B5EF4-FFF2-40B4-BE49-F238E27FC236}">
              <a16:creationId xmlns:a16="http://schemas.microsoft.com/office/drawing/2014/main" id="{A50C9169-6299-0641-B113-D4B7E5E50777}"/>
            </a:ext>
          </a:extLst>
        </xdr:cNvPr>
        <xdr:cNvCxnSpPr/>
      </xdr:nvCxnSpPr>
      <xdr:spPr>
        <a:xfrm flipH="1" flipV="1">
          <a:off x="13957300" y="5702300"/>
          <a:ext cx="12700" cy="3540864"/>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546100</xdr:colOff>
      <xdr:row>26</xdr:row>
      <xdr:rowOff>63500</xdr:rowOff>
    </xdr:from>
    <xdr:to>
      <xdr:col>17</xdr:col>
      <xdr:colOff>558800</xdr:colOff>
      <xdr:row>43</xdr:row>
      <xdr:rowOff>99164</xdr:rowOff>
    </xdr:to>
    <xdr:cxnSp macro="">
      <xdr:nvCxnSpPr>
        <xdr:cNvPr id="4" name="Straight Connector 3">
          <a:extLst>
            <a:ext uri="{FF2B5EF4-FFF2-40B4-BE49-F238E27FC236}">
              <a16:creationId xmlns:a16="http://schemas.microsoft.com/office/drawing/2014/main" id="{6BEEE0FD-15BB-194F-B4F2-60F00A9E3BFF}"/>
            </a:ext>
          </a:extLst>
        </xdr:cNvPr>
        <xdr:cNvCxnSpPr/>
      </xdr:nvCxnSpPr>
      <xdr:spPr>
        <a:xfrm flipH="1" flipV="1">
          <a:off x="14897100" y="5702300"/>
          <a:ext cx="12700" cy="3540864"/>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800100</xdr:colOff>
      <xdr:row>44</xdr:row>
      <xdr:rowOff>114300</xdr:rowOff>
    </xdr:from>
    <xdr:to>
      <xdr:col>10</xdr:col>
      <xdr:colOff>800100</xdr:colOff>
      <xdr:row>46</xdr:row>
      <xdr:rowOff>63500</xdr:rowOff>
    </xdr:to>
    <xdr:cxnSp macro="">
      <xdr:nvCxnSpPr>
        <xdr:cNvPr id="6" name="Straight Arrow Connector 5">
          <a:extLst>
            <a:ext uri="{FF2B5EF4-FFF2-40B4-BE49-F238E27FC236}">
              <a16:creationId xmlns:a16="http://schemas.microsoft.com/office/drawing/2014/main" id="{69DE3302-E59E-2D46-B0FF-30D375922DB9}"/>
            </a:ext>
          </a:extLst>
        </xdr:cNvPr>
        <xdr:cNvCxnSpPr/>
      </xdr:nvCxnSpPr>
      <xdr:spPr>
        <a:xfrm flipV="1">
          <a:off x="7581900" y="9499600"/>
          <a:ext cx="1790700" cy="368300"/>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406400</xdr:colOff>
      <xdr:row>21</xdr:row>
      <xdr:rowOff>6350</xdr:rowOff>
    </xdr:from>
    <xdr:to>
      <xdr:col>37</xdr:col>
      <xdr:colOff>50800</xdr:colOff>
      <xdr:row>43</xdr:row>
      <xdr:rowOff>25400</xdr:rowOff>
    </xdr:to>
    <xdr:graphicFrame macro="">
      <xdr:nvGraphicFramePr>
        <xdr:cNvPr id="9" name="Chart 8">
          <a:extLst>
            <a:ext uri="{FF2B5EF4-FFF2-40B4-BE49-F238E27FC236}">
              <a16:creationId xmlns:a16="http://schemas.microsoft.com/office/drawing/2014/main" id="{330518FF-279F-E740-B663-9F1A434F68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76200</xdr:colOff>
      <xdr:row>24</xdr:row>
      <xdr:rowOff>88900</xdr:rowOff>
    </xdr:from>
    <xdr:to>
      <xdr:col>32</xdr:col>
      <xdr:colOff>88900</xdr:colOff>
      <xdr:row>41</xdr:row>
      <xdr:rowOff>137264</xdr:rowOff>
    </xdr:to>
    <xdr:cxnSp macro="">
      <xdr:nvCxnSpPr>
        <xdr:cNvPr id="10" name="Straight Connector 9">
          <a:extLst>
            <a:ext uri="{FF2B5EF4-FFF2-40B4-BE49-F238E27FC236}">
              <a16:creationId xmlns:a16="http://schemas.microsoft.com/office/drawing/2014/main" id="{34A338FA-A35D-014A-AD78-0FBA8F6AA777}"/>
            </a:ext>
          </a:extLst>
        </xdr:cNvPr>
        <xdr:cNvCxnSpPr/>
      </xdr:nvCxnSpPr>
      <xdr:spPr>
        <a:xfrm flipH="1" flipV="1">
          <a:off x="27152600" y="5359400"/>
          <a:ext cx="12700" cy="3578964"/>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622300</xdr:colOff>
      <xdr:row>24</xdr:row>
      <xdr:rowOff>88900</xdr:rowOff>
    </xdr:from>
    <xdr:to>
      <xdr:col>34</xdr:col>
      <xdr:colOff>635000</xdr:colOff>
      <xdr:row>41</xdr:row>
      <xdr:rowOff>137264</xdr:rowOff>
    </xdr:to>
    <xdr:cxnSp macro="">
      <xdr:nvCxnSpPr>
        <xdr:cNvPr id="11" name="Straight Connector 10">
          <a:extLst>
            <a:ext uri="{FF2B5EF4-FFF2-40B4-BE49-F238E27FC236}">
              <a16:creationId xmlns:a16="http://schemas.microsoft.com/office/drawing/2014/main" id="{493005C6-3AA8-5D48-8083-4069981BA514}"/>
            </a:ext>
          </a:extLst>
        </xdr:cNvPr>
        <xdr:cNvCxnSpPr/>
      </xdr:nvCxnSpPr>
      <xdr:spPr>
        <a:xfrm flipH="1" flipV="1">
          <a:off x="29349700" y="5359400"/>
          <a:ext cx="12700" cy="3578964"/>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361950</xdr:colOff>
      <xdr:row>20</xdr:row>
      <xdr:rowOff>50800</xdr:rowOff>
    </xdr:from>
    <xdr:to>
      <xdr:col>17</xdr:col>
      <xdr:colOff>482600</xdr:colOff>
      <xdr:row>42</xdr:row>
      <xdr:rowOff>190500</xdr:rowOff>
    </xdr:to>
    <xdr:graphicFrame macro="">
      <xdr:nvGraphicFramePr>
        <xdr:cNvPr id="2" name="Chart 1">
          <a:extLst>
            <a:ext uri="{FF2B5EF4-FFF2-40B4-BE49-F238E27FC236}">
              <a16:creationId xmlns:a16="http://schemas.microsoft.com/office/drawing/2014/main" id="{16644C9B-A133-084B-A9B4-F1B926B1FF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711200</xdr:colOff>
      <xdr:row>24</xdr:row>
      <xdr:rowOff>25400</xdr:rowOff>
    </xdr:from>
    <xdr:to>
      <xdr:col>11</xdr:col>
      <xdr:colOff>723900</xdr:colOff>
      <xdr:row>41</xdr:row>
      <xdr:rowOff>99164</xdr:rowOff>
    </xdr:to>
    <xdr:cxnSp macro="">
      <xdr:nvCxnSpPr>
        <xdr:cNvPr id="3" name="Straight Connector 2">
          <a:extLst>
            <a:ext uri="{FF2B5EF4-FFF2-40B4-BE49-F238E27FC236}">
              <a16:creationId xmlns:a16="http://schemas.microsoft.com/office/drawing/2014/main" id="{24A841EB-FFBA-D04F-A344-080668B3C5B2}"/>
            </a:ext>
          </a:extLst>
        </xdr:cNvPr>
        <xdr:cNvCxnSpPr/>
      </xdr:nvCxnSpPr>
      <xdr:spPr>
        <a:xfrm flipH="1" flipV="1">
          <a:off x="10185400" y="5219700"/>
          <a:ext cx="12700" cy="3578964"/>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292100</xdr:colOff>
      <xdr:row>24</xdr:row>
      <xdr:rowOff>25400</xdr:rowOff>
    </xdr:from>
    <xdr:to>
      <xdr:col>15</xdr:col>
      <xdr:colOff>304800</xdr:colOff>
      <xdr:row>41</xdr:row>
      <xdr:rowOff>99164</xdr:rowOff>
    </xdr:to>
    <xdr:cxnSp macro="">
      <xdr:nvCxnSpPr>
        <xdr:cNvPr id="4" name="Straight Connector 3">
          <a:extLst>
            <a:ext uri="{FF2B5EF4-FFF2-40B4-BE49-F238E27FC236}">
              <a16:creationId xmlns:a16="http://schemas.microsoft.com/office/drawing/2014/main" id="{9E596DFA-1A53-0746-A12D-D1D453057C58}"/>
            </a:ext>
          </a:extLst>
        </xdr:cNvPr>
        <xdr:cNvCxnSpPr/>
      </xdr:nvCxnSpPr>
      <xdr:spPr>
        <a:xfrm flipH="1" flipV="1">
          <a:off x="13068300" y="5219700"/>
          <a:ext cx="12700" cy="3578964"/>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323850</xdr:colOff>
      <xdr:row>20</xdr:row>
      <xdr:rowOff>44450</xdr:rowOff>
    </xdr:from>
    <xdr:to>
      <xdr:col>18</xdr:col>
      <xdr:colOff>190500</xdr:colOff>
      <xdr:row>43</xdr:row>
      <xdr:rowOff>0</xdr:rowOff>
    </xdr:to>
    <xdr:graphicFrame macro="">
      <xdr:nvGraphicFramePr>
        <xdr:cNvPr id="2" name="Chart 1">
          <a:extLst>
            <a:ext uri="{FF2B5EF4-FFF2-40B4-BE49-F238E27FC236}">
              <a16:creationId xmlns:a16="http://schemas.microsoft.com/office/drawing/2014/main" id="{615DA5FF-C212-F94C-8419-30A73FC64A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12700</xdr:colOff>
      <xdr:row>24</xdr:row>
      <xdr:rowOff>63500</xdr:rowOff>
    </xdr:from>
    <xdr:to>
      <xdr:col>14</xdr:col>
      <xdr:colOff>25400</xdr:colOff>
      <xdr:row>41</xdr:row>
      <xdr:rowOff>137264</xdr:rowOff>
    </xdr:to>
    <xdr:cxnSp macro="">
      <xdr:nvCxnSpPr>
        <xdr:cNvPr id="3" name="Straight Connector 2">
          <a:extLst>
            <a:ext uri="{FF2B5EF4-FFF2-40B4-BE49-F238E27FC236}">
              <a16:creationId xmlns:a16="http://schemas.microsoft.com/office/drawing/2014/main" id="{CF4FA53A-B189-7144-AD55-F04E81AC732B}"/>
            </a:ext>
          </a:extLst>
        </xdr:cNvPr>
        <xdr:cNvCxnSpPr/>
      </xdr:nvCxnSpPr>
      <xdr:spPr>
        <a:xfrm flipH="1" flipV="1">
          <a:off x="11925300" y="4953000"/>
          <a:ext cx="12700" cy="3578964"/>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412750</xdr:colOff>
      <xdr:row>15</xdr:row>
      <xdr:rowOff>44450</xdr:rowOff>
    </xdr:from>
    <xdr:to>
      <xdr:col>17</xdr:col>
      <xdr:colOff>749300</xdr:colOff>
      <xdr:row>37</xdr:row>
      <xdr:rowOff>38100</xdr:rowOff>
    </xdr:to>
    <xdr:graphicFrame macro="">
      <xdr:nvGraphicFramePr>
        <xdr:cNvPr id="2" name="Chart 1">
          <a:extLst>
            <a:ext uri="{FF2B5EF4-FFF2-40B4-BE49-F238E27FC236}">
              <a16:creationId xmlns:a16="http://schemas.microsoft.com/office/drawing/2014/main" id="{2035A94F-BA73-AB4E-9D3F-636393DC32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76200</xdr:colOff>
      <xdr:row>18</xdr:row>
      <xdr:rowOff>88900</xdr:rowOff>
    </xdr:from>
    <xdr:to>
      <xdr:col>11</xdr:col>
      <xdr:colOff>88900</xdr:colOff>
      <xdr:row>35</xdr:row>
      <xdr:rowOff>162664</xdr:rowOff>
    </xdr:to>
    <xdr:cxnSp macro="">
      <xdr:nvCxnSpPr>
        <xdr:cNvPr id="3" name="Straight Connector 2">
          <a:extLst>
            <a:ext uri="{FF2B5EF4-FFF2-40B4-BE49-F238E27FC236}">
              <a16:creationId xmlns:a16="http://schemas.microsoft.com/office/drawing/2014/main" id="{E68A3AD6-F225-4C40-8540-2D785BCCC95A}"/>
            </a:ext>
          </a:extLst>
        </xdr:cNvPr>
        <xdr:cNvCxnSpPr/>
      </xdr:nvCxnSpPr>
      <xdr:spPr>
        <a:xfrm flipH="1" flipV="1">
          <a:off x="9575800" y="3759200"/>
          <a:ext cx="12700" cy="3578964"/>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393700</xdr:colOff>
      <xdr:row>18</xdr:row>
      <xdr:rowOff>88900</xdr:rowOff>
    </xdr:from>
    <xdr:to>
      <xdr:col>17</xdr:col>
      <xdr:colOff>406400</xdr:colOff>
      <xdr:row>35</xdr:row>
      <xdr:rowOff>162664</xdr:rowOff>
    </xdr:to>
    <xdr:cxnSp macro="">
      <xdr:nvCxnSpPr>
        <xdr:cNvPr id="4" name="Straight Connector 3">
          <a:extLst>
            <a:ext uri="{FF2B5EF4-FFF2-40B4-BE49-F238E27FC236}">
              <a16:creationId xmlns:a16="http://schemas.microsoft.com/office/drawing/2014/main" id="{46935B9A-17C2-004E-AE03-EBE2A21ADA50}"/>
            </a:ext>
          </a:extLst>
        </xdr:cNvPr>
        <xdr:cNvCxnSpPr/>
      </xdr:nvCxnSpPr>
      <xdr:spPr>
        <a:xfrm flipH="1" flipV="1">
          <a:off x="14846300" y="3759200"/>
          <a:ext cx="12700" cy="3578964"/>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330199</xdr:colOff>
      <xdr:row>1</xdr:row>
      <xdr:rowOff>0</xdr:rowOff>
    </xdr:from>
    <xdr:to>
      <xdr:col>14</xdr:col>
      <xdr:colOff>420515</xdr:colOff>
      <xdr:row>35</xdr:row>
      <xdr:rowOff>114300</xdr:rowOff>
    </xdr:to>
    <xdr:pic>
      <xdr:nvPicPr>
        <xdr:cNvPr id="2" name="Picture 1">
          <a:extLst>
            <a:ext uri="{FF2B5EF4-FFF2-40B4-BE49-F238E27FC236}">
              <a16:creationId xmlns:a16="http://schemas.microsoft.com/office/drawing/2014/main" id="{9BC98BB1-2FC1-F84D-A8AC-A0C650F3B90E}"/>
            </a:ext>
          </a:extLst>
        </xdr:cNvPr>
        <xdr:cNvPicPr>
          <a:picLocks noChangeAspect="1"/>
        </xdr:cNvPicPr>
      </xdr:nvPicPr>
      <xdr:blipFill>
        <a:blip xmlns:r="http://schemas.openxmlformats.org/officeDocument/2006/relationships" r:embed="rId1"/>
        <a:stretch>
          <a:fillRect/>
        </a:stretch>
      </xdr:blipFill>
      <xdr:spPr>
        <a:xfrm>
          <a:off x="330199" y="203200"/>
          <a:ext cx="11825116" cy="7023100"/>
        </a:xfrm>
        <a:prstGeom prst="rect">
          <a:avLst/>
        </a:prstGeom>
      </xdr:spPr>
    </xdr:pic>
    <xdr:clientData/>
  </xdr:twoCellAnchor>
  <xdr:twoCellAnchor editAs="oneCell">
    <xdr:from>
      <xdr:col>14</xdr:col>
      <xdr:colOff>177800</xdr:colOff>
      <xdr:row>0</xdr:row>
      <xdr:rowOff>139700</xdr:rowOff>
    </xdr:from>
    <xdr:to>
      <xdr:col>20</xdr:col>
      <xdr:colOff>50800</xdr:colOff>
      <xdr:row>13</xdr:row>
      <xdr:rowOff>88900</xdr:rowOff>
    </xdr:to>
    <xdr:pic>
      <xdr:nvPicPr>
        <xdr:cNvPr id="3" name="Picture 2">
          <a:extLst>
            <a:ext uri="{FF2B5EF4-FFF2-40B4-BE49-F238E27FC236}">
              <a16:creationId xmlns:a16="http://schemas.microsoft.com/office/drawing/2014/main" id="{B8B74506-4015-7744-8E24-B41791802D99}"/>
            </a:ext>
          </a:extLst>
        </xdr:cNvPr>
        <xdr:cNvPicPr>
          <a:picLocks noChangeAspect="1"/>
        </xdr:cNvPicPr>
      </xdr:nvPicPr>
      <xdr:blipFill>
        <a:blip xmlns:r="http://schemas.openxmlformats.org/officeDocument/2006/relationships" r:embed="rId2"/>
        <a:stretch>
          <a:fillRect/>
        </a:stretch>
      </xdr:blipFill>
      <xdr:spPr>
        <a:xfrm>
          <a:off x="11734800" y="139700"/>
          <a:ext cx="4826000" cy="2590800"/>
        </a:xfrm>
        <a:prstGeom prst="rect">
          <a:avLst/>
        </a:prstGeom>
      </xdr:spPr>
    </xdr:pic>
    <xdr:clientData/>
  </xdr:twoCellAnchor>
  <xdr:twoCellAnchor editAs="oneCell">
    <xdr:from>
      <xdr:col>14</xdr:col>
      <xdr:colOff>698500</xdr:colOff>
      <xdr:row>13</xdr:row>
      <xdr:rowOff>152400</xdr:rowOff>
    </xdr:from>
    <xdr:to>
      <xdr:col>24</xdr:col>
      <xdr:colOff>215900</xdr:colOff>
      <xdr:row>44</xdr:row>
      <xdr:rowOff>123291</xdr:rowOff>
    </xdr:to>
    <xdr:pic>
      <xdr:nvPicPr>
        <xdr:cNvPr id="4" name="Picture 3">
          <a:extLst>
            <a:ext uri="{FF2B5EF4-FFF2-40B4-BE49-F238E27FC236}">
              <a16:creationId xmlns:a16="http://schemas.microsoft.com/office/drawing/2014/main" id="{F4C22452-393E-4640-B9E0-3D42E1179630}"/>
            </a:ext>
          </a:extLst>
        </xdr:cNvPr>
        <xdr:cNvPicPr>
          <a:picLocks noChangeAspect="1"/>
        </xdr:cNvPicPr>
      </xdr:nvPicPr>
      <xdr:blipFill>
        <a:blip xmlns:r="http://schemas.openxmlformats.org/officeDocument/2006/relationships" r:embed="rId3"/>
        <a:stretch>
          <a:fillRect/>
        </a:stretch>
      </xdr:blipFill>
      <xdr:spPr>
        <a:xfrm>
          <a:off x="12255500" y="2794000"/>
          <a:ext cx="7772400" cy="65113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234950</xdr:colOff>
      <xdr:row>25</xdr:row>
      <xdr:rowOff>31750</xdr:rowOff>
    </xdr:from>
    <xdr:to>
      <xdr:col>19</xdr:col>
      <xdr:colOff>25400</xdr:colOff>
      <xdr:row>47</xdr:row>
      <xdr:rowOff>12700</xdr:rowOff>
    </xdr:to>
    <xdr:graphicFrame macro="">
      <xdr:nvGraphicFramePr>
        <xdr:cNvPr id="2" name="Chart 1">
          <a:extLst>
            <a:ext uri="{FF2B5EF4-FFF2-40B4-BE49-F238E27FC236}">
              <a16:creationId xmlns:a16="http://schemas.microsoft.com/office/drawing/2014/main" id="{E32D7A31-DF0F-A54B-AAD0-F5EA6E0F79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63500</xdr:colOff>
      <xdr:row>28</xdr:row>
      <xdr:rowOff>63500</xdr:rowOff>
    </xdr:from>
    <xdr:to>
      <xdr:col>14</xdr:col>
      <xdr:colOff>76200</xdr:colOff>
      <xdr:row>45</xdr:row>
      <xdr:rowOff>137264</xdr:rowOff>
    </xdr:to>
    <xdr:cxnSp macro="">
      <xdr:nvCxnSpPr>
        <xdr:cNvPr id="3" name="Straight Connector 2">
          <a:extLst>
            <a:ext uri="{FF2B5EF4-FFF2-40B4-BE49-F238E27FC236}">
              <a16:creationId xmlns:a16="http://schemas.microsoft.com/office/drawing/2014/main" id="{96CEF283-A6F3-F847-BBFD-017856816E4A}"/>
            </a:ext>
          </a:extLst>
        </xdr:cNvPr>
        <xdr:cNvCxnSpPr/>
      </xdr:nvCxnSpPr>
      <xdr:spPr>
        <a:xfrm flipH="1" flipV="1">
          <a:off x="12052300" y="6223000"/>
          <a:ext cx="12700" cy="3578964"/>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469900</xdr:colOff>
      <xdr:row>28</xdr:row>
      <xdr:rowOff>63500</xdr:rowOff>
    </xdr:from>
    <xdr:to>
      <xdr:col>15</xdr:col>
      <xdr:colOff>482600</xdr:colOff>
      <xdr:row>45</xdr:row>
      <xdr:rowOff>137264</xdr:rowOff>
    </xdr:to>
    <xdr:cxnSp macro="">
      <xdr:nvCxnSpPr>
        <xdr:cNvPr id="4" name="Straight Connector 3">
          <a:extLst>
            <a:ext uri="{FF2B5EF4-FFF2-40B4-BE49-F238E27FC236}">
              <a16:creationId xmlns:a16="http://schemas.microsoft.com/office/drawing/2014/main" id="{D8A77DEF-54C7-2A4E-BA78-57946C5767B4}"/>
            </a:ext>
          </a:extLst>
        </xdr:cNvPr>
        <xdr:cNvCxnSpPr/>
      </xdr:nvCxnSpPr>
      <xdr:spPr>
        <a:xfrm flipH="1" flipV="1">
          <a:off x="13284200" y="6223000"/>
          <a:ext cx="12700" cy="3578964"/>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336550</xdr:colOff>
      <xdr:row>26</xdr:row>
      <xdr:rowOff>82550</xdr:rowOff>
    </xdr:from>
    <xdr:to>
      <xdr:col>18</xdr:col>
      <xdr:colOff>139700</xdr:colOff>
      <xdr:row>48</xdr:row>
      <xdr:rowOff>50800</xdr:rowOff>
    </xdr:to>
    <xdr:graphicFrame macro="">
      <xdr:nvGraphicFramePr>
        <xdr:cNvPr id="2" name="Chart 1">
          <a:extLst>
            <a:ext uri="{FF2B5EF4-FFF2-40B4-BE49-F238E27FC236}">
              <a16:creationId xmlns:a16="http://schemas.microsoft.com/office/drawing/2014/main" id="{8FDD9FBA-A350-F540-9FDA-CF06E64A22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508000</xdr:colOff>
      <xdr:row>29</xdr:row>
      <xdr:rowOff>101600</xdr:rowOff>
    </xdr:from>
    <xdr:to>
      <xdr:col>11</xdr:col>
      <xdr:colOff>520700</xdr:colOff>
      <xdr:row>46</xdr:row>
      <xdr:rowOff>175364</xdr:rowOff>
    </xdr:to>
    <xdr:cxnSp macro="">
      <xdr:nvCxnSpPr>
        <xdr:cNvPr id="3" name="Straight Connector 2">
          <a:extLst>
            <a:ext uri="{FF2B5EF4-FFF2-40B4-BE49-F238E27FC236}">
              <a16:creationId xmlns:a16="http://schemas.microsoft.com/office/drawing/2014/main" id="{074FAA34-C019-2344-8C6F-B1B965BCDE51}"/>
            </a:ext>
          </a:extLst>
        </xdr:cNvPr>
        <xdr:cNvCxnSpPr/>
      </xdr:nvCxnSpPr>
      <xdr:spPr>
        <a:xfrm flipH="1" flipV="1">
          <a:off x="9944100" y="6578600"/>
          <a:ext cx="12700" cy="3578964"/>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29</xdr:row>
      <xdr:rowOff>88900</xdr:rowOff>
    </xdr:from>
    <xdr:to>
      <xdr:col>16</xdr:col>
      <xdr:colOff>635000</xdr:colOff>
      <xdr:row>46</xdr:row>
      <xdr:rowOff>162664</xdr:rowOff>
    </xdr:to>
    <xdr:cxnSp macro="">
      <xdr:nvCxnSpPr>
        <xdr:cNvPr id="4" name="Straight Connector 3">
          <a:extLst>
            <a:ext uri="{FF2B5EF4-FFF2-40B4-BE49-F238E27FC236}">
              <a16:creationId xmlns:a16="http://schemas.microsoft.com/office/drawing/2014/main" id="{F546B8F1-4473-F743-BD81-6642ADB06CAE}"/>
            </a:ext>
          </a:extLst>
        </xdr:cNvPr>
        <xdr:cNvCxnSpPr/>
      </xdr:nvCxnSpPr>
      <xdr:spPr>
        <a:xfrm flipH="1" flipV="1">
          <a:off x="14185900" y="6565900"/>
          <a:ext cx="12700" cy="3578964"/>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25400</xdr:colOff>
      <xdr:row>1</xdr:row>
      <xdr:rowOff>0</xdr:rowOff>
    </xdr:from>
    <xdr:to>
      <xdr:col>8</xdr:col>
      <xdr:colOff>165100</xdr:colOff>
      <xdr:row>25</xdr:row>
      <xdr:rowOff>12700</xdr:rowOff>
    </xdr:to>
    <xdr:pic>
      <xdr:nvPicPr>
        <xdr:cNvPr id="2" name="Picture 1">
          <a:extLst>
            <a:ext uri="{FF2B5EF4-FFF2-40B4-BE49-F238E27FC236}">
              <a16:creationId xmlns:a16="http://schemas.microsoft.com/office/drawing/2014/main" id="{BF1BF314-17B8-9444-A871-E57A8C6EF0C7}"/>
            </a:ext>
          </a:extLst>
        </xdr:cNvPr>
        <xdr:cNvPicPr>
          <a:picLocks noChangeAspect="1"/>
        </xdr:cNvPicPr>
      </xdr:nvPicPr>
      <xdr:blipFill>
        <a:blip xmlns:r="http://schemas.openxmlformats.org/officeDocument/2006/relationships" r:embed="rId1"/>
        <a:stretch>
          <a:fillRect/>
        </a:stretch>
      </xdr:blipFill>
      <xdr:spPr>
        <a:xfrm>
          <a:off x="2501900" y="203200"/>
          <a:ext cx="4267200" cy="49149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723900</xdr:colOff>
      <xdr:row>0</xdr:row>
      <xdr:rowOff>152400</xdr:rowOff>
    </xdr:from>
    <xdr:to>
      <xdr:col>5</xdr:col>
      <xdr:colOff>330200</xdr:colOff>
      <xdr:row>24</xdr:row>
      <xdr:rowOff>88900</xdr:rowOff>
    </xdr:to>
    <xdr:pic>
      <xdr:nvPicPr>
        <xdr:cNvPr id="2" name="Picture 1">
          <a:extLst>
            <a:ext uri="{FF2B5EF4-FFF2-40B4-BE49-F238E27FC236}">
              <a16:creationId xmlns:a16="http://schemas.microsoft.com/office/drawing/2014/main" id="{398224C3-2EEB-7042-9B17-D4B0A5FAC13A}"/>
            </a:ext>
          </a:extLst>
        </xdr:cNvPr>
        <xdr:cNvPicPr>
          <a:picLocks noChangeAspect="1"/>
        </xdr:cNvPicPr>
      </xdr:nvPicPr>
      <xdr:blipFill>
        <a:blip xmlns:r="http://schemas.openxmlformats.org/officeDocument/2006/relationships" r:embed="rId1"/>
        <a:stretch>
          <a:fillRect/>
        </a:stretch>
      </xdr:blipFill>
      <xdr:spPr>
        <a:xfrm>
          <a:off x="723900" y="152400"/>
          <a:ext cx="3733800" cy="48387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12700</xdr:colOff>
      <xdr:row>1</xdr:row>
      <xdr:rowOff>0</xdr:rowOff>
    </xdr:from>
    <xdr:to>
      <xdr:col>5</xdr:col>
      <xdr:colOff>711200</xdr:colOff>
      <xdr:row>24</xdr:row>
      <xdr:rowOff>177800</xdr:rowOff>
    </xdr:to>
    <xdr:pic>
      <xdr:nvPicPr>
        <xdr:cNvPr id="2" name="Picture 1">
          <a:extLst>
            <a:ext uri="{FF2B5EF4-FFF2-40B4-BE49-F238E27FC236}">
              <a16:creationId xmlns:a16="http://schemas.microsoft.com/office/drawing/2014/main" id="{28F9A3A2-CF9D-6D44-8810-9E6E985B7B1C}"/>
            </a:ext>
          </a:extLst>
        </xdr:cNvPr>
        <xdr:cNvPicPr>
          <a:picLocks noChangeAspect="1"/>
        </xdr:cNvPicPr>
      </xdr:nvPicPr>
      <xdr:blipFill>
        <a:blip xmlns:r="http://schemas.openxmlformats.org/officeDocument/2006/relationships" r:embed="rId1"/>
        <a:stretch>
          <a:fillRect/>
        </a:stretch>
      </xdr:blipFill>
      <xdr:spPr>
        <a:xfrm>
          <a:off x="838200" y="203200"/>
          <a:ext cx="4000500" cy="4876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812800</xdr:colOff>
      <xdr:row>0</xdr:row>
      <xdr:rowOff>177800</xdr:rowOff>
    </xdr:from>
    <xdr:to>
      <xdr:col>5</xdr:col>
      <xdr:colOff>635000</xdr:colOff>
      <xdr:row>24</xdr:row>
      <xdr:rowOff>0</xdr:rowOff>
    </xdr:to>
    <xdr:pic>
      <xdr:nvPicPr>
        <xdr:cNvPr id="3" name="Picture 2">
          <a:extLst>
            <a:ext uri="{FF2B5EF4-FFF2-40B4-BE49-F238E27FC236}">
              <a16:creationId xmlns:a16="http://schemas.microsoft.com/office/drawing/2014/main" id="{D46237A4-F8B5-6B40-BE06-59B4B6F60DC4}"/>
            </a:ext>
          </a:extLst>
        </xdr:cNvPr>
        <xdr:cNvPicPr>
          <a:picLocks noChangeAspect="1"/>
        </xdr:cNvPicPr>
      </xdr:nvPicPr>
      <xdr:blipFill>
        <a:blip xmlns:r="http://schemas.openxmlformats.org/officeDocument/2006/relationships" r:embed="rId1"/>
        <a:stretch>
          <a:fillRect/>
        </a:stretch>
      </xdr:blipFill>
      <xdr:spPr>
        <a:xfrm>
          <a:off x="812800" y="177800"/>
          <a:ext cx="3949700" cy="47244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660400</xdr:colOff>
      <xdr:row>23</xdr:row>
      <xdr:rowOff>101600</xdr:rowOff>
    </xdr:to>
    <xdr:pic>
      <xdr:nvPicPr>
        <xdr:cNvPr id="2" name="Picture 1">
          <a:extLst>
            <a:ext uri="{FF2B5EF4-FFF2-40B4-BE49-F238E27FC236}">
              <a16:creationId xmlns:a16="http://schemas.microsoft.com/office/drawing/2014/main" id="{599093E8-C7DB-7C46-872D-2AD01918F9D8}"/>
            </a:ext>
          </a:extLst>
        </xdr:cNvPr>
        <xdr:cNvPicPr>
          <a:picLocks noChangeAspect="1"/>
        </xdr:cNvPicPr>
      </xdr:nvPicPr>
      <xdr:blipFill>
        <a:blip xmlns:r="http://schemas.openxmlformats.org/officeDocument/2006/relationships" r:embed="rId1"/>
        <a:stretch>
          <a:fillRect/>
        </a:stretch>
      </xdr:blipFill>
      <xdr:spPr>
        <a:xfrm>
          <a:off x="825500" y="203200"/>
          <a:ext cx="3962400" cy="45974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457200</xdr:colOff>
      <xdr:row>0</xdr:row>
      <xdr:rowOff>38100</xdr:rowOff>
    </xdr:from>
    <xdr:to>
      <xdr:col>6</xdr:col>
      <xdr:colOff>203200</xdr:colOff>
      <xdr:row>37</xdr:row>
      <xdr:rowOff>127000</xdr:rowOff>
    </xdr:to>
    <xdr:pic>
      <xdr:nvPicPr>
        <xdr:cNvPr id="4" name="Picture 3">
          <a:extLst>
            <a:ext uri="{FF2B5EF4-FFF2-40B4-BE49-F238E27FC236}">
              <a16:creationId xmlns:a16="http://schemas.microsoft.com/office/drawing/2014/main" id="{CAE3797D-4DFA-7F4E-A323-A95F52437639}"/>
            </a:ext>
          </a:extLst>
        </xdr:cNvPr>
        <xdr:cNvPicPr>
          <a:picLocks noChangeAspect="1"/>
        </xdr:cNvPicPr>
      </xdr:nvPicPr>
      <xdr:blipFill>
        <a:blip xmlns:r="http://schemas.openxmlformats.org/officeDocument/2006/relationships" r:embed="rId1"/>
        <a:stretch>
          <a:fillRect/>
        </a:stretch>
      </xdr:blipFill>
      <xdr:spPr>
        <a:xfrm>
          <a:off x="457200" y="38100"/>
          <a:ext cx="4699000" cy="76327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457200</xdr:colOff>
      <xdr:row>0</xdr:row>
      <xdr:rowOff>152400</xdr:rowOff>
    </xdr:from>
    <xdr:to>
      <xdr:col>6</xdr:col>
      <xdr:colOff>673100</xdr:colOff>
      <xdr:row>39</xdr:row>
      <xdr:rowOff>50800</xdr:rowOff>
    </xdr:to>
    <xdr:pic>
      <xdr:nvPicPr>
        <xdr:cNvPr id="2" name="Picture 1">
          <a:extLst>
            <a:ext uri="{FF2B5EF4-FFF2-40B4-BE49-F238E27FC236}">
              <a16:creationId xmlns:a16="http://schemas.microsoft.com/office/drawing/2014/main" id="{07BB3072-FCA2-1140-BC0A-8693D95925CB}"/>
            </a:ext>
          </a:extLst>
        </xdr:cNvPr>
        <xdr:cNvPicPr>
          <a:picLocks noChangeAspect="1"/>
        </xdr:cNvPicPr>
      </xdr:nvPicPr>
      <xdr:blipFill>
        <a:blip xmlns:r="http://schemas.openxmlformats.org/officeDocument/2006/relationships" r:embed="rId1"/>
        <a:stretch>
          <a:fillRect/>
        </a:stretch>
      </xdr:blipFill>
      <xdr:spPr>
        <a:xfrm>
          <a:off x="457200" y="152400"/>
          <a:ext cx="5168900" cy="78486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317500</xdr:colOff>
      <xdr:row>0</xdr:row>
      <xdr:rowOff>114300</xdr:rowOff>
    </xdr:from>
    <xdr:to>
      <xdr:col>6</xdr:col>
      <xdr:colOff>25400</xdr:colOff>
      <xdr:row>39</xdr:row>
      <xdr:rowOff>177800</xdr:rowOff>
    </xdr:to>
    <xdr:pic>
      <xdr:nvPicPr>
        <xdr:cNvPr id="2" name="Picture 1">
          <a:extLst>
            <a:ext uri="{FF2B5EF4-FFF2-40B4-BE49-F238E27FC236}">
              <a16:creationId xmlns:a16="http://schemas.microsoft.com/office/drawing/2014/main" id="{24097A02-37A5-2B47-9C8C-3A2E5E5A9D2C}"/>
            </a:ext>
          </a:extLst>
        </xdr:cNvPr>
        <xdr:cNvPicPr>
          <a:picLocks noChangeAspect="1"/>
        </xdr:cNvPicPr>
      </xdr:nvPicPr>
      <xdr:blipFill>
        <a:blip xmlns:r="http://schemas.openxmlformats.org/officeDocument/2006/relationships" r:embed="rId1"/>
        <a:stretch>
          <a:fillRect/>
        </a:stretch>
      </xdr:blipFill>
      <xdr:spPr>
        <a:xfrm>
          <a:off x="317500" y="114300"/>
          <a:ext cx="4660900" cy="8013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228599</xdr:colOff>
      <xdr:row>0</xdr:row>
      <xdr:rowOff>139700</xdr:rowOff>
    </xdr:from>
    <xdr:to>
      <xdr:col>14</xdr:col>
      <xdr:colOff>787400</xdr:colOff>
      <xdr:row>37</xdr:row>
      <xdr:rowOff>74598</xdr:rowOff>
    </xdr:to>
    <xdr:pic>
      <xdr:nvPicPr>
        <xdr:cNvPr id="2" name="Picture 1">
          <a:extLst>
            <a:ext uri="{FF2B5EF4-FFF2-40B4-BE49-F238E27FC236}">
              <a16:creationId xmlns:a16="http://schemas.microsoft.com/office/drawing/2014/main" id="{E3484C6C-9733-2C41-9C5D-A59958F6C147}"/>
            </a:ext>
          </a:extLst>
        </xdr:cNvPr>
        <xdr:cNvPicPr>
          <a:picLocks noChangeAspect="1"/>
        </xdr:cNvPicPr>
      </xdr:nvPicPr>
      <xdr:blipFill>
        <a:blip xmlns:r="http://schemas.openxmlformats.org/officeDocument/2006/relationships" r:embed="rId1"/>
        <a:stretch>
          <a:fillRect/>
        </a:stretch>
      </xdr:blipFill>
      <xdr:spPr>
        <a:xfrm>
          <a:off x="228599" y="139700"/>
          <a:ext cx="12255501" cy="745329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355600</xdr:colOff>
      <xdr:row>0</xdr:row>
      <xdr:rowOff>177800</xdr:rowOff>
    </xdr:from>
    <xdr:to>
      <xdr:col>9</xdr:col>
      <xdr:colOff>609600</xdr:colOff>
      <xdr:row>33</xdr:row>
      <xdr:rowOff>0</xdr:rowOff>
    </xdr:to>
    <xdr:pic>
      <xdr:nvPicPr>
        <xdr:cNvPr id="2" name="Picture 1">
          <a:extLst>
            <a:ext uri="{FF2B5EF4-FFF2-40B4-BE49-F238E27FC236}">
              <a16:creationId xmlns:a16="http://schemas.microsoft.com/office/drawing/2014/main" id="{C9B98908-B287-734D-8483-315B31B7AE6B}"/>
            </a:ext>
          </a:extLst>
        </xdr:cNvPr>
        <xdr:cNvPicPr>
          <a:picLocks noChangeAspect="1"/>
        </xdr:cNvPicPr>
      </xdr:nvPicPr>
      <xdr:blipFill>
        <a:blip xmlns:r="http://schemas.openxmlformats.org/officeDocument/2006/relationships" r:embed="rId1"/>
        <a:stretch>
          <a:fillRect/>
        </a:stretch>
      </xdr:blipFill>
      <xdr:spPr>
        <a:xfrm>
          <a:off x="2832100" y="177800"/>
          <a:ext cx="5207000" cy="6553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812800</xdr:colOff>
      <xdr:row>1</xdr:row>
      <xdr:rowOff>0</xdr:rowOff>
    </xdr:from>
    <xdr:to>
      <xdr:col>5</xdr:col>
      <xdr:colOff>317500</xdr:colOff>
      <xdr:row>25</xdr:row>
      <xdr:rowOff>63500</xdr:rowOff>
    </xdr:to>
    <xdr:pic>
      <xdr:nvPicPr>
        <xdr:cNvPr id="2" name="Picture 1">
          <a:extLst>
            <a:ext uri="{FF2B5EF4-FFF2-40B4-BE49-F238E27FC236}">
              <a16:creationId xmlns:a16="http://schemas.microsoft.com/office/drawing/2014/main" id="{CAF6A534-E6C8-FD48-8573-BB0174245129}"/>
            </a:ext>
          </a:extLst>
        </xdr:cNvPr>
        <xdr:cNvPicPr>
          <a:picLocks noChangeAspect="1"/>
        </xdr:cNvPicPr>
      </xdr:nvPicPr>
      <xdr:blipFill>
        <a:blip xmlns:r="http://schemas.openxmlformats.org/officeDocument/2006/relationships" r:embed="rId1"/>
        <a:stretch>
          <a:fillRect/>
        </a:stretch>
      </xdr:blipFill>
      <xdr:spPr>
        <a:xfrm>
          <a:off x="812800" y="203200"/>
          <a:ext cx="3632200" cy="5003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812800</xdr:colOff>
      <xdr:row>1</xdr:row>
      <xdr:rowOff>0</xdr:rowOff>
    </xdr:from>
    <xdr:to>
      <xdr:col>5</xdr:col>
      <xdr:colOff>279400</xdr:colOff>
      <xdr:row>24</xdr:row>
      <xdr:rowOff>190500</xdr:rowOff>
    </xdr:to>
    <xdr:pic>
      <xdr:nvPicPr>
        <xdr:cNvPr id="2" name="Picture 1">
          <a:extLst>
            <a:ext uri="{FF2B5EF4-FFF2-40B4-BE49-F238E27FC236}">
              <a16:creationId xmlns:a16="http://schemas.microsoft.com/office/drawing/2014/main" id="{BDD1F2C8-A17F-6145-8E4E-45D6D273EBE1}"/>
            </a:ext>
          </a:extLst>
        </xdr:cNvPr>
        <xdr:cNvPicPr>
          <a:picLocks noChangeAspect="1"/>
        </xdr:cNvPicPr>
      </xdr:nvPicPr>
      <xdr:blipFill>
        <a:blip xmlns:r="http://schemas.openxmlformats.org/officeDocument/2006/relationships" r:embed="rId1"/>
        <a:stretch>
          <a:fillRect/>
        </a:stretch>
      </xdr:blipFill>
      <xdr:spPr>
        <a:xfrm>
          <a:off x="812800" y="203200"/>
          <a:ext cx="3594100" cy="49276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342900</xdr:colOff>
      <xdr:row>0</xdr:row>
      <xdr:rowOff>190500</xdr:rowOff>
    </xdr:from>
    <xdr:to>
      <xdr:col>5</xdr:col>
      <xdr:colOff>520700</xdr:colOff>
      <xdr:row>23</xdr:row>
      <xdr:rowOff>101600</xdr:rowOff>
    </xdr:to>
    <xdr:pic>
      <xdr:nvPicPr>
        <xdr:cNvPr id="2" name="Picture 1">
          <a:extLst>
            <a:ext uri="{FF2B5EF4-FFF2-40B4-BE49-F238E27FC236}">
              <a16:creationId xmlns:a16="http://schemas.microsoft.com/office/drawing/2014/main" id="{0E24D6DD-4E95-AB42-BBBD-1737180F7736}"/>
            </a:ext>
          </a:extLst>
        </xdr:cNvPr>
        <xdr:cNvPicPr>
          <a:picLocks noChangeAspect="1"/>
        </xdr:cNvPicPr>
      </xdr:nvPicPr>
      <xdr:blipFill>
        <a:blip xmlns:r="http://schemas.openxmlformats.org/officeDocument/2006/relationships" r:embed="rId1"/>
        <a:stretch>
          <a:fillRect/>
        </a:stretch>
      </xdr:blipFill>
      <xdr:spPr>
        <a:xfrm>
          <a:off x="342900" y="190500"/>
          <a:ext cx="4305300" cy="4648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317500</xdr:colOff>
      <xdr:row>0</xdr:row>
      <xdr:rowOff>177800</xdr:rowOff>
    </xdr:from>
    <xdr:to>
      <xdr:col>6</xdr:col>
      <xdr:colOff>25400</xdr:colOff>
      <xdr:row>26</xdr:row>
      <xdr:rowOff>88900</xdr:rowOff>
    </xdr:to>
    <xdr:pic>
      <xdr:nvPicPr>
        <xdr:cNvPr id="2" name="Picture 1">
          <a:extLst>
            <a:ext uri="{FF2B5EF4-FFF2-40B4-BE49-F238E27FC236}">
              <a16:creationId xmlns:a16="http://schemas.microsoft.com/office/drawing/2014/main" id="{6BF8EA6A-6892-B84E-B7F8-C8FB2FB8EF61}"/>
            </a:ext>
          </a:extLst>
        </xdr:cNvPr>
        <xdr:cNvPicPr>
          <a:picLocks noChangeAspect="1"/>
        </xdr:cNvPicPr>
      </xdr:nvPicPr>
      <xdr:blipFill>
        <a:blip xmlns:r="http://schemas.openxmlformats.org/officeDocument/2006/relationships" r:embed="rId1"/>
        <a:stretch>
          <a:fillRect/>
        </a:stretch>
      </xdr:blipFill>
      <xdr:spPr>
        <a:xfrm>
          <a:off x="317500" y="177800"/>
          <a:ext cx="4660900" cy="5257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50800</xdr:colOff>
      <xdr:row>2</xdr:row>
      <xdr:rowOff>76200</xdr:rowOff>
    </xdr:from>
    <xdr:to>
      <xdr:col>4</xdr:col>
      <xdr:colOff>749587</xdr:colOff>
      <xdr:row>21</xdr:row>
      <xdr:rowOff>177800</xdr:rowOff>
    </xdr:to>
    <xdr:pic>
      <xdr:nvPicPr>
        <xdr:cNvPr id="2" name="Picture 1">
          <a:extLst>
            <a:ext uri="{FF2B5EF4-FFF2-40B4-BE49-F238E27FC236}">
              <a16:creationId xmlns:a16="http://schemas.microsoft.com/office/drawing/2014/main" id="{8D93A5BB-242F-E144-9CA7-4DC8131593D2}"/>
            </a:ext>
          </a:extLst>
        </xdr:cNvPr>
        <xdr:cNvPicPr>
          <a:picLocks noChangeAspect="1"/>
        </xdr:cNvPicPr>
      </xdr:nvPicPr>
      <xdr:blipFill>
        <a:blip xmlns:r="http://schemas.openxmlformats.org/officeDocument/2006/relationships" r:embed="rId1"/>
        <a:stretch>
          <a:fillRect/>
        </a:stretch>
      </xdr:blipFill>
      <xdr:spPr>
        <a:xfrm>
          <a:off x="876300" y="546100"/>
          <a:ext cx="3175287" cy="3962400"/>
        </a:xfrm>
        <a:prstGeom prst="rect">
          <a:avLst/>
        </a:prstGeom>
      </xdr:spPr>
    </xdr:pic>
    <xdr:clientData/>
  </xdr:twoCellAnchor>
  <xdr:twoCellAnchor editAs="oneCell">
    <xdr:from>
      <xdr:col>5</xdr:col>
      <xdr:colOff>101600</xdr:colOff>
      <xdr:row>2</xdr:row>
      <xdr:rowOff>88900</xdr:rowOff>
    </xdr:from>
    <xdr:to>
      <xdr:col>9</xdr:col>
      <xdr:colOff>170199</xdr:colOff>
      <xdr:row>21</xdr:row>
      <xdr:rowOff>76200</xdr:rowOff>
    </xdr:to>
    <xdr:pic>
      <xdr:nvPicPr>
        <xdr:cNvPr id="3" name="Picture 2">
          <a:extLst>
            <a:ext uri="{FF2B5EF4-FFF2-40B4-BE49-F238E27FC236}">
              <a16:creationId xmlns:a16="http://schemas.microsoft.com/office/drawing/2014/main" id="{85C605F3-E7DA-B545-B732-470E11C349B6}"/>
            </a:ext>
          </a:extLst>
        </xdr:cNvPr>
        <xdr:cNvPicPr>
          <a:picLocks noChangeAspect="1"/>
        </xdr:cNvPicPr>
      </xdr:nvPicPr>
      <xdr:blipFill>
        <a:blip xmlns:r="http://schemas.openxmlformats.org/officeDocument/2006/relationships" r:embed="rId2"/>
        <a:stretch>
          <a:fillRect/>
        </a:stretch>
      </xdr:blipFill>
      <xdr:spPr>
        <a:xfrm>
          <a:off x="4229100" y="571500"/>
          <a:ext cx="3370599" cy="3848100"/>
        </a:xfrm>
        <a:prstGeom prst="rect">
          <a:avLst/>
        </a:prstGeom>
      </xdr:spPr>
    </xdr:pic>
    <xdr:clientData/>
  </xdr:twoCellAnchor>
  <xdr:twoCellAnchor editAs="oneCell">
    <xdr:from>
      <xdr:col>10</xdr:col>
      <xdr:colOff>241300</xdr:colOff>
      <xdr:row>2</xdr:row>
      <xdr:rowOff>25399</xdr:rowOff>
    </xdr:from>
    <xdr:to>
      <xdr:col>14</xdr:col>
      <xdr:colOff>266700</xdr:colOff>
      <xdr:row>21</xdr:row>
      <xdr:rowOff>109944</xdr:rowOff>
    </xdr:to>
    <xdr:pic>
      <xdr:nvPicPr>
        <xdr:cNvPr id="4" name="Picture 3">
          <a:extLst>
            <a:ext uri="{FF2B5EF4-FFF2-40B4-BE49-F238E27FC236}">
              <a16:creationId xmlns:a16="http://schemas.microsoft.com/office/drawing/2014/main" id="{5CEC8177-A87C-144C-96F5-E7A3DD5B4C4C}"/>
            </a:ext>
          </a:extLst>
        </xdr:cNvPr>
        <xdr:cNvPicPr>
          <a:picLocks noChangeAspect="1"/>
        </xdr:cNvPicPr>
      </xdr:nvPicPr>
      <xdr:blipFill>
        <a:blip xmlns:r="http://schemas.openxmlformats.org/officeDocument/2006/relationships" r:embed="rId3"/>
        <a:stretch>
          <a:fillRect/>
        </a:stretch>
      </xdr:blipFill>
      <xdr:spPr>
        <a:xfrm>
          <a:off x="8026400" y="507999"/>
          <a:ext cx="3327400" cy="3945345"/>
        </a:xfrm>
        <a:prstGeom prst="rect">
          <a:avLst/>
        </a:prstGeom>
      </xdr:spPr>
    </xdr:pic>
    <xdr:clientData/>
  </xdr:twoCellAnchor>
  <xdr:twoCellAnchor editAs="oneCell">
    <xdr:from>
      <xdr:col>15</xdr:col>
      <xdr:colOff>203200</xdr:colOff>
      <xdr:row>2</xdr:row>
      <xdr:rowOff>63500</xdr:rowOff>
    </xdr:from>
    <xdr:to>
      <xdr:col>19</xdr:col>
      <xdr:colOff>114300</xdr:colOff>
      <xdr:row>21</xdr:row>
      <xdr:rowOff>196124</xdr:rowOff>
    </xdr:to>
    <xdr:pic>
      <xdr:nvPicPr>
        <xdr:cNvPr id="5" name="Picture 4">
          <a:extLst>
            <a:ext uri="{FF2B5EF4-FFF2-40B4-BE49-F238E27FC236}">
              <a16:creationId xmlns:a16="http://schemas.microsoft.com/office/drawing/2014/main" id="{C8E7224C-7E7B-E347-A1C4-7524AD92CBA0}"/>
            </a:ext>
          </a:extLst>
        </xdr:cNvPr>
        <xdr:cNvPicPr>
          <a:picLocks noChangeAspect="1"/>
        </xdr:cNvPicPr>
      </xdr:nvPicPr>
      <xdr:blipFill>
        <a:blip xmlns:r="http://schemas.openxmlformats.org/officeDocument/2006/relationships" r:embed="rId4"/>
        <a:stretch>
          <a:fillRect/>
        </a:stretch>
      </xdr:blipFill>
      <xdr:spPr>
        <a:xfrm>
          <a:off x="11747500" y="546100"/>
          <a:ext cx="3213100" cy="399342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292100</xdr:colOff>
      <xdr:row>0</xdr:row>
      <xdr:rowOff>190500</xdr:rowOff>
    </xdr:from>
    <xdr:to>
      <xdr:col>7</xdr:col>
      <xdr:colOff>177800</xdr:colOff>
      <xdr:row>29</xdr:row>
      <xdr:rowOff>152400</xdr:rowOff>
    </xdr:to>
    <xdr:pic>
      <xdr:nvPicPr>
        <xdr:cNvPr id="2" name="Picture 1">
          <a:extLst>
            <a:ext uri="{FF2B5EF4-FFF2-40B4-BE49-F238E27FC236}">
              <a16:creationId xmlns:a16="http://schemas.microsoft.com/office/drawing/2014/main" id="{9B33433B-34B5-DD4E-BB51-97D27E6A6859}"/>
            </a:ext>
          </a:extLst>
        </xdr:cNvPr>
        <xdr:cNvPicPr>
          <a:picLocks noChangeAspect="1"/>
        </xdr:cNvPicPr>
      </xdr:nvPicPr>
      <xdr:blipFill>
        <a:blip xmlns:r="http://schemas.openxmlformats.org/officeDocument/2006/relationships" r:embed="rId1"/>
        <a:stretch>
          <a:fillRect/>
        </a:stretch>
      </xdr:blipFill>
      <xdr:spPr>
        <a:xfrm>
          <a:off x="292100" y="190500"/>
          <a:ext cx="5664200" cy="5918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5</xdr:col>
      <xdr:colOff>749300</xdr:colOff>
      <xdr:row>0</xdr:row>
      <xdr:rowOff>101600</xdr:rowOff>
    </xdr:from>
    <xdr:to>
      <xdr:col>15</xdr:col>
      <xdr:colOff>266700</xdr:colOff>
      <xdr:row>18</xdr:row>
      <xdr:rowOff>200040</xdr:rowOff>
    </xdr:to>
    <xdr:pic>
      <xdr:nvPicPr>
        <xdr:cNvPr id="3" name="Picture 2">
          <a:extLst>
            <a:ext uri="{FF2B5EF4-FFF2-40B4-BE49-F238E27FC236}">
              <a16:creationId xmlns:a16="http://schemas.microsoft.com/office/drawing/2014/main" id="{62077EB6-0B6E-704F-B7E8-6CFFCA0783C8}"/>
            </a:ext>
          </a:extLst>
        </xdr:cNvPr>
        <xdr:cNvPicPr>
          <a:picLocks noChangeAspect="1"/>
        </xdr:cNvPicPr>
      </xdr:nvPicPr>
      <xdr:blipFill>
        <a:blip xmlns:r="http://schemas.openxmlformats.org/officeDocument/2006/relationships" r:embed="rId1"/>
        <a:stretch>
          <a:fillRect/>
        </a:stretch>
      </xdr:blipFill>
      <xdr:spPr>
        <a:xfrm>
          <a:off x="4876800" y="101600"/>
          <a:ext cx="7772400" cy="3756040"/>
        </a:xfrm>
        <a:prstGeom prst="rect">
          <a:avLst/>
        </a:prstGeom>
      </xdr:spPr>
    </xdr:pic>
    <xdr:clientData/>
  </xdr:twoCellAnchor>
  <xdr:twoCellAnchor editAs="oneCell">
    <xdr:from>
      <xdr:col>0</xdr:col>
      <xdr:colOff>38100</xdr:colOff>
      <xdr:row>0</xdr:row>
      <xdr:rowOff>88899</xdr:rowOff>
    </xdr:from>
    <xdr:to>
      <xdr:col>5</xdr:col>
      <xdr:colOff>711200</xdr:colOff>
      <xdr:row>42</xdr:row>
      <xdr:rowOff>138378</xdr:rowOff>
    </xdr:to>
    <xdr:pic>
      <xdr:nvPicPr>
        <xdr:cNvPr id="5" name="Picture 4">
          <a:extLst>
            <a:ext uri="{FF2B5EF4-FFF2-40B4-BE49-F238E27FC236}">
              <a16:creationId xmlns:a16="http://schemas.microsoft.com/office/drawing/2014/main" id="{CD951D54-467B-0641-BB25-E7112E32D5B0}"/>
            </a:ext>
          </a:extLst>
        </xdr:cNvPr>
        <xdr:cNvPicPr>
          <a:picLocks noChangeAspect="1"/>
        </xdr:cNvPicPr>
      </xdr:nvPicPr>
      <xdr:blipFill>
        <a:blip xmlns:r="http://schemas.openxmlformats.org/officeDocument/2006/relationships" r:embed="rId2"/>
        <a:stretch>
          <a:fillRect/>
        </a:stretch>
      </xdr:blipFill>
      <xdr:spPr>
        <a:xfrm>
          <a:off x="38100" y="88899"/>
          <a:ext cx="4800600" cy="868547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165100</xdr:colOff>
      <xdr:row>0</xdr:row>
      <xdr:rowOff>0</xdr:rowOff>
    </xdr:from>
    <xdr:to>
      <xdr:col>5</xdr:col>
      <xdr:colOff>635000</xdr:colOff>
      <xdr:row>39</xdr:row>
      <xdr:rowOff>63500</xdr:rowOff>
    </xdr:to>
    <xdr:pic>
      <xdr:nvPicPr>
        <xdr:cNvPr id="3" name="Picture 2">
          <a:extLst>
            <a:ext uri="{FF2B5EF4-FFF2-40B4-BE49-F238E27FC236}">
              <a16:creationId xmlns:a16="http://schemas.microsoft.com/office/drawing/2014/main" id="{F534F8FD-6459-3849-9661-6E3AAD4B9423}"/>
            </a:ext>
          </a:extLst>
        </xdr:cNvPr>
        <xdr:cNvPicPr>
          <a:picLocks noChangeAspect="1"/>
        </xdr:cNvPicPr>
      </xdr:nvPicPr>
      <xdr:blipFill>
        <a:blip xmlns:r="http://schemas.openxmlformats.org/officeDocument/2006/relationships" r:embed="rId1"/>
        <a:stretch>
          <a:fillRect/>
        </a:stretch>
      </xdr:blipFill>
      <xdr:spPr>
        <a:xfrm>
          <a:off x="165100" y="0"/>
          <a:ext cx="4597400" cy="8051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152400</xdr:colOff>
      <xdr:row>0</xdr:row>
      <xdr:rowOff>50800</xdr:rowOff>
    </xdr:from>
    <xdr:to>
      <xdr:col>5</xdr:col>
      <xdr:colOff>457200</xdr:colOff>
      <xdr:row>39</xdr:row>
      <xdr:rowOff>50800</xdr:rowOff>
    </xdr:to>
    <xdr:pic>
      <xdr:nvPicPr>
        <xdr:cNvPr id="3" name="Picture 2">
          <a:extLst>
            <a:ext uri="{FF2B5EF4-FFF2-40B4-BE49-F238E27FC236}">
              <a16:creationId xmlns:a16="http://schemas.microsoft.com/office/drawing/2014/main" id="{28269875-A38B-FA42-8604-0A9294AF992E}"/>
            </a:ext>
          </a:extLst>
        </xdr:cNvPr>
        <xdr:cNvPicPr>
          <a:picLocks noChangeAspect="1"/>
        </xdr:cNvPicPr>
      </xdr:nvPicPr>
      <xdr:blipFill>
        <a:blip xmlns:r="http://schemas.openxmlformats.org/officeDocument/2006/relationships" r:embed="rId1"/>
        <a:stretch>
          <a:fillRect/>
        </a:stretch>
      </xdr:blipFill>
      <xdr:spPr>
        <a:xfrm>
          <a:off x="152400" y="50800"/>
          <a:ext cx="4432300" cy="8026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63500</xdr:rowOff>
    </xdr:from>
    <xdr:to>
      <xdr:col>13</xdr:col>
      <xdr:colOff>495300</xdr:colOff>
      <xdr:row>34</xdr:row>
      <xdr:rowOff>53614</xdr:rowOff>
    </xdr:to>
    <xdr:pic>
      <xdr:nvPicPr>
        <xdr:cNvPr id="2" name="Picture 1">
          <a:extLst>
            <a:ext uri="{FF2B5EF4-FFF2-40B4-BE49-F238E27FC236}">
              <a16:creationId xmlns:a16="http://schemas.microsoft.com/office/drawing/2014/main" id="{401CBB34-D78F-3048-BAF7-8A0EFD3643C4}"/>
            </a:ext>
          </a:extLst>
        </xdr:cNvPr>
        <xdr:cNvPicPr>
          <a:picLocks noChangeAspect="1"/>
        </xdr:cNvPicPr>
      </xdr:nvPicPr>
      <xdr:blipFill>
        <a:blip xmlns:r="http://schemas.openxmlformats.org/officeDocument/2006/relationships" r:embed="rId1"/>
        <a:stretch>
          <a:fillRect/>
        </a:stretch>
      </xdr:blipFill>
      <xdr:spPr>
        <a:xfrm>
          <a:off x="76199" y="63500"/>
          <a:ext cx="11150601" cy="838481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127000</xdr:colOff>
      <xdr:row>0</xdr:row>
      <xdr:rowOff>50800</xdr:rowOff>
    </xdr:from>
    <xdr:to>
      <xdr:col>8</xdr:col>
      <xdr:colOff>469900</xdr:colOff>
      <xdr:row>41</xdr:row>
      <xdr:rowOff>165100</xdr:rowOff>
    </xdr:to>
    <xdr:pic>
      <xdr:nvPicPr>
        <xdr:cNvPr id="2" name="Picture 1">
          <a:extLst>
            <a:ext uri="{FF2B5EF4-FFF2-40B4-BE49-F238E27FC236}">
              <a16:creationId xmlns:a16="http://schemas.microsoft.com/office/drawing/2014/main" id="{33FD9F0B-5A34-474F-B584-C66A41D6FFAB}"/>
            </a:ext>
          </a:extLst>
        </xdr:cNvPr>
        <xdr:cNvPicPr>
          <a:picLocks noChangeAspect="1"/>
        </xdr:cNvPicPr>
      </xdr:nvPicPr>
      <xdr:blipFill>
        <a:blip xmlns:r="http://schemas.openxmlformats.org/officeDocument/2006/relationships" r:embed="rId1"/>
        <a:stretch>
          <a:fillRect/>
        </a:stretch>
      </xdr:blipFill>
      <xdr:spPr>
        <a:xfrm>
          <a:off x="127000" y="50800"/>
          <a:ext cx="6946900" cy="8572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127000</xdr:colOff>
      <xdr:row>0</xdr:row>
      <xdr:rowOff>0</xdr:rowOff>
    </xdr:from>
    <xdr:to>
      <xdr:col>7</xdr:col>
      <xdr:colOff>76200</xdr:colOff>
      <xdr:row>28</xdr:row>
      <xdr:rowOff>139700</xdr:rowOff>
    </xdr:to>
    <xdr:pic>
      <xdr:nvPicPr>
        <xdr:cNvPr id="2" name="Picture 1">
          <a:extLst>
            <a:ext uri="{FF2B5EF4-FFF2-40B4-BE49-F238E27FC236}">
              <a16:creationId xmlns:a16="http://schemas.microsoft.com/office/drawing/2014/main" id="{92C5A116-251C-A143-85D5-ED931B28A893}"/>
            </a:ext>
          </a:extLst>
        </xdr:cNvPr>
        <xdr:cNvPicPr>
          <a:picLocks noChangeAspect="1"/>
        </xdr:cNvPicPr>
      </xdr:nvPicPr>
      <xdr:blipFill>
        <a:blip xmlns:r="http://schemas.openxmlformats.org/officeDocument/2006/relationships" r:embed="rId1"/>
        <a:stretch>
          <a:fillRect/>
        </a:stretch>
      </xdr:blipFill>
      <xdr:spPr>
        <a:xfrm>
          <a:off x="127000" y="0"/>
          <a:ext cx="5727700" cy="58293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7</xdr:col>
      <xdr:colOff>254000</xdr:colOff>
      <xdr:row>42</xdr:row>
      <xdr:rowOff>0</xdr:rowOff>
    </xdr:to>
    <xdr:pic>
      <xdr:nvPicPr>
        <xdr:cNvPr id="2" name="Picture 1">
          <a:extLst>
            <a:ext uri="{FF2B5EF4-FFF2-40B4-BE49-F238E27FC236}">
              <a16:creationId xmlns:a16="http://schemas.microsoft.com/office/drawing/2014/main" id="{63E80CAB-EC23-4941-BC3A-DA9C66D5FD53}"/>
            </a:ext>
          </a:extLst>
        </xdr:cNvPr>
        <xdr:cNvPicPr>
          <a:picLocks noChangeAspect="1"/>
        </xdr:cNvPicPr>
      </xdr:nvPicPr>
      <xdr:blipFill>
        <a:blip xmlns:r="http://schemas.openxmlformats.org/officeDocument/2006/relationships" r:embed="rId1"/>
        <a:stretch>
          <a:fillRect/>
        </a:stretch>
      </xdr:blipFill>
      <xdr:spPr>
        <a:xfrm>
          <a:off x="76200" y="0"/>
          <a:ext cx="5956300" cy="85344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88899</xdr:colOff>
      <xdr:row>2</xdr:row>
      <xdr:rowOff>113890</xdr:rowOff>
    </xdr:from>
    <xdr:to>
      <xdr:col>4</xdr:col>
      <xdr:colOff>751702</xdr:colOff>
      <xdr:row>21</xdr:row>
      <xdr:rowOff>0</xdr:rowOff>
    </xdr:to>
    <xdr:pic>
      <xdr:nvPicPr>
        <xdr:cNvPr id="6" name="Picture 5">
          <a:extLst>
            <a:ext uri="{FF2B5EF4-FFF2-40B4-BE49-F238E27FC236}">
              <a16:creationId xmlns:a16="http://schemas.microsoft.com/office/drawing/2014/main" id="{D266A9A9-AD9B-A445-9031-6135715C1857}"/>
            </a:ext>
          </a:extLst>
        </xdr:cNvPr>
        <xdr:cNvPicPr>
          <a:picLocks noChangeAspect="1"/>
        </xdr:cNvPicPr>
      </xdr:nvPicPr>
      <xdr:blipFill>
        <a:blip xmlns:r="http://schemas.openxmlformats.org/officeDocument/2006/relationships" r:embed="rId1"/>
        <a:stretch>
          <a:fillRect/>
        </a:stretch>
      </xdr:blipFill>
      <xdr:spPr>
        <a:xfrm>
          <a:off x="914399" y="596490"/>
          <a:ext cx="3139303" cy="3746910"/>
        </a:xfrm>
        <a:prstGeom prst="rect">
          <a:avLst/>
        </a:prstGeom>
      </xdr:spPr>
    </xdr:pic>
    <xdr:clientData/>
  </xdr:twoCellAnchor>
  <xdr:twoCellAnchor editAs="oneCell">
    <xdr:from>
      <xdr:col>5</xdr:col>
      <xdr:colOff>310328</xdr:colOff>
      <xdr:row>2</xdr:row>
      <xdr:rowOff>25400</xdr:rowOff>
    </xdr:from>
    <xdr:to>
      <xdr:col>9</xdr:col>
      <xdr:colOff>101600</xdr:colOff>
      <xdr:row>21</xdr:row>
      <xdr:rowOff>88900</xdr:rowOff>
    </xdr:to>
    <xdr:pic>
      <xdr:nvPicPr>
        <xdr:cNvPr id="7" name="Picture 6">
          <a:extLst>
            <a:ext uri="{FF2B5EF4-FFF2-40B4-BE49-F238E27FC236}">
              <a16:creationId xmlns:a16="http://schemas.microsoft.com/office/drawing/2014/main" id="{87D25A34-D891-E549-8F0B-6E9476B5D6CF}"/>
            </a:ext>
          </a:extLst>
        </xdr:cNvPr>
        <xdr:cNvPicPr>
          <a:picLocks noChangeAspect="1"/>
        </xdr:cNvPicPr>
      </xdr:nvPicPr>
      <xdr:blipFill>
        <a:blip xmlns:r="http://schemas.openxmlformats.org/officeDocument/2006/relationships" r:embed="rId2"/>
        <a:stretch>
          <a:fillRect/>
        </a:stretch>
      </xdr:blipFill>
      <xdr:spPr>
        <a:xfrm>
          <a:off x="4437828" y="508000"/>
          <a:ext cx="3093272" cy="3924300"/>
        </a:xfrm>
        <a:prstGeom prst="rect">
          <a:avLst/>
        </a:prstGeom>
      </xdr:spPr>
    </xdr:pic>
    <xdr:clientData/>
  </xdr:twoCellAnchor>
  <xdr:twoCellAnchor editAs="oneCell">
    <xdr:from>
      <xdr:col>10</xdr:col>
      <xdr:colOff>381996</xdr:colOff>
      <xdr:row>2</xdr:row>
      <xdr:rowOff>50799</xdr:rowOff>
    </xdr:from>
    <xdr:to>
      <xdr:col>14</xdr:col>
      <xdr:colOff>139700</xdr:colOff>
      <xdr:row>21</xdr:row>
      <xdr:rowOff>121310</xdr:rowOff>
    </xdr:to>
    <xdr:pic>
      <xdr:nvPicPr>
        <xdr:cNvPr id="8" name="Picture 7">
          <a:extLst>
            <a:ext uri="{FF2B5EF4-FFF2-40B4-BE49-F238E27FC236}">
              <a16:creationId xmlns:a16="http://schemas.microsoft.com/office/drawing/2014/main" id="{68D45A22-A7AC-2F4D-9790-DA1AD48BC4A8}"/>
            </a:ext>
          </a:extLst>
        </xdr:cNvPr>
        <xdr:cNvPicPr>
          <a:picLocks noChangeAspect="1"/>
        </xdr:cNvPicPr>
      </xdr:nvPicPr>
      <xdr:blipFill>
        <a:blip xmlns:r="http://schemas.openxmlformats.org/officeDocument/2006/relationships" r:embed="rId3"/>
        <a:stretch>
          <a:fillRect/>
        </a:stretch>
      </xdr:blipFill>
      <xdr:spPr>
        <a:xfrm>
          <a:off x="8167096" y="533399"/>
          <a:ext cx="3059704" cy="393131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114300</xdr:colOff>
      <xdr:row>0</xdr:row>
      <xdr:rowOff>25400</xdr:rowOff>
    </xdr:from>
    <xdr:to>
      <xdr:col>8</xdr:col>
      <xdr:colOff>660400</xdr:colOff>
      <xdr:row>39</xdr:row>
      <xdr:rowOff>127000</xdr:rowOff>
    </xdr:to>
    <xdr:pic>
      <xdr:nvPicPr>
        <xdr:cNvPr id="2" name="Picture 1">
          <a:extLst>
            <a:ext uri="{FF2B5EF4-FFF2-40B4-BE49-F238E27FC236}">
              <a16:creationId xmlns:a16="http://schemas.microsoft.com/office/drawing/2014/main" id="{B794A866-2A8B-834C-A5C5-FCC88E306C7F}"/>
            </a:ext>
          </a:extLst>
        </xdr:cNvPr>
        <xdr:cNvPicPr>
          <a:picLocks noChangeAspect="1"/>
        </xdr:cNvPicPr>
      </xdr:nvPicPr>
      <xdr:blipFill>
        <a:blip xmlns:r="http://schemas.openxmlformats.org/officeDocument/2006/relationships" r:embed="rId1"/>
        <a:stretch>
          <a:fillRect/>
        </a:stretch>
      </xdr:blipFill>
      <xdr:spPr>
        <a:xfrm>
          <a:off x="114300" y="25400"/>
          <a:ext cx="7150100" cy="8026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411480</xdr:colOff>
      <xdr:row>1</xdr:row>
      <xdr:rowOff>20320</xdr:rowOff>
    </xdr:from>
    <xdr:to>
      <xdr:col>12</xdr:col>
      <xdr:colOff>670560</xdr:colOff>
      <xdr:row>24</xdr:row>
      <xdr:rowOff>60960</xdr:rowOff>
    </xdr:to>
    <xdr:graphicFrame macro="">
      <xdr:nvGraphicFramePr>
        <xdr:cNvPr id="2" name="Chart 6">
          <a:extLst>
            <a:ext uri="{FF2B5EF4-FFF2-40B4-BE49-F238E27FC236}">
              <a16:creationId xmlns:a16="http://schemas.microsoft.com/office/drawing/2014/main" id="{B2F1A6E2-BC73-C348-9BA9-41B47DC0E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76200</xdr:colOff>
      <xdr:row>1</xdr:row>
      <xdr:rowOff>17780</xdr:rowOff>
    </xdr:from>
    <xdr:to>
      <xdr:col>17</xdr:col>
      <xdr:colOff>317500</xdr:colOff>
      <xdr:row>23</xdr:row>
      <xdr:rowOff>81280</xdr:rowOff>
    </xdr:to>
    <xdr:graphicFrame macro="">
      <xdr:nvGraphicFramePr>
        <xdr:cNvPr id="3" name="Chart 7">
          <a:extLst>
            <a:ext uri="{FF2B5EF4-FFF2-40B4-BE49-F238E27FC236}">
              <a16:creationId xmlns:a16="http://schemas.microsoft.com/office/drawing/2014/main" id="{38077913-E3D9-E94A-92FC-37158D395F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639234</xdr:colOff>
      <xdr:row>14</xdr:row>
      <xdr:rowOff>188384</xdr:rowOff>
    </xdr:from>
    <xdr:to>
      <xdr:col>6</xdr:col>
      <xdr:colOff>431282</xdr:colOff>
      <xdr:row>37</xdr:row>
      <xdr:rowOff>179916</xdr:rowOff>
    </xdr:to>
    <xdr:pic>
      <xdr:nvPicPr>
        <xdr:cNvPr id="2" name="Picture 1">
          <a:extLst>
            <a:ext uri="{FF2B5EF4-FFF2-40B4-BE49-F238E27FC236}">
              <a16:creationId xmlns:a16="http://schemas.microsoft.com/office/drawing/2014/main" id="{440F1A7D-A26F-D847-AAFF-8ABB3F0B733D}"/>
            </a:ext>
          </a:extLst>
        </xdr:cNvPr>
        <xdr:cNvPicPr>
          <a:picLocks noChangeAspect="1"/>
        </xdr:cNvPicPr>
      </xdr:nvPicPr>
      <xdr:blipFill>
        <a:blip xmlns:r="http://schemas.openxmlformats.org/officeDocument/2006/relationships" r:embed="rId1"/>
        <a:stretch>
          <a:fillRect/>
        </a:stretch>
      </xdr:blipFill>
      <xdr:spPr>
        <a:xfrm>
          <a:off x="639234" y="3024717"/>
          <a:ext cx="6702965" cy="4616449"/>
        </a:xfrm>
        <a:prstGeom prst="rect">
          <a:avLst/>
        </a:prstGeom>
      </xdr:spPr>
    </xdr:pic>
    <xdr:clientData/>
  </xdr:twoCellAnchor>
  <xdr:twoCellAnchor editAs="oneCell">
    <xdr:from>
      <xdr:col>0</xdr:col>
      <xdr:colOff>610946</xdr:colOff>
      <xdr:row>38</xdr:row>
      <xdr:rowOff>165291</xdr:rowOff>
    </xdr:from>
    <xdr:to>
      <xdr:col>6</xdr:col>
      <xdr:colOff>34733</xdr:colOff>
      <xdr:row>61</xdr:row>
      <xdr:rowOff>167409</xdr:rowOff>
    </xdr:to>
    <xdr:pic>
      <xdr:nvPicPr>
        <xdr:cNvPr id="3" name="Picture 2">
          <a:extLst>
            <a:ext uri="{FF2B5EF4-FFF2-40B4-BE49-F238E27FC236}">
              <a16:creationId xmlns:a16="http://schemas.microsoft.com/office/drawing/2014/main" id="{0CCDC533-F3F0-8245-A7C7-423B3A1054EF}"/>
            </a:ext>
          </a:extLst>
        </xdr:cNvPr>
        <xdr:cNvPicPr>
          <a:picLocks noChangeAspect="1"/>
        </xdr:cNvPicPr>
      </xdr:nvPicPr>
      <xdr:blipFill>
        <a:blip xmlns:r="http://schemas.openxmlformats.org/officeDocument/2006/relationships" r:embed="rId2"/>
        <a:stretch>
          <a:fillRect/>
        </a:stretch>
      </xdr:blipFill>
      <xdr:spPr>
        <a:xfrm>
          <a:off x="610946" y="8270200"/>
          <a:ext cx="6351060" cy="47819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203200</xdr:colOff>
      <xdr:row>9</xdr:row>
      <xdr:rowOff>101600</xdr:rowOff>
    </xdr:from>
    <xdr:to>
      <xdr:col>6</xdr:col>
      <xdr:colOff>10160</xdr:colOff>
      <xdr:row>37</xdr:row>
      <xdr:rowOff>111760</xdr:rowOff>
    </xdr:to>
    <xdr:graphicFrame macro="">
      <xdr:nvGraphicFramePr>
        <xdr:cNvPr id="2" name="Chart 4">
          <a:extLst>
            <a:ext uri="{FF2B5EF4-FFF2-40B4-BE49-F238E27FC236}">
              <a16:creationId xmlns:a16="http://schemas.microsoft.com/office/drawing/2014/main" id="{C3545BEA-6CC2-5645-A01A-BD6B45094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629920</xdr:colOff>
      <xdr:row>7</xdr:row>
      <xdr:rowOff>60960</xdr:rowOff>
    </xdr:from>
    <xdr:to>
      <xdr:col>8</xdr:col>
      <xdr:colOff>599440</xdr:colOff>
      <xdr:row>30</xdr:row>
      <xdr:rowOff>182880</xdr:rowOff>
    </xdr:to>
    <xdr:pic>
      <xdr:nvPicPr>
        <xdr:cNvPr id="7" name="Picture 6">
          <a:extLst>
            <a:ext uri="{FF2B5EF4-FFF2-40B4-BE49-F238E27FC236}">
              <a16:creationId xmlns:a16="http://schemas.microsoft.com/office/drawing/2014/main" id="{177F4D3B-0719-3343-8989-E23C40F98826}"/>
            </a:ext>
          </a:extLst>
        </xdr:cNvPr>
        <xdr:cNvPicPr>
          <a:picLocks noChangeAspect="1"/>
        </xdr:cNvPicPr>
      </xdr:nvPicPr>
      <xdr:blipFill>
        <a:blip xmlns:r="http://schemas.openxmlformats.org/officeDocument/2006/relationships" r:embed="rId1"/>
        <a:stretch>
          <a:fillRect/>
        </a:stretch>
      </xdr:blipFill>
      <xdr:spPr>
        <a:xfrm>
          <a:off x="629920" y="1483360"/>
          <a:ext cx="7315200" cy="4876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8</xdr:col>
      <xdr:colOff>264160</xdr:colOff>
      <xdr:row>33</xdr:row>
      <xdr:rowOff>0</xdr:rowOff>
    </xdr:to>
    <xdr:pic>
      <xdr:nvPicPr>
        <xdr:cNvPr id="4" name="Picture 3">
          <a:extLst>
            <a:ext uri="{FF2B5EF4-FFF2-40B4-BE49-F238E27FC236}">
              <a16:creationId xmlns:a16="http://schemas.microsoft.com/office/drawing/2014/main" id="{4BFC1483-77CE-3E4F-9FB9-EAA22E195D35}"/>
            </a:ext>
          </a:extLst>
        </xdr:cNvPr>
        <xdr:cNvPicPr>
          <a:picLocks noChangeAspect="1"/>
        </xdr:cNvPicPr>
      </xdr:nvPicPr>
      <xdr:blipFill>
        <a:blip xmlns:r="http://schemas.openxmlformats.org/officeDocument/2006/relationships" r:embed="rId1"/>
        <a:stretch>
          <a:fillRect/>
        </a:stretch>
      </xdr:blipFill>
      <xdr:spPr>
        <a:xfrm>
          <a:off x="396240" y="1828800"/>
          <a:ext cx="7315200" cy="4876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nrique/Documents/UCR/Profesor/Ex&#225;menes/Soluci&#243;n%20de%20Ex&#225;menes/Gerencia%20de%20Operaciones/1p-I-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gunta 1"/>
      <sheetName val="Pregunta 2"/>
      <sheetName val="Pregunta 3"/>
      <sheetName val="Pregunta 4"/>
    </sheetNames>
    <sheetDataSet>
      <sheetData sheetId="0"/>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AA698-86CC-2D46-BA43-F5B4AC725B12}">
  <dimension ref="O2:S30"/>
  <sheetViews>
    <sheetView tabSelected="1" zoomScale="110" zoomScaleNormal="110" zoomScalePageLayoutView="110" workbookViewId="0">
      <selection activeCell="O9" sqref="O9"/>
    </sheetView>
  </sheetViews>
  <sheetFormatPr baseColWidth="10" defaultColWidth="11" defaultRowHeight="16" x14ac:dyDescent="0.2"/>
  <cols>
    <col min="15" max="15" width="31.1640625" customWidth="1"/>
    <col min="16" max="16" width="10.83203125" customWidth="1"/>
    <col min="17" max="17" width="9" bestFit="1" customWidth="1"/>
  </cols>
  <sheetData>
    <row r="2" spans="15:19" x14ac:dyDescent="0.2">
      <c r="O2" s="247" t="s">
        <v>0</v>
      </c>
      <c r="P2" s="247"/>
      <c r="Q2" s="247"/>
      <c r="R2" s="247"/>
    </row>
    <row r="3" spans="15:19" x14ac:dyDescent="0.2">
      <c r="O3" s="247"/>
      <c r="P3" s="247"/>
      <c r="Q3" s="247"/>
      <c r="R3" s="247"/>
    </row>
    <row r="4" spans="15:19" x14ac:dyDescent="0.2">
      <c r="O4" t="s">
        <v>1</v>
      </c>
      <c r="P4">
        <v>7.5</v>
      </c>
      <c r="Q4" t="s">
        <v>2</v>
      </c>
    </row>
    <row r="5" spans="15:19" x14ac:dyDescent="0.2">
      <c r="O5" t="s">
        <v>3</v>
      </c>
      <c r="P5">
        <v>2</v>
      </c>
      <c r="Q5" t="s">
        <v>4</v>
      </c>
    </row>
    <row r="6" spans="15:19" x14ac:dyDescent="0.2">
      <c r="O6" t="s">
        <v>5</v>
      </c>
      <c r="P6">
        <v>2700</v>
      </c>
      <c r="Q6" t="s">
        <v>6</v>
      </c>
    </row>
    <row r="7" spans="15:19" ht="17" x14ac:dyDescent="0.2">
      <c r="O7" s="3" t="s">
        <v>7</v>
      </c>
      <c r="P7">
        <f>P4*3600*P5</f>
        <v>54000</v>
      </c>
      <c r="Q7" t="s">
        <v>8</v>
      </c>
    </row>
    <row r="8" spans="15:19" x14ac:dyDescent="0.2">
      <c r="O8" s="4" t="s">
        <v>9</v>
      </c>
      <c r="P8" s="4">
        <f>P7/P6</f>
        <v>20</v>
      </c>
      <c r="Q8" s="4" t="s">
        <v>10</v>
      </c>
      <c r="R8" s="4"/>
    </row>
    <row r="10" spans="15:19" x14ac:dyDescent="0.2">
      <c r="O10" t="s">
        <v>11</v>
      </c>
      <c r="R10" s="2">
        <f>4000/P6</f>
        <v>1.4814814814814814</v>
      </c>
      <c r="S10" t="s">
        <v>12</v>
      </c>
    </row>
    <row r="11" spans="15:19" x14ac:dyDescent="0.2">
      <c r="O11" t="s">
        <v>13</v>
      </c>
      <c r="R11" s="2">
        <f>5000/P6</f>
        <v>1.8518518518518519</v>
      </c>
      <c r="S11" t="s">
        <v>12</v>
      </c>
    </row>
    <row r="12" spans="15:19" x14ac:dyDescent="0.2">
      <c r="O12" t="s">
        <v>14</v>
      </c>
      <c r="R12" s="2">
        <f>2000/P6</f>
        <v>0.7407407407407407</v>
      </c>
      <c r="S12" t="s">
        <v>12</v>
      </c>
    </row>
    <row r="13" spans="15:19" x14ac:dyDescent="0.2">
      <c r="O13" t="s">
        <v>15</v>
      </c>
      <c r="R13" s="2">
        <f>1600/P6</f>
        <v>0.59259259259259256</v>
      </c>
      <c r="S13" t="s">
        <v>12</v>
      </c>
    </row>
    <row r="14" spans="15:19" x14ac:dyDescent="0.2">
      <c r="O14" t="s">
        <v>16</v>
      </c>
      <c r="R14" s="5">
        <f>15700/P6</f>
        <v>5.8148148148148149</v>
      </c>
      <c r="S14" s="6" t="s">
        <v>12</v>
      </c>
    </row>
    <row r="15" spans="15:19" x14ac:dyDescent="0.2">
      <c r="O15" t="s">
        <v>17</v>
      </c>
      <c r="R15" s="7">
        <f>SUM(R10:R14)</f>
        <v>10.481481481481481</v>
      </c>
      <c r="S15" s="4" t="s">
        <v>12</v>
      </c>
    </row>
    <row r="17" spans="15:16" x14ac:dyDescent="0.2">
      <c r="O17" t="s">
        <v>18</v>
      </c>
    </row>
    <row r="18" spans="15:16" x14ac:dyDescent="0.2">
      <c r="O18" t="s">
        <v>19</v>
      </c>
      <c r="P18">
        <v>11</v>
      </c>
    </row>
    <row r="19" spans="15:16" x14ac:dyDescent="0.2">
      <c r="O19" t="s">
        <v>20</v>
      </c>
      <c r="P19">
        <v>10</v>
      </c>
    </row>
    <row r="20" spans="15:16" x14ac:dyDescent="0.2">
      <c r="O20" t="s">
        <v>21</v>
      </c>
      <c r="P20">
        <v>17</v>
      </c>
    </row>
    <row r="21" spans="15:16" x14ac:dyDescent="0.2">
      <c r="O21" t="s">
        <v>22</v>
      </c>
      <c r="P21" s="6">
        <v>15</v>
      </c>
    </row>
    <row r="22" spans="15:16" x14ac:dyDescent="0.2">
      <c r="O22" s="4" t="s">
        <v>23</v>
      </c>
      <c r="P22" s="4">
        <f>SUM(P18:P21)</f>
        <v>53</v>
      </c>
    </row>
    <row r="25" spans="15:16" ht="17" thickBot="1" x14ac:dyDescent="0.25"/>
    <row r="26" spans="15:16" ht="19" x14ac:dyDescent="0.25">
      <c r="O26" s="80" t="s">
        <v>197</v>
      </c>
      <c r="P26" s="82" t="s">
        <v>196</v>
      </c>
    </row>
    <row r="27" spans="15:16" ht="19" x14ac:dyDescent="0.25">
      <c r="O27" s="83" t="s">
        <v>198</v>
      </c>
      <c r="P27" s="84" t="s">
        <v>199</v>
      </c>
    </row>
    <row r="28" spans="15:16" ht="19" x14ac:dyDescent="0.25">
      <c r="O28" s="83" t="s">
        <v>200</v>
      </c>
      <c r="P28" s="84" t="s">
        <v>199</v>
      </c>
    </row>
    <row r="29" spans="15:16" ht="19" x14ac:dyDescent="0.25">
      <c r="O29" s="83" t="s">
        <v>201</v>
      </c>
      <c r="P29" s="84" t="s">
        <v>202</v>
      </c>
    </row>
    <row r="30" spans="15:16" ht="20" thickBot="1" x14ac:dyDescent="0.3">
      <c r="O30" s="85" t="s">
        <v>54</v>
      </c>
      <c r="P30" s="87" t="s">
        <v>203</v>
      </c>
    </row>
  </sheetData>
  <mergeCells count="1">
    <mergeCell ref="O2:R3"/>
  </mergeCells>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BDEBE-F284-3640-92FE-1C6AFE3A1603}">
  <dimension ref="B2:P36"/>
  <sheetViews>
    <sheetView topLeftCell="D1" zoomScale="125" zoomScaleNormal="125" zoomScalePageLayoutView="125" workbookViewId="0">
      <selection activeCell="P11" sqref="P11"/>
    </sheetView>
  </sheetViews>
  <sheetFormatPr baseColWidth="10" defaultRowHeight="13" x14ac:dyDescent="0.15"/>
  <cols>
    <col min="1" max="1" width="4.33203125" style="13" customWidth="1"/>
    <col min="2" max="2" width="16.1640625" style="13" bestFit="1" customWidth="1"/>
    <col min="3" max="3" width="13.33203125" style="13" bestFit="1" customWidth="1"/>
    <col min="4" max="4" width="22.83203125" style="13" customWidth="1"/>
    <col min="5" max="7" width="10.83203125" style="13"/>
    <col min="8" max="8" width="16.33203125" style="13" bestFit="1" customWidth="1"/>
    <col min="9" max="14" width="10.83203125" style="13"/>
    <col min="15" max="15" width="17.1640625" style="13" bestFit="1" customWidth="1"/>
    <col min="16" max="16" width="33.5" style="13" customWidth="1"/>
    <col min="17" max="16384" width="10.83203125" style="13"/>
  </cols>
  <sheetData>
    <row r="2" spans="2:16" ht="28" customHeight="1" x14ac:dyDescent="0.15">
      <c r="B2" s="23" t="s">
        <v>64</v>
      </c>
      <c r="C2" s="24" t="s">
        <v>65</v>
      </c>
      <c r="D2" s="23" t="s">
        <v>66</v>
      </c>
      <c r="E2" s="23" t="s">
        <v>47</v>
      </c>
      <c r="F2" s="25" t="s">
        <v>67</v>
      </c>
    </row>
    <row r="3" spans="2:16" ht="16" x14ac:dyDescent="0.2">
      <c r="B3" s="26" t="s">
        <v>68</v>
      </c>
      <c r="C3" s="26">
        <v>179</v>
      </c>
      <c r="D3" s="26">
        <v>26</v>
      </c>
      <c r="E3" s="26">
        <f>D3/$D$7</f>
        <v>0.52</v>
      </c>
      <c r="F3" s="27">
        <f>E3</f>
        <v>0.52</v>
      </c>
    </row>
    <row r="4" spans="2:16" ht="16" x14ac:dyDescent="0.2">
      <c r="B4" s="26" t="s">
        <v>69</v>
      </c>
      <c r="C4" s="26">
        <v>160</v>
      </c>
      <c r="D4" s="26">
        <v>19</v>
      </c>
      <c r="E4" s="26">
        <f>D4/$D$7</f>
        <v>0.38</v>
      </c>
      <c r="F4" s="27">
        <f>F3+E4</f>
        <v>0.9</v>
      </c>
      <c r="O4" s="250" t="s">
        <v>505</v>
      </c>
      <c r="P4" s="250"/>
    </row>
    <row r="5" spans="2:16" ht="16" x14ac:dyDescent="0.2">
      <c r="B5" s="26" t="s">
        <v>70</v>
      </c>
      <c r="C5" s="26">
        <v>205</v>
      </c>
      <c r="D5" s="26">
        <v>3</v>
      </c>
      <c r="E5" s="26">
        <f>D5/$D$7</f>
        <v>0.06</v>
      </c>
      <c r="F5" s="27">
        <f t="shared" ref="F5:F6" si="0">F4+E5</f>
        <v>0.96</v>
      </c>
      <c r="O5" s="233" t="s">
        <v>506</v>
      </c>
      <c r="P5" s="234" t="s">
        <v>47</v>
      </c>
    </row>
    <row r="6" spans="2:16" ht="16" x14ac:dyDescent="0.2">
      <c r="B6" s="26" t="s">
        <v>71</v>
      </c>
      <c r="C6" s="26">
        <v>208</v>
      </c>
      <c r="D6" s="26">
        <v>2</v>
      </c>
      <c r="E6" s="26">
        <f>D6/$D$7</f>
        <v>0.04</v>
      </c>
      <c r="F6" s="27">
        <f t="shared" si="0"/>
        <v>1</v>
      </c>
      <c r="O6" s="243" t="s">
        <v>68</v>
      </c>
      <c r="P6" s="236" t="s">
        <v>550</v>
      </c>
    </row>
    <row r="7" spans="2:16" x14ac:dyDescent="0.15">
      <c r="D7" s="26">
        <f>SUM(D3:D6)</f>
        <v>50</v>
      </c>
      <c r="O7" s="243" t="s">
        <v>69</v>
      </c>
      <c r="P7" s="236" t="s">
        <v>551</v>
      </c>
    </row>
    <row r="8" spans="2:16" x14ac:dyDescent="0.15">
      <c r="O8" s="243" t="s">
        <v>70</v>
      </c>
      <c r="P8" s="236" t="s">
        <v>552</v>
      </c>
    </row>
    <row r="9" spans="2:16" ht="14" x14ac:dyDescent="0.15">
      <c r="B9" s="23" t="s">
        <v>64</v>
      </c>
      <c r="C9" s="23" t="s">
        <v>47</v>
      </c>
      <c r="D9" s="25" t="s">
        <v>67</v>
      </c>
      <c r="O9" s="243" t="s">
        <v>71</v>
      </c>
      <c r="P9" s="236" t="s">
        <v>553</v>
      </c>
    </row>
    <row r="10" spans="2:16" ht="16" x14ac:dyDescent="0.2">
      <c r="B10" s="26" t="s">
        <v>68</v>
      </c>
      <c r="C10" s="242">
        <v>0.52</v>
      </c>
      <c r="D10" s="28">
        <v>0.52</v>
      </c>
    </row>
    <row r="11" spans="2:16" ht="16" x14ac:dyDescent="0.2">
      <c r="B11" s="26" t="s">
        <v>69</v>
      </c>
      <c r="C11" s="242">
        <v>0.38</v>
      </c>
      <c r="D11" s="28">
        <v>0.9</v>
      </c>
      <c r="O11" s="61" t="s">
        <v>217</v>
      </c>
      <c r="P11" s="240" t="s">
        <v>554</v>
      </c>
    </row>
    <row r="12" spans="2:16" ht="16" x14ac:dyDescent="0.2">
      <c r="B12" s="26" t="s">
        <v>70</v>
      </c>
      <c r="C12" s="242">
        <v>0.06</v>
      </c>
      <c r="D12" s="28">
        <v>0.96</v>
      </c>
    </row>
    <row r="13" spans="2:16" ht="16" x14ac:dyDescent="0.2">
      <c r="B13" s="26" t="s">
        <v>71</v>
      </c>
      <c r="C13" s="242">
        <v>0.04</v>
      </c>
      <c r="D13" s="28">
        <v>1</v>
      </c>
    </row>
    <row r="18" spans="2:9" ht="16" x14ac:dyDescent="0.2">
      <c r="B18"/>
      <c r="C18"/>
    </row>
    <row r="28" spans="2:9" x14ac:dyDescent="0.15">
      <c r="H28" s="61" t="str">
        <f>B10</f>
        <v>Exhausting</v>
      </c>
      <c r="I28" s="244">
        <f>C10</f>
        <v>0.52</v>
      </c>
    </row>
    <row r="29" spans="2:9" x14ac:dyDescent="0.15">
      <c r="H29" s="61" t="str">
        <f t="shared" ref="H29:I29" si="1">B11</f>
        <v>Pasteurizado</v>
      </c>
      <c r="I29" s="244">
        <f t="shared" si="1"/>
        <v>0.38</v>
      </c>
    </row>
    <row r="30" spans="2:9" x14ac:dyDescent="0.15">
      <c r="H30" s="61" t="str">
        <f t="shared" ref="H30:I30" si="2">B12</f>
        <v>Adición de líquido</v>
      </c>
      <c r="I30" s="244">
        <f t="shared" si="2"/>
        <v>0.06</v>
      </c>
    </row>
    <row r="31" spans="2:9" x14ac:dyDescent="0.15">
      <c r="H31" s="61" t="str">
        <f t="shared" ref="H31:I31" si="3">B13</f>
        <v>Pelado y corte</v>
      </c>
      <c r="I31" s="244">
        <f t="shared" si="3"/>
        <v>0.04</v>
      </c>
    </row>
    <row r="32" spans="2:9" ht="14" thickBot="1" x14ac:dyDescent="0.2"/>
    <row r="33" spans="7:12" x14ac:dyDescent="0.15">
      <c r="G33" s="260" t="s">
        <v>549</v>
      </c>
      <c r="H33" s="261"/>
      <c r="I33" s="261"/>
      <c r="J33" s="261"/>
      <c r="K33" s="261"/>
      <c r="L33" s="262"/>
    </row>
    <row r="34" spans="7:12" x14ac:dyDescent="0.15">
      <c r="G34" s="263"/>
      <c r="H34" s="264"/>
      <c r="I34" s="264"/>
      <c r="J34" s="264"/>
      <c r="K34" s="264"/>
      <c r="L34" s="265"/>
    </row>
    <row r="35" spans="7:12" x14ac:dyDescent="0.15">
      <c r="G35" s="263"/>
      <c r="H35" s="264"/>
      <c r="I35" s="264"/>
      <c r="J35" s="264"/>
      <c r="K35" s="264"/>
      <c r="L35" s="265"/>
    </row>
    <row r="36" spans="7:12" ht="14" thickBot="1" x14ac:dyDescent="0.2">
      <c r="G36" s="266"/>
      <c r="H36" s="267"/>
      <c r="I36" s="267"/>
      <c r="J36" s="267"/>
      <c r="K36" s="267"/>
      <c r="L36" s="268"/>
    </row>
  </sheetData>
  <mergeCells count="2">
    <mergeCell ref="G33:L36"/>
    <mergeCell ref="O4:P4"/>
  </mergeCells>
  <pageMargins left="0.75" right="0.75" top="1" bottom="1" header="0.5" footer="0.5"/>
  <pageSetup paperSize="9" orientation="portrait" horizontalDpi="4294967292" verticalDpi="429496729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1FE32-3180-294F-93A7-0085731B21C5}">
  <dimension ref="B2:O19"/>
  <sheetViews>
    <sheetView topLeftCell="C1" zoomScale="150" zoomScaleNormal="150" zoomScalePageLayoutView="150" workbookViewId="0">
      <selection activeCell="N9" sqref="N9:O12"/>
    </sheetView>
  </sheetViews>
  <sheetFormatPr baseColWidth="10" defaultRowHeight="16" x14ac:dyDescent="0.2"/>
  <cols>
    <col min="2" max="2" width="14.33203125" bestFit="1" customWidth="1"/>
    <col min="4" max="4" width="11.6640625" customWidth="1"/>
    <col min="5" max="5" width="12" bestFit="1" customWidth="1"/>
    <col min="6" max="6" width="13.33203125" customWidth="1"/>
    <col min="7" max="7" width="5.83203125" customWidth="1"/>
    <col min="9" max="9" width="10.83203125" customWidth="1"/>
    <col min="10" max="10" width="8.33203125" customWidth="1"/>
    <col min="14" max="14" width="13.5" customWidth="1"/>
    <col min="15" max="15" width="41.83203125" customWidth="1"/>
  </cols>
  <sheetData>
    <row r="2" spans="2:15" x14ac:dyDescent="0.2">
      <c r="B2" t="s">
        <v>72</v>
      </c>
    </row>
    <row r="3" spans="2:15" x14ac:dyDescent="0.2">
      <c r="B3" t="s">
        <v>73</v>
      </c>
    </row>
    <row r="5" spans="2:15" x14ac:dyDescent="0.2">
      <c r="B5" s="275" t="s">
        <v>86</v>
      </c>
      <c r="C5" s="275"/>
      <c r="D5" s="275"/>
      <c r="E5" s="275"/>
      <c r="F5" s="275"/>
      <c r="G5" s="46"/>
    </row>
    <row r="6" spans="2:15" x14ac:dyDescent="0.2">
      <c r="B6" s="29" t="s">
        <v>74</v>
      </c>
      <c r="C6" s="29">
        <v>3</v>
      </c>
    </row>
    <row r="7" spans="2:15" x14ac:dyDescent="0.2">
      <c r="B7" s="29" t="s">
        <v>75</v>
      </c>
    </row>
    <row r="8" spans="2:15" x14ac:dyDescent="0.2">
      <c r="B8" s="29" t="s">
        <v>76</v>
      </c>
      <c r="C8" s="29" t="s">
        <v>77</v>
      </c>
      <c r="D8" t="s">
        <v>78</v>
      </c>
      <c r="E8" s="29" t="s">
        <v>79</v>
      </c>
      <c r="F8" s="29" t="s">
        <v>80</v>
      </c>
      <c r="G8" s="29"/>
    </row>
    <row r="9" spans="2:15" ht="17" thickBot="1" x14ac:dyDescent="0.25">
      <c r="B9" s="29">
        <v>0</v>
      </c>
      <c r="C9" s="29">
        <v>10</v>
      </c>
      <c r="D9" s="30">
        <f>_xlfn.POISSON.DIST(B9,$C$6,0)</f>
        <v>4.9787068367863944E-2</v>
      </c>
      <c r="E9" s="31">
        <f>+D9*$C$15</f>
        <v>4.9787068367863947</v>
      </c>
      <c r="F9" s="31">
        <f>(POWER(C9-E9,2))/E9</f>
        <v>5.0642437599740608</v>
      </c>
      <c r="G9" s="31"/>
      <c r="N9" s="243" t="s">
        <v>81</v>
      </c>
      <c r="O9" s="236" t="s">
        <v>555</v>
      </c>
    </row>
    <row r="10" spans="2:15" x14ac:dyDescent="0.2">
      <c r="B10" s="29">
        <v>1</v>
      </c>
      <c r="C10" s="29">
        <v>15</v>
      </c>
      <c r="D10" s="30">
        <f t="shared" ref="D10:D14" si="0">_xlfn.POISSON.DIST(B10,$C$6,0)</f>
        <v>0.14936120510359185</v>
      </c>
      <c r="E10" s="31">
        <f t="shared" ref="E10:E14" si="1">+D10*$C$15</f>
        <v>14.936120510359185</v>
      </c>
      <c r="F10" s="31">
        <f t="shared" ref="F10:F14" si="2">(POWER(C10-E10,2))/E10</f>
        <v>2.7320274993368162E-4</v>
      </c>
      <c r="G10" s="31"/>
      <c r="H10" s="124" t="s">
        <v>219</v>
      </c>
      <c r="I10" s="125"/>
      <c r="J10" s="125"/>
      <c r="K10" s="95" t="s">
        <v>222</v>
      </c>
      <c r="N10" s="243" t="s">
        <v>82</v>
      </c>
      <c r="O10" s="236" t="s">
        <v>556</v>
      </c>
    </row>
    <row r="11" spans="2:15" x14ac:dyDescent="0.2">
      <c r="B11" s="29">
        <v>2</v>
      </c>
      <c r="C11" s="29">
        <v>26</v>
      </c>
      <c r="D11" s="30">
        <f t="shared" si="0"/>
        <v>0.22404180765538775</v>
      </c>
      <c r="E11" s="31">
        <f t="shared" si="1"/>
        <v>22.404180765538776</v>
      </c>
      <c r="F11" s="31">
        <f t="shared" si="2"/>
        <v>0.57712067681624812</v>
      </c>
      <c r="G11" s="31"/>
      <c r="H11" s="96" t="s">
        <v>220</v>
      </c>
      <c r="I11" s="4"/>
      <c r="J11" s="4"/>
      <c r="K11" s="97" t="s">
        <v>203</v>
      </c>
    </row>
    <row r="12" spans="2:15" ht="17" thickBot="1" x14ac:dyDescent="0.25">
      <c r="B12" s="29">
        <v>3</v>
      </c>
      <c r="C12" s="29">
        <v>31</v>
      </c>
      <c r="D12" s="30">
        <f t="shared" si="0"/>
        <v>0.22404180765538778</v>
      </c>
      <c r="E12" s="31">
        <f t="shared" si="1"/>
        <v>22.404180765538779</v>
      </c>
      <c r="F12" s="31">
        <f t="shared" si="2"/>
        <v>3.2979607281684338</v>
      </c>
      <c r="G12" s="31"/>
      <c r="H12" s="98" t="s">
        <v>221</v>
      </c>
      <c r="I12" s="126"/>
      <c r="J12" s="126"/>
      <c r="K12" s="99" t="s">
        <v>196</v>
      </c>
      <c r="N12" s="61" t="s">
        <v>217</v>
      </c>
      <c r="O12" s="240" t="s">
        <v>560</v>
      </c>
    </row>
    <row r="13" spans="2:15" x14ac:dyDescent="0.2">
      <c r="B13" s="29">
        <v>4</v>
      </c>
      <c r="C13" s="29">
        <v>15</v>
      </c>
      <c r="D13" s="30">
        <f t="shared" si="0"/>
        <v>0.16803135574154085</v>
      </c>
      <c r="E13" s="31">
        <f t="shared" si="1"/>
        <v>16.803135574154084</v>
      </c>
      <c r="F13" s="31">
        <f t="shared" si="2"/>
        <v>0.19349352294585981</v>
      </c>
      <c r="G13" s="31"/>
    </row>
    <row r="14" spans="2:15" x14ac:dyDescent="0.2">
      <c r="B14" s="29">
        <v>5</v>
      </c>
      <c r="C14" s="29">
        <v>3</v>
      </c>
      <c r="D14" s="30">
        <f t="shared" si="0"/>
        <v>0.10081881344492449</v>
      </c>
      <c r="E14" s="31">
        <f t="shared" si="1"/>
        <v>10.08188134449245</v>
      </c>
      <c r="F14" s="31">
        <f t="shared" si="2"/>
        <v>4.9745718744119021</v>
      </c>
      <c r="G14" s="31"/>
    </row>
    <row r="15" spans="2:15" x14ac:dyDescent="0.2">
      <c r="C15" s="29">
        <f>SUM(C9:C14)</f>
        <v>100</v>
      </c>
      <c r="E15" t="s">
        <v>81</v>
      </c>
      <c r="F15" s="31">
        <f>SUM(F9:F14)</f>
        <v>14.107663765066437</v>
      </c>
      <c r="G15" s="31"/>
    </row>
    <row r="16" spans="2:15" x14ac:dyDescent="0.2">
      <c r="B16" s="127" t="s">
        <v>97</v>
      </c>
      <c r="C16" s="127">
        <f>6-0-1</f>
        <v>5</v>
      </c>
      <c r="D16" s="6"/>
      <c r="E16" s="6" t="s">
        <v>82</v>
      </c>
      <c r="F16" s="127">
        <v>9.2360000000000007</v>
      </c>
      <c r="G16" s="29"/>
    </row>
    <row r="17" spans="2:7" ht="17" thickBot="1" x14ac:dyDescent="0.25"/>
    <row r="18" spans="2:7" x14ac:dyDescent="0.2">
      <c r="B18" s="269" t="s">
        <v>83</v>
      </c>
      <c r="C18" s="270"/>
      <c r="D18" s="270"/>
      <c r="E18" s="270"/>
      <c r="F18" s="271"/>
      <c r="G18" s="37"/>
    </row>
    <row r="19" spans="2:7" ht="17" thickBot="1" x14ac:dyDescent="0.25">
      <c r="B19" s="272"/>
      <c r="C19" s="273"/>
      <c r="D19" s="273"/>
      <c r="E19" s="273"/>
      <c r="F19" s="274"/>
      <c r="G19" s="37"/>
    </row>
  </sheetData>
  <mergeCells count="2">
    <mergeCell ref="B18:F19"/>
    <mergeCell ref="B5:F5"/>
  </mergeCells>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39BE0-5FA9-B340-A013-F211152A4BA1}">
  <dimension ref="B1:N30"/>
  <sheetViews>
    <sheetView zoomScale="120" zoomScaleNormal="120" zoomScalePageLayoutView="125" workbookViewId="0">
      <selection activeCell="M25" sqref="M25"/>
    </sheetView>
  </sheetViews>
  <sheetFormatPr baseColWidth="10" defaultRowHeight="16" x14ac:dyDescent="0.2"/>
  <cols>
    <col min="1" max="1" width="4.5" customWidth="1"/>
    <col min="2" max="2" width="23.83203125" bestFit="1" customWidth="1"/>
    <col min="4" max="4" width="13.83203125" customWidth="1"/>
    <col min="5" max="5" width="14" customWidth="1"/>
    <col min="6" max="6" width="14.83203125" customWidth="1"/>
    <col min="9" max="9" width="18" customWidth="1"/>
    <col min="13" max="13" width="12.1640625" bestFit="1" customWidth="1"/>
    <col min="14" max="14" width="43.6640625" customWidth="1"/>
  </cols>
  <sheetData>
    <row r="1" spans="2:14" ht="19" x14ac:dyDescent="0.25">
      <c r="B1" s="112" t="s">
        <v>85</v>
      </c>
      <c r="C1" s="113">
        <v>1</v>
      </c>
      <c r="D1" s="113">
        <v>2</v>
      </c>
      <c r="E1" s="113">
        <v>3</v>
      </c>
      <c r="F1" s="113">
        <v>4</v>
      </c>
      <c r="G1" s="113">
        <v>5</v>
      </c>
      <c r="H1" s="114">
        <v>6</v>
      </c>
    </row>
    <row r="2" spans="2:14" ht="19" x14ac:dyDescent="0.25">
      <c r="B2" s="115" t="s">
        <v>84</v>
      </c>
      <c r="C2" s="116">
        <v>3</v>
      </c>
      <c r="D2" s="116">
        <v>7</v>
      </c>
      <c r="E2" s="116">
        <v>4</v>
      </c>
      <c r="F2" s="116">
        <v>1</v>
      </c>
      <c r="G2" s="116">
        <v>3</v>
      </c>
      <c r="H2" s="117">
        <v>5</v>
      </c>
    </row>
    <row r="3" spans="2:14" ht="19" x14ac:dyDescent="0.25">
      <c r="B3" s="115" t="s">
        <v>85</v>
      </c>
      <c r="C3" s="118">
        <v>7</v>
      </c>
      <c r="D3" s="118">
        <v>8</v>
      </c>
      <c r="E3" s="118">
        <v>9</v>
      </c>
      <c r="F3" s="118">
        <v>10</v>
      </c>
      <c r="G3" s="118">
        <v>11</v>
      </c>
      <c r="H3" s="119">
        <v>12</v>
      </c>
    </row>
    <row r="4" spans="2:14" ht="19" x14ac:dyDescent="0.25">
      <c r="B4" s="115" t="s">
        <v>84</v>
      </c>
      <c r="C4" s="116">
        <v>4</v>
      </c>
      <c r="D4" s="116">
        <v>2</v>
      </c>
      <c r="E4" s="116">
        <v>4</v>
      </c>
      <c r="F4" s="116">
        <v>1</v>
      </c>
      <c r="G4" s="116">
        <v>3</v>
      </c>
      <c r="H4" s="117">
        <v>3</v>
      </c>
    </row>
    <row r="5" spans="2:14" ht="19" x14ac:dyDescent="0.25">
      <c r="B5" s="115" t="s">
        <v>85</v>
      </c>
      <c r="C5" s="118">
        <v>13</v>
      </c>
      <c r="D5" s="118">
        <v>14</v>
      </c>
      <c r="E5" s="118">
        <v>15</v>
      </c>
      <c r="F5" s="118">
        <v>16</v>
      </c>
      <c r="G5" s="118">
        <v>17</v>
      </c>
      <c r="H5" s="119">
        <v>18</v>
      </c>
    </row>
    <row r="6" spans="2:14" ht="19" x14ac:dyDescent="0.25">
      <c r="B6" s="115" t="s">
        <v>84</v>
      </c>
      <c r="C6" s="116">
        <v>3</v>
      </c>
      <c r="D6" s="116">
        <v>3</v>
      </c>
      <c r="E6" s="116">
        <v>3</v>
      </c>
      <c r="F6" s="116">
        <v>2</v>
      </c>
      <c r="G6" s="116">
        <v>1</v>
      </c>
      <c r="H6" s="117">
        <v>1</v>
      </c>
    </row>
    <row r="7" spans="2:14" ht="19" x14ac:dyDescent="0.25">
      <c r="B7" s="115" t="s">
        <v>85</v>
      </c>
      <c r="C7" s="118">
        <v>19</v>
      </c>
      <c r="D7" s="118">
        <v>20</v>
      </c>
      <c r="E7" s="118">
        <v>21</v>
      </c>
      <c r="F7" s="118">
        <v>22</v>
      </c>
      <c r="G7" s="118">
        <v>23</v>
      </c>
      <c r="H7" s="119">
        <v>24</v>
      </c>
    </row>
    <row r="8" spans="2:14" ht="19" x14ac:dyDescent="0.25">
      <c r="B8" s="115" t="s">
        <v>84</v>
      </c>
      <c r="C8" s="116">
        <v>2</v>
      </c>
      <c r="D8" s="116">
        <v>1</v>
      </c>
      <c r="E8" s="116">
        <v>6</v>
      </c>
      <c r="F8" s="116">
        <v>4</v>
      </c>
      <c r="G8" s="116">
        <v>2</v>
      </c>
      <c r="H8" s="117">
        <v>5</v>
      </c>
    </row>
    <row r="9" spans="2:14" ht="19" x14ac:dyDescent="0.25">
      <c r="B9" s="115" t="s">
        <v>85</v>
      </c>
      <c r="C9" s="118">
        <v>25</v>
      </c>
      <c r="D9" s="118">
        <v>26</v>
      </c>
      <c r="E9" s="118">
        <v>27</v>
      </c>
      <c r="F9" s="118">
        <v>28</v>
      </c>
      <c r="G9" s="118">
        <v>29</v>
      </c>
      <c r="H9" s="119">
        <v>30</v>
      </c>
    </row>
    <row r="10" spans="2:14" ht="20" thickBot="1" x14ac:dyDescent="0.3">
      <c r="B10" s="120" t="s">
        <v>84</v>
      </c>
      <c r="C10" s="121">
        <v>3</v>
      </c>
      <c r="D10" s="121">
        <v>0</v>
      </c>
      <c r="E10" s="121">
        <v>1</v>
      </c>
      <c r="F10" s="121">
        <v>3</v>
      </c>
      <c r="G10" s="121">
        <v>4</v>
      </c>
      <c r="H10" s="122">
        <v>4</v>
      </c>
    </row>
    <row r="12" spans="2:14" ht="19" x14ac:dyDescent="0.25">
      <c r="B12" s="57" t="s">
        <v>223</v>
      </c>
      <c r="C12" s="57"/>
      <c r="D12" s="57"/>
      <c r="E12" s="57"/>
      <c r="F12" s="57"/>
      <c r="G12" s="57"/>
      <c r="H12" s="57"/>
      <c r="I12" s="57"/>
    </row>
    <row r="13" spans="2:14" ht="19" x14ac:dyDescent="0.25">
      <c r="B13" s="57" t="s">
        <v>224</v>
      </c>
      <c r="C13" s="57"/>
      <c r="D13" s="57"/>
      <c r="E13" s="57"/>
      <c r="F13" s="57"/>
      <c r="G13" s="57"/>
    </row>
    <row r="14" spans="2:14" ht="19" x14ac:dyDescent="0.25">
      <c r="B14" s="282" t="s">
        <v>86</v>
      </c>
      <c r="C14" s="282"/>
      <c r="D14" s="282"/>
      <c r="E14" s="282"/>
      <c r="F14" s="282"/>
      <c r="G14" s="57"/>
      <c r="H14" s="57"/>
      <c r="I14" s="57"/>
    </row>
    <row r="15" spans="2:14" ht="19" x14ac:dyDescent="0.25">
      <c r="B15" s="58" t="s">
        <v>75</v>
      </c>
      <c r="C15" s="58"/>
      <c r="D15" s="58"/>
      <c r="E15" s="58"/>
      <c r="F15" s="58"/>
      <c r="G15" s="57"/>
      <c r="H15" s="57"/>
      <c r="I15" s="57"/>
      <c r="M15" s="243" t="s">
        <v>81</v>
      </c>
      <c r="N15" s="236" t="s">
        <v>557</v>
      </c>
    </row>
    <row r="16" spans="2:14" ht="19" x14ac:dyDescent="0.25">
      <c r="B16" s="58" t="s">
        <v>76</v>
      </c>
      <c r="C16" s="58" t="s">
        <v>77</v>
      </c>
      <c r="D16" s="58" t="s">
        <v>78</v>
      </c>
      <c r="E16" s="58" t="s">
        <v>79</v>
      </c>
      <c r="F16" s="58" t="s">
        <v>80</v>
      </c>
      <c r="G16" s="57"/>
      <c r="H16" s="57"/>
      <c r="I16" s="57"/>
      <c r="M16" s="243" t="s">
        <v>82</v>
      </c>
      <c r="N16" s="236" t="s">
        <v>558</v>
      </c>
    </row>
    <row r="17" spans="2:14" ht="20" thickBot="1" x14ac:dyDescent="0.3">
      <c r="B17" s="58">
        <v>0</v>
      </c>
      <c r="C17" s="58">
        <v>1</v>
      </c>
      <c r="D17" s="123">
        <f t="shared" ref="D17:D24" si="0">_xlfn.POISSON.DIST(B17,$C$27,FALSE)</f>
        <v>5.3219344338921511E-2</v>
      </c>
      <c r="E17" s="59">
        <f>+D17*$C$25</f>
        <v>1.5965803301676453</v>
      </c>
      <c r="F17" s="59">
        <f>(POWER(C17-E17,2))/E17</f>
        <v>0.22291899982606289</v>
      </c>
      <c r="G17" s="57"/>
      <c r="H17" s="57"/>
      <c r="I17" s="57"/>
    </row>
    <row r="18" spans="2:14" ht="19" x14ac:dyDescent="0.25">
      <c r="B18" s="58">
        <v>1</v>
      </c>
      <c r="C18" s="58">
        <v>6</v>
      </c>
      <c r="D18" s="123">
        <f t="shared" si="0"/>
        <v>0.15611007672750307</v>
      </c>
      <c r="E18" s="59">
        <f t="shared" ref="E18:E24" si="1">+D18*$C$25</f>
        <v>4.6833023018250923</v>
      </c>
      <c r="F18" s="59">
        <f t="shared" ref="F18:F24" si="2">(POWER(C18-E18,2))/E18</f>
        <v>0.37018597490567212</v>
      </c>
      <c r="H18" s="111" t="s">
        <v>219</v>
      </c>
      <c r="I18" s="81"/>
      <c r="J18" s="81"/>
      <c r="K18" s="82" t="s">
        <v>222</v>
      </c>
      <c r="M18" s="61" t="s">
        <v>217</v>
      </c>
      <c r="N18" s="240" t="s">
        <v>559</v>
      </c>
    </row>
    <row r="19" spans="2:14" ht="19" x14ac:dyDescent="0.25">
      <c r="B19" s="58">
        <v>2</v>
      </c>
      <c r="C19" s="58">
        <v>4</v>
      </c>
      <c r="D19" s="123">
        <f t="shared" si="0"/>
        <v>0.22896144586700454</v>
      </c>
      <c r="E19" s="59">
        <f t="shared" si="1"/>
        <v>6.8688433760101359</v>
      </c>
      <c r="F19" s="59">
        <f t="shared" si="2"/>
        <v>1.1982020648224325</v>
      </c>
      <c r="H19" s="83" t="s">
        <v>226</v>
      </c>
      <c r="I19" s="79"/>
      <c r="J19" s="79"/>
      <c r="K19" s="84" t="s">
        <v>203</v>
      </c>
    </row>
    <row r="20" spans="2:14" ht="20" thickBot="1" x14ac:dyDescent="0.3">
      <c r="B20" s="58">
        <v>3</v>
      </c>
      <c r="C20" s="58">
        <v>9</v>
      </c>
      <c r="D20" s="123">
        <f t="shared" si="0"/>
        <v>0.22387341373662664</v>
      </c>
      <c r="E20" s="59">
        <f t="shared" si="1"/>
        <v>6.7162024120987995</v>
      </c>
      <c r="F20" s="59">
        <f t="shared" si="2"/>
        <v>0.77658937334996669</v>
      </c>
      <c r="H20" s="85" t="s">
        <v>227</v>
      </c>
      <c r="I20" s="86"/>
      <c r="J20" s="86"/>
      <c r="K20" s="87" t="s">
        <v>196</v>
      </c>
    </row>
    <row r="21" spans="2:14" ht="19" x14ac:dyDescent="0.25">
      <c r="B21" s="58">
        <v>4</v>
      </c>
      <c r="C21" s="58">
        <v>6</v>
      </c>
      <c r="D21" s="123">
        <f t="shared" si="0"/>
        <v>0.16417383674019287</v>
      </c>
      <c r="E21" s="59">
        <f t="shared" si="1"/>
        <v>4.9252151022057857</v>
      </c>
      <c r="F21" s="59">
        <f t="shared" si="2"/>
        <v>0.23454053326710006</v>
      </c>
      <c r="G21" s="57"/>
      <c r="H21" s="57"/>
      <c r="I21" s="57"/>
    </row>
    <row r="22" spans="2:14" ht="19" x14ac:dyDescent="0.25">
      <c r="B22" s="58">
        <v>5</v>
      </c>
      <c r="C22" s="58">
        <v>2</v>
      </c>
      <c r="D22" s="123">
        <f t="shared" si="0"/>
        <v>9.6315317554246452E-2</v>
      </c>
      <c r="E22" s="59">
        <f t="shared" si="1"/>
        <v>2.8894595266273937</v>
      </c>
      <c r="F22" s="59">
        <f t="shared" si="2"/>
        <v>0.27380146432840047</v>
      </c>
      <c r="G22" s="57"/>
      <c r="H22" s="57"/>
      <c r="I22" s="57"/>
    </row>
    <row r="23" spans="2:14" ht="19" x14ac:dyDescent="0.25">
      <c r="B23" s="58">
        <v>6</v>
      </c>
      <c r="C23" s="58">
        <v>1</v>
      </c>
      <c r="D23" s="123">
        <f t="shared" si="0"/>
        <v>4.7087488582076079E-2</v>
      </c>
      <c r="E23" s="59">
        <f t="shared" si="1"/>
        <v>1.4126246574622823</v>
      </c>
      <c r="F23" s="59">
        <f t="shared" si="2"/>
        <v>0.12052678469575119</v>
      </c>
      <c r="G23" s="57"/>
      <c r="H23" s="57"/>
      <c r="I23" s="57"/>
    </row>
    <row r="24" spans="2:14" ht="19" x14ac:dyDescent="0.25">
      <c r="B24" s="58">
        <v>7</v>
      </c>
      <c r="C24" s="58">
        <v>1</v>
      </c>
      <c r="D24" s="123">
        <f t="shared" si="0"/>
        <v>1.9731899977250895E-2</v>
      </c>
      <c r="E24" s="59">
        <f t="shared" si="1"/>
        <v>0.59195699931752688</v>
      </c>
      <c r="F24" s="59">
        <f t="shared" si="2"/>
        <v>0.28126889385194398</v>
      </c>
      <c r="G24" s="57"/>
      <c r="H24" s="57"/>
      <c r="I24" s="57"/>
    </row>
    <row r="25" spans="2:14" ht="19" x14ac:dyDescent="0.25">
      <c r="B25" s="57"/>
      <c r="C25" s="58">
        <f>SUM(C17:C24)</f>
        <v>30</v>
      </c>
      <c r="D25" s="57"/>
      <c r="E25" s="59" t="s">
        <v>81</v>
      </c>
      <c r="F25" s="59">
        <f>SUM(F19:F24)</f>
        <v>2.8849291143155948</v>
      </c>
      <c r="G25" s="57"/>
      <c r="H25" s="57"/>
      <c r="I25" s="57"/>
    </row>
    <row r="26" spans="2:14" ht="19" x14ac:dyDescent="0.25">
      <c r="B26" s="58" t="s">
        <v>97</v>
      </c>
      <c r="C26" s="58">
        <f>8-1-1</f>
        <v>6</v>
      </c>
      <c r="D26" s="57"/>
      <c r="E26" s="59" t="s">
        <v>82</v>
      </c>
      <c r="F26" s="59">
        <v>12.52</v>
      </c>
      <c r="G26" s="57"/>
      <c r="H26" s="57"/>
      <c r="I26" s="57"/>
    </row>
    <row r="27" spans="2:14" ht="19" x14ac:dyDescent="0.25">
      <c r="B27" s="128" t="s">
        <v>74</v>
      </c>
      <c r="C27" s="129">
        <f>(SUMPRODUCT(B17:B24,C17:C24))/C25</f>
        <v>2.9333333333333331</v>
      </c>
      <c r="D27" s="130"/>
      <c r="E27" s="130"/>
      <c r="F27" s="130"/>
      <c r="G27" s="57"/>
      <c r="H27" s="57"/>
      <c r="I27" s="57"/>
    </row>
    <row r="28" spans="2:14" ht="20" thickBot="1" x14ac:dyDescent="0.3">
      <c r="B28" s="57"/>
      <c r="C28" s="57"/>
      <c r="D28" s="57"/>
      <c r="E28" s="57"/>
      <c r="F28" s="57"/>
      <c r="G28" s="57"/>
      <c r="H28" s="57"/>
      <c r="I28" s="57"/>
    </row>
    <row r="29" spans="2:14" ht="19" x14ac:dyDescent="0.25">
      <c r="B29" s="276" t="s">
        <v>225</v>
      </c>
      <c r="C29" s="277"/>
      <c r="D29" s="277"/>
      <c r="E29" s="277"/>
      <c r="F29" s="278"/>
      <c r="G29" s="57"/>
      <c r="H29" s="57"/>
      <c r="I29" s="57"/>
    </row>
    <row r="30" spans="2:14" ht="20" thickBot="1" x14ac:dyDescent="0.3">
      <c r="B30" s="279"/>
      <c r="C30" s="280"/>
      <c r="D30" s="280"/>
      <c r="E30" s="280"/>
      <c r="F30" s="281"/>
      <c r="G30" s="57"/>
      <c r="H30" s="57"/>
      <c r="I30" s="57"/>
    </row>
  </sheetData>
  <mergeCells count="2">
    <mergeCell ref="B29:F30"/>
    <mergeCell ref="B14:F14"/>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21A51-2C1F-A84D-9180-555812B47E72}">
  <dimension ref="B2:N27"/>
  <sheetViews>
    <sheetView zoomScale="140" zoomScaleNormal="140" zoomScalePageLayoutView="125" workbookViewId="0">
      <selection activeCell="M11" sqref="M11:N15"/>
    </sheetView>
  </sheetViews>
  <sheetFormatPr baseColWidth="10" defaultRowHeight="16" x14ac:dyDescent="0.2"/>
  <cols>
    <col min="1" max="1" width="3.5" customWidth="1"/>
    <col min="2" max="2" width="13.33203125" customWidth="1"/>
    <col min="10" max="10" width="11.83203125" customWidth="1"/>
    <col min="13" max="13" width="15.6640625" customWidth="1"/>
    <col min="14" max="14" width="47" customWidth="1"/>
  </cols>
  <sheetData>
    <row r="2" spans="2:14" x14ac:dyDescent="0.2">
      <c r="B2" t="s">
        <v>230</v>
      </c>
    </row>
    <row r="3" spans="2:14" x14ac:dyDescent="0.2">
      <c r="B3" t="s">
        <v>231</v>
      </c>
    </row>
    <row r="5" spans="2:14" x14ac:dyDescent="0.2">
      <c r="B5" s="29" t="s">
        <v>98</v>
      </c>
      <c r="C5" s="29">
        <v>45</v>
      </c>
      <c r="J5" s="29"/>
    </row>
    <row r="6" spans="2:14" x14ac:dyDescent="0.2">
      <c r="B6" s="29" t="s">
        <v>99</v>
      </c>
      <c r="C6" s="34">
        <v>10</v>
      </c>
    </row>
    <row r="7" spans="2:14" x14ac:dyDescent="0.2">
      <c r="I7" s="31"/>
    </row>
    <row r="8" spans="2:14" x14ac:dyDescent="0.2">
      <c r="B8" s="275" t="s">
        <v>100</v>
      </c>
      <c r="C8" s="275"/>
      <c r="D8" s="275"/>
      <c r="E8" s="275"/>
      <c r="F8" s="275"/>
      <c r="G8" s="275"/>
      <c r="I8" s="31"/>
    </row>
    <row r="9" spans="2:14" ht="34" x14ac:dyDescent="0.2">
      <c r="B9" s="32" t="s">
        <v>87</v>
      </c>
      <c r="C9" s="32" t="s">
        <v>88</v>
      </c>
      <c r="D9" s="29" t="s">
        <v>101</v>
      </c>
      <c r="E9" s="37" t="s">
        <v>102</v>
      </c>
      <c r="F9" s="29" t="s">
        <v>103</v>
      </c>
      <c r="G9" s="29" t="s">
        <v>104</v>
      </c>
      <c r="H9" s="29"/>
      <c r="I9" s="29"/>
      <c r="J9" s="29"/>
      <c r="K9" s="29"/>
      <c r="L9" s="29"/>
      <c r="M9" s="29"/>
    </row>
    <row r="10" spans="2:14" x14ac:dyDescent="0.2">
      <c r="B10" s="32" t="s">
        <v>92</v>
      </c>
      <c r="C10" s="32">
        <v>1</v>
      </c>
      <c r="D10" s="29">
        <f>C10</f>
        <v>1</v>
      </c>
      <c r="E10" s="29">
        <f>D10/$D$14</f>
        <v>0.02</v>
      </c>
      <c r="F10" s="33">
        <f>_xlfn.NORM.DIST(30,$C$5,$C$6,1)</f>
        <v>6.6807201268858057E-2</v>
      </c>
      <c r="G10" s="33">
        <f>ABS(E10-F10)</f>
        <v>4.6807201268858054E-2</v>
      </c>
      <c r="H10" s="29"/>
      <c r="I10" s="29"/>
      <c r="J10" s="29"/>
      <c r="K10" s="29"/>
      <c r="L10" s="29"/>
      <c r="M10" s="29"/>
    </row>
    <row r="11" spans="2:14" x14ac:dyDescent="0.2">
      <c r="B11" s="32" t="s">
        <v>93</v>
      </c>
      <c r="C11" s="32">
        <v>15</v>
      </c>
      <c r="D11" s="29">
        <f>D10+C11</f>
        <v>16</v>
      </c>
      <c r="E11" s="29">
        <f t="shared" ref="E11:E14" si="0">D11/$D$14</f>
        <v>0.32</v>
      </c>
      <c r="F11" s="33">
        <f>_xlfn.NORM.DIST(40,$C$5,$C$6,1)</f>
        <v>0.30853753872598688</v>
      </c>
      <c r="G11" s="33">
        <f t="shared" ref="G11:G14" si="1">ABS(E11-F11)</f>
        <v>1.1462461274013125E-2</v>
      </c>
      <c r="M11" s="243" t="s">
        <v>561</v>
      </c>
      <c r="N11" s="236" t="s">
        <v>563</v>
      </c>
    </row>
    <row r="12" spans="2:14" x14ac:dyDescent="0.2">
      <c r="B12" s="32" t="s">
        <v>94</v>
      </c>
      <c r="C12" s="32">
        <v>22</v>
      </c>
      <c r="D12" s="29">
        <f t="shared" ref="D12:D14" si="2">D11+C12</f>
        <v>38</v>
      </c>
      <c r="E12" s="29">
        <f t="shared" si="0"/>
        <v>0.76</v>
      </c>
      <c r="F12" s="33">
        <f>_xlfn.NORM.DIST(50,$C$5,$C$6,1)</f>
        <v>0.69146246127401312</v>
      </c>
      <c r="G12" s="33">
        <f t="shared" si="1"/>
        <v>6.8537538725986891E-2</v>
      </c>
      <c r="M12" s="243" t="s">
        <v>562</v>
      </c>
      <c r="N12" s="236" t="s">
        <v>564</v>
      </c>
    </row>
    <row r="13" spans="2:14" x14ac:dyDescent="0.2">
      <c r="B13" s="32" t="s">
        <v>95</v>
      </c>
      <c r="C13" s="32">
        <v>8</v>
      </c>
      <c r="D13" s="29">
        <f t="shared" si="2"/>
        <v>46</v>
      </c>
      <c r="E13" s="29">
        <f t="shared" si="0"/>
        <v>0.92</v>
      </c>
      <c r="F13" s="33">
        <f>_xlfn.NORM.DIST(60,$C$5,$C$6,1)</f>
        <v>0.93319279873114191</v>
      </c>
      <c r="G13" s="33">
        <f t="shared" si="1"/>
        <v>1.3192798731141875E-2</v>
      </c>
    </row>
    <row r="14" spans="2:14" x14ac:dyDescent="0.2">
      <c r="B14" s="32" t="s">
        <v>96</v>
      </c>
      <c r="C14" s="32">
        <v>4</v>
      </c>
      <c r="D14" s="29">
        <f t="shared" si="2"/>
        <v>50</v>
      </c>
      <c r="E14" s="29">
        <f t="shared" si="0"/>
        <v>1</v>
      </c>
      <c r="F14" s="33">
        <f>_xlfn.NORM.DIST(70,$C$5,$C$6,1)</f>
        <v>0.99379033467422384</v>
      </c>
      <c r="G14" s="33">
        <f t="shared" si="1"/>
        <v>6.2096653257761592E-3</v>
      </c>
      <c r="J14" s="29"/>
      <c r="K14" s="29"/>
      <c r="L14" s="29"/>
      <c r="M14" s="61" t="s">
        <v>217</v>
      </c>
      <c r="N14" s="240" t="s">
        <v>559</v>
      </c>
    </row>
    <row r="15" spans="2:14" x14ac:dyDescent="0.2">
      <c r="D15" s="29"/>
      <c r="E15" s="29"/>
      <c r="F15" s="29"/>
      <c r="G15" s="29"/>
      <c r="H15" s="29"/>
      <c r="I15" s="29"/>
      <c r="J15" s="29"/>
      <c r="K15" s="29"/>
      <c r="L15" s="29"/>
      <c r="M15" s="29"/>
    </row>
    <row r="16" spans="2:14" x14ac:dyDescent="0.2">
      <c r="B16" s="35" t="s">
        <v>228</v>
      </c>
      <c r="C16" s="36">
        <f>MAX(G10:G14)</f>
        <v>6.8537538725986891E-2</v>
      </c>
      <c r="D16" s="29"/>
      <c r="E16" s="29"/>
      <c r="F16" s="29"/>
      <c r="G16" s="29"/>
      <c r="H16" s="29"/>
      <c r="I16" s="29"/>
      <c r="J16" s="29"/>
      <c r="K16" s="29"/>
      <c r="L16" s="29"/>
      <c r="M16" s="29"/>
    </row>
    <row r="17" spans="2:13" x14ac:dyDescent="0.2">
      <c r="B17" s="131" t="s">
        <v>106</v>
      </c>
      <c r="C17" s="132">
        <f>1.36/SQRT(D14)</f>
        <v>0.19233304448274094</v>
      </c>
      <c r="D17" s="127"/>
      <c r="E17" s="127"/>
      <c r="F17" s="127"/>
      <c r="G17" s="127"/>
      <c r="H17" s="29"/>
      <c r="I17" s="29"/>
      <c r="J17" s="29"/>
      <c r="K17" s="29"/>
      <c r="L17" s="29"/>
      <c r="M17" s="29"/>
    </row>
    <row r="18" spans="2:13" ht="17" thickBot="1" x14ac:dyDescent="0.25">
      <c r="B18" s="8"/>
      <c r="C18" s="8"/>
      <c r="D18" s="29"/>
      <c r="E18" s="29"/>
      <c r="F18" s="29"/>
      <c r="G18" s="29"/>
      <c r="H18" s="29"/>
      <c r="I18" s="29"/>
      <c r="J18" s="29"/>
      <c r="K18" s="29"/>
      <c r="L18" s="29"/>
      <c r="M18" s="29"/>
    </row>
    <row r="19" spans="2:13" ht="16" customHeight="1" x14ac:dyDescent="0.2">
      <c r="B19" s="283" t="s">
        <v>229</v>
      </c>
      <c r="C19" s="284"/>
      <c r="D19" s="284"/>
      <c r="E19" s="284"/>
      <c r="F19" s="285"/>
      <c r="G19" s="29"/>
      <c r="H19" s="29"/>
      <c r="I19" s="29"/>
      <c r="J19" s="29"/>
      <c r="K19" s="29"/>
      <c r="L19" s="29"/>
      <c r="M19" s="29"/>
    </row>
    <row r="20" spans="2:13" x14ac:dyDescent="0.2">
      <c r="B20" s="286"/>
      <c r="C20" s="287"/>
      <c r="D20" s="287"/>
      <c r="E20" s="287"/>
      <c r="F20" s="288"/>
      <c r="G20" s="29"/>
      <c r="H20" s="29"/>
      <c r="I20" s="29"/>
      <c r="J20" s="29"/>
      <c r="K20" s="29"/>
      <c r="L20" s="29"/>
      <c r="M20" s="29"/>
    </row>
    <row r="21" spans="2:13" x14ac:dyDescent="0.2">
      <c r="B21" s="286"/>
      <c r="C21" s="287"/>
      <c r="D21" s="287"/>
      <c r="E21" s="287"/>
      <c r="F21" s="288"/>
      <c r="G21" s="29"/>
      <c r="H21" s="29"/>
      <c r="I21" s="29"/>
      <c r="J21" s="29"/>
      <c r="K21" s="29"/>
      <c r="L21" s="29"/>
      <c r="M21" s="29"/>
    </row>
    <row r="22" spans="2:13" ht="17" thickBot="1" x14ac:dyDescent="0.25">
      <c r="B22" s="289"/>
      <c r="C22" s="290"/>
      <c r="D22" s="290"/>
      <c r="E22" s="290"/>
      <c r="F22" s="291"/>
    </row>
    <row r="24" spans="2:13" ht="17" thickBot="1" x14ac:dyDescent="0.25"/>
    <row r="25" spans="2:13" x14ac:dyDescent="0.2">
      <c r="B25" s="124" t="s">
        <v>219</v>
      </c>
      <c r="C25" s="125"/>
      <c r="D25" s="125"/>
      <c r="E25" s="95" t="s">
        <v>222</v>
      </c>
    </row>
    <row r="26" spans="2:13" x14ac:dyDescent="0.2">
      <c r="B26" s="96" t="s">
        <v>226</v>
      </c>
      <c r="C26" s="4"/>
      <c r="D26" s="4"/>
      <c r="E26" s="97" t="s">
        <v>203</v>
      </c>
    </row>
    <row r="27" spans="2:13" ht="17" thickBot="1" x14ac:dyDescent="0.25">
      <c r="B27" s="98" t="s">
        <v>227</v>
      </c>
      <c r="C27" s="126"/>
      <c r="D27" s="126"/>
      <c r="E27" s="99" t="s">
        <v>196</v>
      </c>
    </row>
  </sheetData>
  <mergeCells count="2">
    <mergeCell ref="B19:F22"/>
    <mergeCell ref="B8:G8"/>
  </mergeCells>
  <pageMargins left="0.75" right="0.75" top="1" bottom="1" header="0.5" footer="0.5"/>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A291C-4F5C-824B-BEE0-FCA49B141704}">
  <dimension ref="A2:P25"/>
  <sheetViews>
    <sheetView zoomScale="140" zoomScaleNormal="140" zoomScalePageLayoutView="150" workbookViewId="0">
      <selection activeCell="O9" sqref="O9:P12"/>
    </sheetView>
  </sheetViews>
  <sheetFormatPr baseColWidth="10" defaultRowHeight="16" x14ac:dyDescent="0.2"/>
  <cols>
    <col min="2" max="6" width="8" bestFit="1" customWidth="1"/>
    <col min="7" max="7" width="7.6640625" bestFit="1" customWidth="1"/>
    <col min="8" max="8" width="11" bestFit="1" customWidth="1"/>
    <col min="9" max="9" width="8" bestFit="1" customWidth="1"/>
    <col min="10" max="10" width="14.33203125" bestFit="1" customWidth="1"/>
    <col min="11" max="11" width="7.1640625" customWidth="1"/>
    <col min="12" max="12" width="11.5" customWidth="1"/>
    <col min="16" max="16" width="48" customWidth="1"/>
  </cols>
  <sheetData>
    <row r="2" spans="1:16" x14ac:dyDescent="0.2">
      <c r="B2" t="s">
        <v>232</v>
      </c>
    </row>
    <row r="3" spans="1:16" x14ac:dyDescent="0.2">
      <c r="B3" t="s">
        <v>233</v>
      </c>
    </row>
    <row r="4" spans="1:16" x14ac:dyDescent="0.2">
      <c r="A4" s="8" t="s">
        <v>107</v>
      </c>
    </row>
    <row r="5" spans="1:16" x14ac:dyDescent="0.2">
      <c r="B5" s="38">
        <v>40150</v>
      </c>
      <c r="C5" s="38">
        <v>65099.999999999993</v>
      </c>
      <c r="D5" s="38">
        <v>49500</v>
      </c>
      <c r="E5" s="38">
        <v>22400</v>
      </c>
      <c r="F5" s="38">
        <v>38200</v>
      </c>
      <c r="H5" t="s">
        <v>108</v>
      </c>
      <c r="I5" s="39">
        <f>MIN(B5:F7)</f>
        <v>22400</v>
      </c>
    </row>
    <row r="6" spans="1:16" x14ac:dyDescent="0.2">
      <c r="B6" s="38">
        <v>60400</v>
      </c>
      <c r="C6" s="38">
        <v>43400</v>
      </c>
      <c r="D6" s="38">
        <v>26350</v>
      </c>
      <c r="E6" s="38">
        <v>31200</v>
      </c>
      <c r="F6" s="38">
        <v>55600</v>
      </c>
      <c r="H6" t="s">
        <v>109</v>
      </c>
      <c r="I6" s="39">
        <f>MAX(B5:F7)</f>
        <v>73200</v>
      </c>
    </row>
    <row r="7" spans="1:16" x14ac:dyDescent="0.2">
      <c r="B7" s="38">
        <v>47250</v>
      </c>
      <c r="C7" s="38">
        <v>73200</v>
      </c>
      <c r="D7" s="38">
        <v>35900</v>
      </c>
      <c r="E7" s="38">
        <v>45250</v>
      </c>
      <c r="F7" s="38">
        <v>52400</v>
      </c>
      <c r="H7" t="s">
        <v>110</v>
      </c>
      <c r="I7" s="39">
        <f>I6-I5</f>
        <v>50800</v>
      </c>
    </row>
    <row r="8" spans="1:16" x14ac:dyDescent="0.2">
      <c r="H8" t="s">
        <v>111</v>
      </c>
      <c r="I8">
        <f>ROUNDUP(1+3.3*LOG10(15),0)</f>
        <v>5</v>
      </c>
      <c r="J8" s="39">
        <f>I7/I8</f>
        <v>10160</v>
      </c>
    </row>
    <row r="9" spans="1:16" x14ac:dyDescent="0.2">
      <c r="O9" s="243" t="s">
        <v>561</v>
      </c>
      <c r="P9" s="236" t="s">
        <v>565</v>
      </c>
    </row>
    <row r="10" spans="1:16" x14ac:dyDescent="0.2">
      <c r="C10" s="275" t="s">
        <v>100</v>
      </c>
      <c r="D10" s="275"/>
      <c r="E10" s="275"/>
      <c r="F10" s="275"/>
      <c r="G10" s="275"/>
      <c r="H10" s="275"/>
      <c r="I10" s="275"/>
      <c r="J10" s="275"/>
      <c r="O10" s="243" t="s">
        <v>562</v>
      </c>
      <c r="P10" s="236" t="s">
        <v>566</v>
      </c>
    </row>
    <row r="11" spans="1:16" x14ac:dyDescent="0.2">
      <c r="C11" s="292" t="s">
        <v>112</v>
      </c>
      <c r="D11" s="292"/>
      <c r="E11" s="40" t="s">
        <v>77</v>
      </c>
      <c r="F11" s="40" t="s">
        <v>113</v>
      </c>
      <c r="G11" s="40" t="s">
        <v>114</v>
      </c>
      <c r="H11" s="40" t="s">
        <v>115</v>
      </c>
      <c r="I11" s="40" t="s">
        <v>116</v>
      </c>
      <c r="J11" s="41"/>
      <c r="K11" s="41"/>
    </row>
    <row r="12" spans="1:16" x14ac:dyDescent="0.2">
      <c r="C12">
        <v>22400</v>
      </c>
      <c r="D12" s="41">
        <f>C12+10160</f>
        <v>32560</v>
      </c>
      <c r="E12" s="41">
        <v>3</v>
      </c>
      <c r="F12" s="41">
        <f>E12</f>
        <v>3</v>
      </c>
      <c r="G12" s="42">
        <f>F12/15</f>
        <v>0.2</v>
      </c>
      <c r="H12" s="42">
        <f>NORMDIST(D12,50000,10000,TRUE)</f>
        <v>4.0579544918886108E-2</v>
      </c>
      <c r="I12" s="43">
        <f>ABS(G12-H12)</f>
        <v>0.15942045508111391</v>
      </c>
      <c r="J12" s="41"/>
      <c r="K12" s="41"/>
      <c r="O12" s="61" t="s">
        <v>217</v>
      </c>
      <c r="P12" s="240" t="s">
        <v>559</v>
      </c>
    </row>
    <row r="13" spans="1:16" x14ac:dyDescent="0.2">
      <c r="C13">
        <f>D12</f>
        <v>32560</v>
      </c>
      <c r="D13" s="41">
        <f t="shared" ref="D13:D16" si="0">C13+10160</f>
        <v>42720</v>
      </c>
      <c r="E13" s="41">
        <v>3</v>
      </c>
      <c r="F13" s="41">
        <f>E13+F12</f>
        <v>6</v>
      </c>
      <c r="G13" s="42">
        <f t="shared" ref="G13:G16" si="1">F13/15</f>
        <v>0.4</v>
      </c>
      <c r="H13" s="42">
        <f t="shared" ref="H13:H16" si="2">NORMDIST(D13,50000,10000,TRUE)</f>
        <v>0.23330679314626476</v>
      </c>
      <c r="I13" s="44">
        <f t="shared" ref="I13:I16" si="3">ABS(G13-H13)</f>
        <v>0.16669320685373526</v>
      </c>
      <c r="J13" s="45" t="s">
        <v>105</v>
      </c>
      <c r="K13" s="41"/>
      <c r="O13" s="29"/>
    </row>
    <row r="14" spans="1:16" x14ac:dyDescent="0.2">
      <c r="C14">
        <f t="shared" ref="C14:C16" si="4">D13</f>
        <v>42720</v>
      </c>
      <c r="D14" s="41">
        <f t="shared" si="0"/>
        <v>52880</v>
      </c>
      <c r="E14" s="41">
        <v>5</v>
      </c>
      <c r="F14" s="41">
        <f t="shared" ref="F14:F16" si="5">E14+F13</f>
        <v>11</v>
      </c>
      <c r="G14" s="42">
        <f t="shared" si="1"/>
        <v>0.73333333333333328</v>
      </c>
      <c r="H14" s="42">
        <f t="shared" si="2"/>
        <v>0.61332663066644266</v>
      </c>
      <c r="I14" s="43">
        <f t="shared" si="3"/>
        <v>0.12000670266689062</v>
      </c>
    </row>
    <row r="15" spans="1:16" x14ac:dyDescent="0.2">
      <c r="C15">
        <f t="shared" si="4"/>
        <v>52880</v>
      </c>
      <c r="D15" s="41">
        <f t="shared" si="0"/>
        <v>63040</v>
      </c>
      <c r="E15" s="41">
        <v>2</v>
      </c>
      <c r="F15" s="41">
        <f t="shared" si="5"/>
        <v>13</v>
      </c>
      <c r="G15" s="42">
        <f t="shared" si="1"/>
        <v>0.8666666666666667</v>
      </c>
      <c r="H15" s="42">
        <f t="shared" si="2"/>
        <v>0.90388320881360318</v>
      </c>
      <c r="I15" s="43">
        <f t="shared" si="3"/>
        <v>3.7216542146936482E-2</v>
      </c>
      <c r="J15" s="46" t="s">
        <v>117</v>
      </c>
      <c r="K15" s="47">
        <v>0.40400000000000003</v>
      </c>
    </row>
    <row r="16" spans="1:16" x14ac:dyDescent="0.2">
      <c r="C16" s="6">
        <f t="shared" si="4"/>
        <v>63040</v>
      </c>
      <c r="D16" s="48">
        <f t="shared" si="0"/>
        <v>73200</v>
      </c>
      <c r="E16" s="48">
        <v>2</v>
      </c>
      <c r="F16" s="48">
        <f t="shared" si="5"/>
        <v>15</v>
      </c>
      <c r="G16" s="49">
        <f t="shared" si="1"/>
        <v>1</v>
      </c>
      <c r="H16" s="49">
        <f t="shared" si="2"/>
        <v>0.98982956133128031</v>
      </c>
      <c r="I16" s="50">
        <f t="shared" si="3"/>
        <v>1.0170438668719695E-2</v>
      </c>
      <c r="J16" s="6"/>
    </row>
    <row r="17" spans="3:10" ht="17" thickBot="1" x14ac:dyDescent="0.25">
      <c r="D17" s="41"/>
      <c r="E17" s="41"/>
      <c r="F17" s="41"/>
      <c r="G17" s="42"/>
      <c r="H17" s="42"/>
      <c r="I17" s="43"/>
      <c r="J17" s="41"/>
    </row>
    <row r="18" spans="3:10" ht="16" customHeight="1" x14ac:dyDescent="0.2">
      <c r="C18" s="283" t="s">
        <v>234</v>
      </c>
      <c r="D18" s="284"/>
      <c r="E18" s="284"/>
      <c r="F18" s="284"/>
      <c r="G18" s="284"/>
      <c r="H18" s="285"/>
      <c r="I18" s="43"/>
    </row>
    <row r="19" spans="3:10" x14ac:dyDescent="0.2">
      <c r="C19" s="286"/>
      <c r="D19" s="287"/>
      <c r="E19" s="287"/>
      <c r="F19" s="287"/>
      <c r="G19" s="287"/>
      <c r="H19" s="288"/>
      <c r="I19" s="43"/>
    </row>
    <row r="20" spans="3:10" x14ac:dyDescent="0.2">
      <c r="C20" s="286"/>
      <c r="D20" s="287"/>
      <c r="E20" s="287"/>
      <c r="F20" s="287"/>
      <c r="G20" s="287"/>
      <c r="H20" s="288"/>
    </row>
    <row r="21" spans="3:10" ht="17" thickBot="1" x14ac:dyDescent="0.25">
      <c r="C21" s="289"/>
      <c r="D21" s="290"/>
      <c r="E21" s="290"/>
      <c r="F21" s="290"/>
      <c r="G21" s="290"/>
      <c r="H21" s="291"/>
    </row>
    <row r="22" spans="3:10" ht="17" thickBot="1" x14ac:dyDescent="0.25"/>
    <row r="23" spans="3:10" x14ac:dyDescent="0.2">
      <c r="C23" s="124" t="s">
        <v>219</v>
      </c>
      <c r="D23" s="125"/>
      <c r="E23" s="125"/>
      <c r="F23" s="95" t="s">
        <v>222</v>
      </c>
    </row>
    <row r="24" spans="3:10" x14ac:dyDescent="0.2">
      <c r="C24" s="96" t="s">
        <v>226</v>
      </c>
      <c r="D24" s="4"/>
      <c r="E24" s="4"/>
      <c r="F24" s="97" t="s">
        <v>203</v>
      </c>
    </row>
    <row r="25" spans="3:10" ht="17" thickBot="1" x14ac:dyDescent="0.25">
      <c r="C25" s="98" t="s">
        <v>227</v>
      </c>
      <c r="D25" s="126"/>
      <c r="E25" s="126"/>
      <c r="F25" s="99" t="s">
        <v>196</v>
      </c>
    </row>
  </sheetData>
  <mergeCells count="3">
    <mergeCell ref="C10:J10"/>
    <mergeCell ref="C11:D11"/>
    <mergeCell ref="C18:H21"/>
  </mergeCells>
  <pageMargins left="0.75" right="0.75" top="1" bottom="1" header="0.5" footer="0.5"/>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5CE63-BF0E-014B-8080-A240B227AF90}">
  <dimension ref="B1:O42"/>
  <sheetViews>
    <sheetView topLeftCell="F9" zoomScale="130" zoomScaleNormal="130" zoomScalePageLayoutView="130" workbookViewId="0">
      <selection activeCell="N26" sqref="N26:O29"/>
    </sheetView>
  </sheetViews>
  <sheetFormatPr baseColWidth="10" defaultRowHeight="13" x14ac:dyDescent="0.15"/>
  <cols>
    <col min="1" max="1" width="4.33203125" style="51" customWidth="1"/>
    <col min="2" max="2" width="10.83203125" style="51"/>
    <col min="3" max="3" width="12.83203125" style="51" customWidth="1"/>
    <col min="4" max="4" width="10.83203125" style="51"/>
    <col min="5" max="5" width="13.83203125" style="51" customWidth="1"/>
    <col min="6" max="6" width="12.1640625" style="51" customWidth="1"/>
    <col min="7" max="8" width="10.83203125" style="51"/>
    <col min="9" max="9" width="13.33203125" style="51" customWidth="1"/>
    <col min="10" max="10" width="10.83203125" style="51" customWidth="1"/>
    <col min="11" max="13" width="10.83203125" style="51"/>
    <col min="14" max="14" width="12.1640625" style="51" bestFit="1" customWidth="1"/>
    <col min="15" max="15" width="40.5" style="51" customWidth="1"/>
    <col min="16" max="16384" width="10.83203125" style="51"/>
  </cols>
  <sheetData>
    <row r="1" spans="2:10" ht="16" x14ac:dyDescent="0.2">
      <c r="B1" s="133" t="s">
        <v>118</v>
      </c>
      <c r="C1" s="133"/>
      <c r="D1" s="133"/>
      <c r="E1" s="133"/>
      <c r="F1" s="133"/>
      <c r="G1" s="133"/>
      <c r="H1" s="133"/>
      <c r="I1" s="133"/>
    </row>
    <row r="2" spans="2:10" ht="16" x14ac:dyDescent="0.2">
      <c r="B2" s="133" t="s">
        <v>119</v>
      </c>
      <c r="C2" s="133"/>
      <c r="D2" s="133"/>
      <c r="E2" s="133"/>
      <c r="F2" s="133"/>
      <c r="G2" s="133"/>
      <c r="H2" s="133"/>
      <c r="I2" s="133"/>
    </row>
    <row r="3" spans="2:10" ht="16" x14ac:dyDescent="0.2">
      <c r="B3" s="133"/>
      <c r="C3" s="133"/>
      <c r="D3" s="133"/>
      <c r="E3" s="133"/>
      <c r="F3" s="133"/>
      <c r="G3" s="133"/>
      <c r="H3" s="133"/>
      <c r="I3" s="133"/>
    </row>
    <row r="4" spans="2:10" ht="16" x14ac:dyDescent="0.2">
      <c r="B4" s="293" t="s">
        <v>120</v>
      </c>
      <c r="C4" s="293"/>
      <c r="D4" s="134" t="s">
        <v>77</v>
      </c>
      <c r="E4" s="134" t="s">
        <v>89</v>
      </c>
      <c r="F4" s="134" t="s">
        <v>90</v>
      </c>
      <c r="G4" s="134" t="s">
        <v>121</v>
      </c>
      <c r="H4" s="134" t="s">
        <v>122</v>
      </c>
      <c r="I4" s="134" t="s">
        <v>79</v>
      </c>
      <c r="J4" s="52"/>
    </row>
    <row r="5" spans="2:10" ht="16" x14ac:dyDescent="0.2">
      <c r="B5" s="134">
        <v>1.45</v>
      </c>
      <c r="C5" s="134">
        <f t="shared" ref="C5:C11" si="0">B5+0.5</f>
        <v>1.95</v>
      </c>
      <c r="D5" s="134">
        <v>2</v>
      </c>
      <c r="E5" s="135">
        <f t="shared" ref="E5:E11" si="1">(C5+B5)/2</f>
        <v>1.7</v>
      </c>
      <c r="F5" s="134">
        <v>-3</v>
      </c>
      <c r="G5" s="134">
        <f t="shared" ref="G5:G11" si="2">D5*F5</f>
        <v>-6</v>
      </c>
      <c r="H5" s="134">
        <f t="shared" ref="H5:H11" si="3">(D5*(POWER(F5,2)))</f>
        <v>18</v>
      </c>
      <c r="I5" s="135">
        <f t="shared" ref="I5:I11" si="4">C18*$D$12</f>
        <v>0.67145499832165978</v>
      </c>
      <c r="J5" s="52"/>
    </row>
    <row r="6" spans="2:10" ht="16" x14ac:dyDescent="0.2">
      <c r="B6" s="134">
        <f t="shared" ref="B6:B11" si="5">C5</f>
        <v>1.95</v>
      </c>
      <c r="C6" s="134">
        <f t="shared" si="0"/>
        <v>2.4500000000000002</v>
      </c>
      <c r="D6" s="134">
        <v>1</v>
      </c>
      <c r="E6" s="135">
        <f t="shared" si="1"/>
        <v>2.2000000000000002</v>
      </c>
      <c r="F6" s="134">
        <v>-2</v>
      </c>
      <c r="G6" s="134">
        <f t="shared" si="2"/>
        <v>-2</v>
      </c>
      <c r="H6" s="134">
        <f t="shared" si="3"/>
        <v>4</v>
      </c>
      <c r="I6" s="135">
        <f t="shared" si="4"/>
        <v>2.5671225244299132</v>
      </c>
      <c r="J6" s="52"/>
    </row>
    <row r="7" spans="2:10" ht="16" x14ac:dyDescent="0.2">
      <c r="B7" s="134">
        <f t="shared" si="5"/>
        <v>2.4500000000000002</v>
      </c>
      <c r="C7" s="134">
        <f t="shared" si="0"/>
        <v>2.95</v>
      </c>
      <c r="D7" s="134">
        <v>4</v>
      </c>
      <c r="E7" s="135">
        <f t="shared" si="1"/>
        <v>2.7</v>
      </c>
      <c r="F7" s="134">
        <v>-1</v>
      </c>
      <c r="G7" s="134">
        <f t="shared" si="2"/>
        <v>-4</v>
      </c>
      <c r="H7" s="134">
        <f t="shared" si="3"/>
        <v>4</v>
      </c>
      <c r="I7" s="135">
        <f t="shared" si="4"/>
        <v>6.7923185213427466</v>
      </c>
      <c r="J7" s="52"/>
    </row>
    <row r="8" spans="2:10" ht="16" x14ac:dyDescent="0.2">
      <c r="B8" s="134">
        <f t="shared" si="5"/>
        <v>2.95</v>
      </c>
      <c r="C8" s="134">
        <f t="shared" si="0"/>
        <v>3.45</v>
      </c>
      <c r="D8" s="134">
        <v>15</v>
      </c>
      <c r="E8" s="135">
        <f t="shared" si="1"/>
        <v>3.2</v>
      </c>
      <c r="F8" s="134">
        <v>0</v>
      </c>
      <c r="G8" s="134">
        <f t="shared" si="2"/>
        <v>0</v>
      </c>
      <c r="H8" s="134">
        <f t="shared" si="3"/>
        <v>0</v>
      </c>
      <c r="I8" s="135">
        <f t="shared" si="4"/>
        <v>10.83823139240625</v>
      </c>
      <c r="J8" s="52"/>
    </row>
    <row r="9" spans="2:10" ht="16" x14ac:dyDescent="0.2">
      <c r="B9" s="134">
        <f t="shared" si="5"/>
        <v>3.45</v>
      </c>
      <c r="C9" s="134">
        <f t="shared" si="0"/>
        <v>3.95</v>
      </c>
      <c r="D9" s="134">
        <v>10</v>
      </c>
      <c r="E9" s="135">
        <f t="shared" si="1"/>
        <v>3.7</v>
      </c>
      <c r="F9" s="134">
        <v>1</v>
      </c>
      <c r="G9" s="134">
        <f t="shared" si="2"/>
        <v>10</v>
      </c>
      <c r="H9" s="134">
        <f t="shared" si="3"/>
        <v>10</v>
      </c>
      <c r="I9" s="135">
        <f t="shared" si="4"/>
        <v>10.435339956326182</v>
      </c>
      <c r="J9" s="52"/>
    </row>
    <row r="10" spans="2:10" ht="16" x14ac:dyDescent="0.2">
      <c r="B10" s="134">
        <f t="shared" si="5"/>
        <v>3.95</v>
      </c>
      <c r="C10" s="134">
        <f t="shared" si="0"/>
        <v>4.45</v>
      </c>
      <c r="D10" s="134">
        <v>5</v>
      </c>
      <c r="E10" s="135">
        <f t="shared" si="1"/>
        <v>4.2</v>
      </c>
      <c r="F10" s="134">
        <v>2</v>
      </c>
      <c r="G10" s="134">
        <f t="shared" si="2"/>
        <v>10</v>
      </c>
      <c r="H10" s="134">
        <f t="shared" si="3"/>
        <v>20</v>
      </c>
      <c r="I10" s="135">
        <f t="shared" si="4"/>
        <v>6.0623760906476676</v>
      </c>
      <c r="J10" s="52"/>
    </row>
    <row r="11" spans="2:10" ht="16" x14ac:dyDescent="0.2">
      <c r="B11" s="134">
        <f t="shared" si="5"/>
        <v>4.45</v>
      </c>
      <c r="C11" s="134">
        <f t="shared" si="0"/>
        <v>4.95</v>
      </c>
      <c r="D11" s="134">
        <v>3</v>
      </c>
      <c r="E11" s="135">
        <f t="shared" si="1"/>
        <v>4.7</v>
      </c>
      <c r="F11" s="134">
        <v>3</v>
      </c>
      <c r="G11" s="134">
        <f t="shared" si="2"/>
        <v>9</v>
      </c>
      <c r="H11" s="134">
        <f t="shared" si="3"/>
        <v>27</v>
      </c>
      <c r="I11" s="135">
        <f t="shared" si="4"/>
        <v>2.1236911644270151</v>
      </c>
      <c r="J11" s="52"/>
    </row>
    <row r="12" spans="2:10" ht="16" x14ac:dyDescent="0.2">
      <c r="B12" s="133"/>
      <c r="C12" s="133"/>
      <c r="D12" s="134">
        <f>SUM(D5:D11)</f>
        <v>40</v>
      </c>
      <c r="E12" s="133"/>
      <c r="F12" s="133"/>
      <c r="G12" s="134">
        <f>SUM(G5:G11)</f>
        <v>17</v>
      </c>
      <c r="H12" s="134">
        <f>SUM(H5:H11)</f>
        <v>83</v>
      </c>
      <c r="I12" s="135"/>
    </row>
    <row r="13" spans="2:10" ht="16" x14ac:dyDescent="0.2">
      <c r="B13" s="133"/>
      <c r="C13" s="133"/>
      <c r="D13" s="134">
        <f>POWER(D12,2)</f>
        <v>1600</v>
      </c>
      <c r="E13" s="133"/>
      <c r="F13" s="133"/>
      <c r="G13" s="134">
        <f>POWER(G12,2)</f>
        <v>289</v>
      </c>
      <c r="H13" s="133"/>
      <c r="I13" s="133"/>
    </row>
    <row r="14" spans="2:10" ht="16" x14ac:dyDescent="0.2">
      <c r="B14" s="133" t="s">
        <v>125</v>
      </c>
      <c r="C14" s="133"/>
      <c r="D14" s="134">
        <f>E8+((G12*(C8-B8)/D12))</f>
        <v>3.4125000000000001</v>
      </c>
      <c r="E14" s="133"/>
      <c r="F14" s="133"/>
      <c r="G14" s="133"/>
      <c r="H14" s="133"/>
      <c r="I14" s="133"/>
    </row>
    <row r="15" spans="2:10" ht="16" x14ac:dyDescent="0.2">
      <c r="B15" s="133" t="s">
        <v>126</v>
      </c>
      <c r="C15" s="133"/>
      <c r="D15" s="136">
        <f>(C8-B8)*SQRT((H12/D12)-(G13/D13))</f>
        <v>0.68818148042504024</v>
      </c>
      <c r="E15" s="133"/>
      <c r="F15" s="133"/>
      <c r="G15" s="133"/>
      <c r="H15" s="133"/>
      <c r="I15" s="133"/>
    </row>
    <row r="16" spans="2:10" ht="16" x14ac:dyDescent="0.2">
      <c r="B16" s="133"/>
      <c r="C16" s="133"/>
      <c r="D16" s="133"/>
      <c r="E16" s="133"/>
      <c r="F16" s="133"/>
      <c r="G16" s="133"/>
      <c r="H16" s="133"/>
      <c r="I16" s="133"/>
    </row>
    <row r="17" spans="2:15" ht="34" x14ac:dyDescent="0.2">
      <c r="B17" s="137" t="s">
        <v>127</v>
      </c>
      <c r="C17" s="137" t="s">
        <v>128</v>
      </c>
      <c r="D17" s="133"/>
      <c r="E17" s="133"/>
      <c r="F17" s="133"/>
      <c r="G17" s="133"/>
      <c r="H17" s="133"/>
      <c r="I17" s="133"/>
    </row>
    <row r="18" spans="2:15" ht="16" x14ac:dyDescent="0.2">
      <c r="B18" s="134">
        <v>1.95</v>
      </c>
      <c r="C18" s="138">
        <f>D18</f>
        <v>1.6786374958041493E-2</v>
      </c>
      <c r="D18" s="138">
        <f t="shared" ref="D18:D24" si="6">_xlfn.NORM.DIST(C5,$D$14,$D$15,TRUE)</f>
        <v>1.6786374958041493E-2</v>
      </c>
      <c r="E18" s="133"/>
      <c r="F18" s="133"/>
      <c r="G18" s="133"/>
      <c r="H18" s="133"/>
      <c r="I18" s="133"/>
    </row>
    <row r="19" spans="2:15" ht="16" x14ac:dyDescent="0.2">
      <c r="B19" s="134">
        <v>2.4500000000000002</v>
      </c>
      <c r="C19" s="138">
        <f t="shared" ref="C19:C24" si="7">D19-D18</f>
        <v>6.4178063110747835E-2</v>
      </c>
      <c r="D19" s="138">
        <f t="shared" si="6"/>
        <v>8.0964438068789335E-2</v>
      </c>
      <c r="E19" s="133"/>
      <c r="F19" s="133"/>
      <c r="G19" s="133"/>
      <c r="H19" s="133"/>
      <c r="I19" s="133"/>
    </row>
    <row r="20" spans="2:15" ht="16" x14ac:dyDescent="0.2">
      <c r="B20" s="134">
        <v>2.95</v>
      </c>
      <c r="C20" s="138">
        <f t="shared" si="7"/>
        <v>0.16980796303356865</v>
      </c>
      <c r="D20" s="138">
        <f t="shared" si="6"/>
        <v>0.25077240110235799</v>
      </c>
      <c r="E20" s="133"/>
      <c r="F20" s="133"/>
      <c r="G20" s="133"/>
      <c r="H20" s="133"/>
      <c r="I20" s="133"/>
    </row>
    <row r="21" spans="2:15" ht="16" x14ac:dyDescent="0.2">
      <c r="B21" s="134">
        <v>3.45</v>
      </c>
      <c r="C21" s="138">
        <f t="shared" si="7"/>
        <v>0.27095578481015625</v>
      </c>
      <c r="D21" s="138">
        <f t="shared" si="6"/>
        <v>0.52172818591251424</v>
      </c>
      <c r="E21" s="133"/>
      <c r="F21" s="133"/>
      <c r="G21" s="133"/>
      <c r="H21" s="133"/>
      <c r="I21" s="133"/>
    </row>
    <row r="22" spans="2:15" ht="16" x14ac:dyDescent="0.2">
      <c r="B22" s="134">
        <v>3.95</v>
      </c>
      <c r="C22" s="138">
        <f t="shared" si="7"/>
        <v>0.26088349890815454</v>
      </c>
      <c r="D22" s="138">
        <f t="shared" si="6"/>
        <v>0.78261168482066878</v>
      </c>
      <c r="E22" s="133"/>
      <c r="F22" s="133"/>
      <c r="G22" s="133"/>
      <c r="H22" s="133"/>
      <c r="I22" s="133"/>
    </row>
    <row r="23" spans="2:15" ht="16" x14ac:dyDescent="0.2">
      <c r="B23" s="134">
        <v>4.45</v>
      </c>
      <c r="C23" s="138">
        <f t="shared" si="7"/>
        <v>0.15155940226619169</v>
      </c>
      <c r="D23" s="138">
        <f t="shared" si="6"/>
        <v>0.93417108708686047</v>
      </c>
      <c r="E23" s="133"/>
      <c r="F23" s="133"/>
      <c r="G23" s="133"/>
      <c r="H23" s="133"/>
      <c r="I23" s="133"/>
    </row>
    <row r="24" spans="2:15" ht="16" x14ac:dyDescent="0.2">
      <c r="B24" s="134">
        <v>4.95</v>
      </c>
      <c r="C24" s="138">
        <f t="shared" si="7"/>
        <v>5.3092279110675378E-2</v>
      </c>
      <c r="D24" s="138">
        <f t="shared" si="6"/>
        <v>0.98726336619753585</v>
      </c>
      <c r="E24" s="133"/>
      <c r="F24" s="133"/>
      <c r="G24" s="133"/>
      <c r="H24" s="133"/>
      <c r="I24" s="133"/>
    </row>
    <row r="25" spans="2:15" ht="16" x14ac:dyDescent="0.2">
      <c r="B25" s="133"/>
      <c r="C25" s="133"/>
      <c r="D25" s="133"/>
      <c r="E25" s="133"/>
      <c r="F25" s="133"/>
      <c r="G25" s="133"/>
      <c r="H25" s="133"/>
      <c r="I25" s="133"/>
    </row>
    <row r="26" spans="2:15" ht="16" x14ac:dyDescent="0.2">
      <c r="B26" s="294" t="s">
        <v>86</v>
      </c>
      <c r="C26" s="294"/>
      <c r="D26" s="294"/>
      <c r="E26" s="294"/>
      <c r="F26" s="294"/>
      <c r="G26" s="133"/>
      <c r="H26" s="133"/>
      <c r="I26" s="133"/>
      <c r="N26" s="243" t="s">
        <v>81</v>
      </c>
      <c r="O26" s="236" t="s">
        <v>567</v>
      </c>
    </row>
    <row r="27" spans="2:15" ht="16" x14ac:dyDescent="0.2">
      <c r="B27" s="134" t="s">
        <v>77</v>
      </c>
      <c r="C27" s="134" t="s">
        <v>79</v>
      </c>
      <c r="D27" s="134" t="s">
        <v>91</v>
      </c>
      <c r="E27" s="134" t="s">
        <v>123</v>
      </c>
      <c r="F27" s="134" t="s">
        <v>124</v>
      </c>
      <c r="G27" s="133"/>
      <c r="H27" s="133"/>
      <c r="I27" s="133"/>
      <c r="N27" s="243" t="s">
        <v>82</v>
      </c>
      <c r="O27" s="236" t="s">
        <v>568</v>
      </c>
    </row>
    <row r="28" spans="2:15" ht="16" x14ac:dyDescent="0.2">
      <c r="B28" s="134">
        <f>D5+D6+D7</f>
        <v>7</v>
      </c>
      <c r="C28" s="135">
        <f>I5+I6+I7</f>
        <v>10.03089604409432</v>
      </c>
      <c r="D28" s="135">
        <f>B28-C28</f>
        <v>-3.0308960440943196</v>
      </c>
      <c r="E28" s="135">
        <f>POWER(D28,2)</f>
        <v>9.1863308301065949</v>
      </c>
      <c r="F28" s="135">
        <f>E28/C28</f>
        <v>0.91580361213244144</v>
      </c>
      <c r="G28" s="133"/>
      <c r="H28" s="133"/>
      <c r="I28" s="133"/>
      <c r="N28"/>
      <c r="O28"/>
    </row>
    <row r="29" spans="2:15" ht="16" x14ac:dyDescent="0.2">
      <c r="B29" s="134">
        <f>D8</f>
        <v>15</v>
      </c>
      <c r="C29" s="135">
        <f>I8</f>
        <v>10.83823139240625</v>
      </c>
      <c r="D29" s="135">
        <f>B29-C29</f>
        <v>4.1617686075937499</v>
      </c>
      <c r="E29" s="135">
        <f>POWER(D29,2)</f>
        <v>17.320317943152819</v>
      </c>
      <c r="F29" s="135">
        <f>E29/C29</f>
        <v>1.5980760435958405</v>
      </c>
      <c r="N29" s="61" t="s">
        <v>217</v>
      </c>
      <c r="O29" s="240" t="s">
        <v>559</v>
      </c>
    </row>
    <row r="30" spans="2:15" ht="16" x14ac:dyDescent="0.2">
      <c r="B30" s="134">
        <f>D9</f>
        <v>10</v>
      </c>
      <c r="C30" s="135">
        <f>I9</f>
        <v>10.435339956326182</v>
      </c>
      <c r="D30" s="135">
        <f>B30-C30</f>
        <v>-0.43533995632618172</v>
      </c>
      <c r="E30" s="135">
        <f>POWER(D30,2)</f>
        <v>0.18952087757408181</v>
      </c>
      <c r="F30" s="135">
        <f>E30/C30</f>
        <v>1.8161447386214686E-2</v>
      </c>
    </row>
    <row r="31" spans="2:15" ht="16" x14ac:dyDescent="0.2">
      <c r="B31" s="134">
        <f>D10+D11</f>
        <v>8</v>
      </c>
      <c r="C31" s="135">
        <f>I11+I10</f>
        <v>8.1860672550746827</v>
      </c>
      <c r="D31" s="135">
        <f>B31-C31</f>
        <v>-0.18606725507468269</v>
      </c>
      <c r="E31" s="135">
        <f>POWER(D31,2)</f>
        <v>3.4621023411027033E-2</v>
      </c>
      <c r="F31" s="135">
        <f>E31/C31</f>
        <v>4.2292620292808947E-3</v>
      </c>
    </row>
    <row r="32" spans="2:15" ht="16" x14ac:dyDescent="0.2">
      <c r="B32" s="133"/>
      <c r="C32" s="133"/>
      <c r="D32" s="133"/>
      <c r="E32" s="139" t="s">
        <v>81</v>
      </c>
      <c r="F32" s="140">
        <f>SUM(F28:F31)</f>
        <v>2.5362703651437779</v>
      </c>
      <c r="G32" s="133"/>
      <c r="H32" s="133"/>
      <c r="I32" s="133"/>
    </row>
    <row r="33" spans="2:9" ht="17" x14ac:dyDescent="0.2">
      <c r="B33" s="141"/>
      <c r="C33" s="142" t="s">
        <v>235</v>
      </c>
      <c r="D33" s="143">
        <f>(COUNT(B28:B31)-1-(COUNT(D14:D15)))</f>
        <v>1</v>
      </c>
      <c r="E33" s="144" t="s">
        <v>82</v>
      </c>
      <c r="F33" s="145">
        <v>3.84</v>
      </c>
      <c r="G33" s="133"/>
      <c r="H33" s="133"/>
      <c r="I33" s="133"/>
    </row>
    <row r="34" spans="2:9" ht="17" thickBot="1" x14ac:dyDescent="0.25">
      <c r="B34" s="133"/>
      <c r="C34" s="133"/>
      <c r="D34" s="133"/>
      <c r="E34" s="133"/>
      <c r="F34" s="133"/>
      <c r="G34" s="133"/>
      <c r="H34" s="133"/>
      <c r="I34" s="133"/>
    </row>
    <row r="35" spans="2:9" x14ac:dyDescent="0.15">
      <c r="B35" s="283" t="s">
        <v>236</v>
      </c>
      <c r="C35" s="284"/>
      <c r="D35" s="284"/>
      <c r="E35" s="284"/>
      <c r="F35" s="285"/>
    </row>
    <row r="36" spans="2:9" x14ac:dyDescent="0.15">
      <c r="B36" s="286"/>
      <c r="C36" s="287"/>
      <c r="D36" s="287"/>
      <c r="E36" s="287"/>
      <c r="F36" s="288"/>
    </row>
    <row r="37" spans="2:9" x14ac:dyDescent="0.15">
      <c r="B37" s="286"/>
      <c r="C37" s="287"/>
      <c r="D37" s="287"/>
      <c r="E37" s="287"/>
      <c r="F37" s="288"/>
    </row>
    <row r="38" spans="2:9" ht="14" thickBot="1" x14ac:dyDescent="0.2">
      <c r="B38" s="289"/>
      <c r="C38" s="290"/>
      <c r="D38" s="290"/>
      <c r="E38" s="290"/>
      <c r="F38" s="291"/>
    </row>
    <row r="39" spans="2:9" ht="14" thickBot="1" x14ac:dyDescent="0.2"/>
    <row r="40" spans="2:9" ht="16" x14ac:dyDescent="0.2">
      <c r="B40" s="124" t="s">
        <v>219</v>
      </c>
      <c r="C40" s="125"/>
      <c r="D40" s="125"/>
      <c r="E40" s="95" t="s">
        <v>222</v>
      </c>
    </row>
    <row r="41" spans="2:9" ht="16" x14ac:dyDescent="0.2">
      <c r="B41" s="96" t="s">
        <v>226</v>
      </c>
      <c r="C41" s="4"/>
      <c r="D41" s="4"/>
      <c r="E41" s="97" t="s">
        <v>203</v>
      </c>
    </row>
    <row r="42" spans="2:9" ht="17" thickBot="1" x14ac:dyDescent="0.25">
      <c r="B42" s="98" t="s">
        <v>227</v>
      </c>
      <c r="C42" s="126"/>
      <c r="D42" s="126"/>
      <c r="E42" s="99" t="s">
        <v>196</v>
      </c>
    </row>
  </sheetData>
  <mergeCells count="3">
    <mergeCell ref="B4:C4"/>
    <mergeCell ref="B35:F38"/>
    <mergeCell ref="B26:F26"/>
  </mergeCells>
  <pageMargins left="0.75" right="0.75" top="1" bottom="1" header="0.5" footer="0.5"/>
  <pageSetup paperSize="9" orientation="portrait" horizontalDpi="4294967292" verticalDpi="429496729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A36D5-3739-564A-834C-5169BB09E1D6}">
  <dimension ref="B2:J26"/>
  <sheetViews>
    <sheetView zoomScale="150" zoomScaleNormal="150" zoomScalePageLayoutView="150" workbookViewId="0">
      <selection activeCell="I17" sqref="I17:J20"/>
    </sheetView>
  </sheetViews>
  <sheetFormatPr baseColWidth="10" defaultRowHeight="13" x14ac:dyDescent="0.15"/>
  <cols>
    <col min="1" max="1" width="3.6640625" style="13" customWidth="1"/>
    <col min="2" max="2" width="19" style="13" customWidth="1"/>
    <col min="3" max="3" width="13" style="13" customWidth="1"/>
    <col min="4" max="4" width="11.83203125" style="13" customWidth="1"/>
    <col min="5" max="9" width="10.83203125" style="13"/>
    <col min="10" max="10" width="42.6640625" style="13" customWidth="1"/>
    <col min="11" max="16384" width="10.83203125" style="13"/>
  </cols>
  <sheetData>
    <row r="2" spans="2:8" x14ac:dyDescent="0.15">
      <c r="B2" s="13" t="s">
        <v>129</v>
      </c>
    </row>
    <row r="3" spans="2:8" x14ac:dyDescent="0.15">
      <c r="B3" s="13" t="s">
        <v>130</v>
      </c>
    </row>
    <row r="5" spans="2:8" x14ac:dyDescent="0.15">
      <c r="B5" s="13" t="s">
        <v>131</v>
      </c>
    </row>
    <row r="6" spans="2:8" x14ac:dyDescent="0.15">
      <c r="B6" s="13" t="s">
        <v>132</v>
      </c>
    </row>
    <row r="7" spans="2:8" x14ac:dyDescent="0.15">
      <c r="B7" s="13" t="s">
        <v>133</v>
      </c>
      <c r="C7" s="13">
        <v>200</v>
      </c>
    </row>
    <row r="9" spans="2:8" ht="13" customHeight="1" x14ac:dyDescent="0.15">
      <c r="B9" s="295" t="s">
        <v>86</v>
      </c>
      <c r="C9" s="295"/>
      <c r="D9" s="295"/>
      <c r="E9" s="295"/>
      <c r="F9" s="295"/>
      <c r="G9" s="295"/>
    </row>
    <row r="10" spans="2:8" ht="30" customHeight="1" x14ac:dyDescent="0.2">
      <c r="B10" s="24" t="s">
        <v>134</v>
      </c>
      <c r="C10" s="24" t="s">
        <v>135</v>
      </c>
      <c r="D10" s="24" t="s">
        <v>128</v>
      </c>
      <c r="E10" s="24" t="s">
        <v>79</v>
      </c>
      <c r="F10" s="26" t="s">
        <v>77</v>
      </c>
      <c r="G10" s="55" t="s">
        <v>136</v>
      </c>
      <c r="H10" s="26"/>
    </row>
    <row r="11" spans="2:8" x14ac:dyDescent="0.15">
      <c r="B11" s="26">
        <v>0</v>
      </c>
      <c r="C11" s="26">
        <v>0.59870000000000001</v>
      </c>
      <c r="D11" s="26">
        <f>C11</f>
        <v>0.59870000000000001</v>
      </c>
      <c r="E11" s="26">
        <f>D11*C7</f>
        <v>119.74000000000001</v>
      </c>
      <c r="F11" s="26">
        <v>138</v>
      </c>
      <c r="G11" s="56">
        <f>(POWER(F11-E11,2))/E11</f>
        <v>2.7845966260230468</v>
      </c>
    </row>
    <row r="12" spans="2:8" x14ac:dyDescent="0.15">
      <c r="B12" s="26">
        <v>1</v>
      </c>
      <c r="C12" s="26">
        <v>0.91390000000000005</v>
      </c>
      <c r="D12" s="26">
        <f>C12-C11</f>
        <v>0.31520000000000004</v>
      </c>
      <c r="E12" s="26">
        <f>+D12*C7</f>
        <v>63.040000000000006</v>
      </c>
      <c r="F12" s="26">
        <v>53</v>
      </c>
      <c r="G12" s="56">
        <f t="shared" ref="G12:G13" si="0">(POWER(F12-E12,2))/E12</f>
        <v>1.5990101522842657</v>
      </c>
    </row>
    <row r="13" spans="2:8" x14ac:dyDescent="0.15">
      <c r="B13" s="26" t="s">
        <v>137</v>
      </c>
      <c r="C13" s="26">
        <v>1</v>
      </c>
      <c r="D13" s="26">
        <f>C13-C12</f>
        <v>8.6099999999999954E-2</v>
      </c>
      <c r="E13" s="26">
        <f>D13*C7</f>
        <v>17.219999999999992</v>
      </c>
      <c r="F13" s="26">
        <v>9</v>
      </c>
      <c r="G13" s="56">
        <f t="shared" si="0"/>
        <v>3.9238327526132348</v>
      </c>
    </row>
    <row r="14" spans="2:8" x14ac:dyDescent="0.15">
      <c r="B14" s="26" t="s">
        <v>54</v>
      </c>
      <c r="C14" s="26"/>
      <c r="D14" s="26"/>
      <c r="E14" s="26"/>
      <c r="F14" s="26"/>
      <c r="G14" s="56">
        <f>SUM(G11:G13)</f>
        <v>8.3074395309205471</v>
      </c>
      <c r="H14" s="26"/>
    </row>
    <row r="16" spans="2:8" x14ac:dyDescent="0.15">
      <c r="B16" s="26" t="s">
        <v>138</v>
      </c>
    </row>
    <row r="17" spans="2:10" x14ac:dyDescent="0.15">
      <c r="B17" s="146" t="s">
        <v>139</v>
      </c>
      <c r="C17" s="146">
        <v>5.9909999999999997</v>
      </c>
      <c r="D17" s="147"/>
      <c r="E17" s="147"/>
      <c r="F17" s="147"/>
      <c r="G17" s="147"/>
      <c r="I17" s="243" t="s">
        <v>81</v>
      </c>
      <c r="J17" s="236" t="s">
        <v>567</v>
      </c>
    </row>
    <row r="18" spans="2:10" ht="14" thickBot="1" x14ac:dyDescent="0.2">
      <c r="I18" s="243" t="s">
        <v>82</v>
      </c>
      <c r="J18" s="236" t="s">
        <v>568</v>
      </c>
    </row>
    <row r="19" spans="2:10" ht="16" x14ac:dyDescent="0.2">
      <c r="B19" s="269" t="s">
        <v>237</v>
      </c>
      <c r="C19" s="270"/>
      <c r="D19" s="270"/>
      <c r="E19" s="270"/>
      <c r="F19" s="271"/>
      <c r="I19"/>
      <c r="J19"/>
    </row>
    <row r="20" spans="2:10" ht="20" customHeight="1" thickBot="1" x14ac:dyDescent="0.2">
      <c r="B20" s="272"/>
      <c r="C20" s="273"/>
      <c r="D20" s="273"/>
      <c r="E20" s="273"/>
      <c r="F20" s="274"/>
      <c r="I20" s="61" t="s">
        <v>217</v>
      </c>
      <c r="J20" s="240" t="s">
        <v>559</v>
      </c>
    </row>
    <row r="23" spans="2:10" ht="14" thickBot="1" x14ac:dyDescent="0.2"/>
    <row r="24" spans="2:10" ht="16" x14ac:dyDescent="0.2">
      <c r="B24" s="124" t="s">
        <v>219</v>
      </c>
      <c r="C24" s="125"/>
      <c r="D24" s="125"/>
      <c r="E24" s="95" t="s">
        <v>222</v>
      </c>
    </row>
    <row r="25" spans="2:10" ht="16" x14ac:dyDescent="0.2">
      <c r="B25" s="96" t="s">
        <v>220</v>
      </c>
      <c r="C25" s="4"/>
      <c r="D25" s="4"/>
      <c r="E25" s="97" t="s">
        <v>203</v>
      </c>
    </row>
    <row r="26" spans="2:10" ht="17" thickBot="1" x14ac:dyDescent="0.25">
      <c r="B26" s="98" t="s">
        <v>221</v>
      </c>
      <c r="C26" s="126"/>
      <c r="D26" s="126"/>
      <c r="E26" s="99" t="s">
        <v>196</v>
      </c>
    </row>
  </sheetData>
  <mergeCells count="2">
    <mergeCell ref="B9:G9"/>
    <mergeCell ref="B19:F20"/>
  </mergeCells>
  <pageMargins left="0.75" right="0.75" top="1" bottom="1" header="0.5" footer="0.5"/>
  <pageSetup paperSize="9" orientation="portrait" horizontalDpi="4294967292" verticalDpi="429496729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C1632-E3D3-0E42-831B-3C86FDE5D8AB}">
  <dimension ref="B2:L20"/>
  <sheetViews>
    <sheetView zoomScale="150" zoomScaleNormal="150" zoomScalePageLayoutView="150" workbookViewId="0">
      <selection activeCell="K3" sqref="K3:L6"/>
    </sheetView>
  </sheetViews>
  <sheetFormatPr baseColWidth="10" defaultRowHeight="16" x14ac:dyDescent="0.2"/>
  <cols>
    <col min="1" max="1" width="4.33203125" customWidth="1"/>
    <col min="2" max="2" width="12.6640625" customWidth="1"/>
    <col min="11" max="11" width="13.33203125" customWidth="1"/>
    <col min="12" max="12" width="45.33203125" customWidth="1"/>
  </cols>
  <sheetData>
    <row r="2" spans="2:12" ht="19" x14ac:dyDescent="0.25">
      <c r="B2" s="57" t="s">
        <v>140</v>
      </c>
      <c r="C2" s="57"/>
      <c r="D2" s="58" t="s">
        <v>141</v>
      </c>
      <c r="E2" s="58">
        <v>0.05</v>
      </c>
      <c r="F2" s="57"/>
      <c r="G2" s="57"/>
      <c r="H2" s="57"/>
    </row>
    <row r="3" spans="2:12" ht="19" x14ac:dyDescent="0.25">
      <c r="B3" s="57" t="s">
        <v>142</v>
      </c>
      <c r="C3" s="57"/>
      <c r="D3" s="58" t="s">
        <v>143</v>
      </c>
      <c r="E3" s="58">
        <v>1.96</v>
      </c>
      <c r="F3" s="57"/>
      <c r="G3" s="57"/>
      <c r="H3" s="57"/>
      <c r="K3" s="243" t="s">
        <v>569</v>
      </c>
      <c r="L3" s="236" t="s">
        <v>571</v>
      </c>
    </row>
    <row r="4" spans="2:12" ht="19" x14ac:dyDescent="0.25">
      <c r="B4" s="57"/>
      <c r="C4" s="57"/>
      <c r="D4" s="57"/>
      <c r="E4" s="57"/>
      <c r="F4" s="57"/>
      <c r="G4" s="57"/>
      <c r="H4" s="57"/>
      <c r="K4" s="243" t="s">
        <v>570</v>
      </c>
      <c r="L4" s="236" t="s">
        <v>572</v>
      </c>
    </row>
    <row r="5" spans="2:12" ht="19" x14ac:dyDescent="0.25">
      <c r="B5" s="296" t="s">
        <v>32</v>
      </c>
      <c r="C5" s="296"/>
      <c r="D5" s="296" t="s">
        <v>31</v>
      </c>
      <c r="E5" s="296"/>
      <c r="F5" s="57"/>
      <c r="G5" s="57"/>
      <c r="H5" s="57"/>
    </row>
    <row r="6" spans="2:12" ht="19" x14ac:dyDescent="0.25">
      <c r="B6" s="58" t="s">
        <v>144</v>
      </c>
      <c r="C6" s="58">
        <v>60</v>
      </c>
      <c r="D6" s="58" t="s">
        <v>145</v>
      </c>
      <c r="E6" s="58">
        <v>90</v>
      </c>
      <c r="F6" s="57"/>
      <c r="G6" s="57"/>
      <c r="H6" s="57"/>
      <c r="K6" s="61" t="s">
        <v>217</v>
      </c>
      <c r="L6" s="240" t="s">
        <v>559</v>
      </c>
    </row>
    <row r="7" spans="2:12" ht="19" x14ac:dyDescent="0.25">
      <c r="B7" s="58" t="s">
        <v>146</v>
      </c>
      <c r="C7" s="58">
        <v>8</v>
      </c>
      <c r="D7" s="58" t="s">
        <v>147</v>
      </c>
      <c r="E7" s="58">
        <v>9</v>
      </c>
      <c r="F7" s="57"/>
      <c r="G7" s="57"/>
      <c r="H7" s="57"/>
    </row>
    <row r="8" spans="2:12" ht="19" x14ac:dyDescent="0.25">
      <c r="B8" s="57"/>
      <c r="C8" s="57"/>
      <c r="D8" s="57"/>
      <c r="E8" s="57"/>
      <c r="F8" s="57"/>
      <c r="G8" s="57"/>
      <c r="H8" s="57"/>
    </row>
    <row r="9" spans="2:12" ht="19" x14ac:dyDescent="0.25">
      <c r="B9" s="58" t="s">
        <v>148</v>
      </c>
      <c r="C9" s="59">
        <f>(C7+E7)/(C6+E6)</f>
        <v>0.11333333333333333</v>
      </c>
      <c r="D9" s="58" t="s">
        <v>149</v>
      </c>
      <c r="E9" s="59">
        <f>1-C9</f>
        <v>0.88666666666666671</v>
      </c>
      <c r="F9" s="57"/>
      <c r="G9" s="57"/>
      <c r="H9" s="57"/>
    </row>
    <row r="10" spans="2:12" ht="19" x14ac:dyDescent="0.25">
      <c r="B10" s="58" t="s">
        <v>150</v>
      </c>
      <c r="C10" s="59">
        <f>(C7/C6)-(E7/E6)</f>
        <v>3.3333333333333326E-2</v>
      </c>
      <c r="D10" s="59">
        <f>C9</f>
        <v>0.11333333333333333</v>
      </c>
      <c r="E10" s="59">
        <f>E9</f>
        <v>0.88666666666666671</v>
      </c>
      <c r="F10" s="59">
        <f>((1/C6)+(1/E6))</f>
        <v>2.7777777777777776E-2</v>
      </c>
      <c r="G10" s="58">
        <f>SQRT(D10*E10*F10)</f>
        <v>5.2833304124305508E-2</v>
      </c>
      <c r="H10" s="59">
        <f>C10/G10</f>
        <v>0.63091517530130414</v>
      </c>
      <c r="I10" s="29"/>
      <c r="J10" s="29"/>
    </row>
    <row r="11" spans="2:12" ht="19" x14ac:dyDescent="0.25">
      <c r="B11" s="296" t="s">
        <v>151</v>
      </c>
      <c r="C11" s="296"/>
      <c r="D11" s="296"/>
      <c r="E11" s="296"/>
      <c r="F11" s="296"/>
      <c r="G11" s="296"/>
      <c r="H11" s="296"/>
    </row>
    <row r="12" spans="2:12" ht="20" thickBot="1" x14ac:dyDescent="0.3">
      <c r="B12" s="296" t="s">
        <v>152</v>
      </c>
      <c r="C12" s="296"/>
      <c r="D12" s="296"/>
      <c r="E12" s="296"/>
      <c r="F12" s="296"/>
      <c r="G12" s="296"/>
      <c r="H12" s="296"/>
    </row>
    <row r="13" spans="2:12" x14ac:dyDescent="0.2">
      <c r="B13" s="297" t="s">
        <v>153</v>
      </c>
      <c r="C13" s="298"/>
      <c r="D13" s="298"/>
      <c r="E13" s="298"/>
      <c r="F13" s="298"/>
      <c r="G13" s="298"/>
      <c r="H13" s="299"/>
    </row>
    <row r="14" spans="2:12" x14ac:dyDescent="0.2">
      <c r="B14" s="300"/>
      <c r="C14" s="301"/>
      <c r="D14" s="301"/>
      <c r="E14" s="301"/>
      <c r="F14" s="301"/>
      <c r="G14" s="301"/>
      <c r="H14" s="302"/>
    </row>
    <row r="15" spans="2:12" ht="26" customHeight="1" thickBot="1" x14ac:dyDescent="0.25">
      <c r="B15" s="303"/>
      <c r="C15" s="304"/>
      <c r="D15" s="304"/>
      <c r="E15" s="304"/>
      <c r="F15" s="304"/>
      <c r="G15" s="304"/>
      <c r="H15" s="305"/>
    </row>
    <row r="17" spans="2:5" ht="17" thickBot="1" x14ac:dyDescent="0.25"/>
    <row r="18" spans="2:5" x14ac:dyDescent="0.2">
      <c r="B18" s="124" t="s">
        <v>219</v>
      </c>
      <c r="C18" s="125"/>
      <c r="D18" s="125"/>
      <c r="E18" s="95" t="s">
        <v>222</v>
      </c>
    </row>
    <row r="19" spans="2:5" x14ac:dyDescent="0.2">
      <c r="B19" s="96" t="s">
        <v>226</v>
      </c>
      <c r="C19" s="4"/>
      <c r="D19" s="4"/>
      <c r="E19" s="97" t="s">
        <v>203</v>
      </c>
    </row>
    <row r="20" spans="2:5" ht="17" thickBot="1" x14ac:dyDescent="0.25">
      <c r="B20" s="98" t="s">
        <v>227</v>
      </c>
      <c r="C20" s="126"/>
      <c r="D20" s="126"/>
      <c r="E20" s="99" t="s">
        <v>196</v>
      </c>
    </row>
  </sheetData>
  <mergeCells count="5">
    <mergeCell ref="B5:C5"/>
    <mergeCell ref="D5:E5"/>
    <mergeCell ref="B11:H11"/>
    <mergeCell ref="B12:H12"/>
    <mergeCell ref="B13:H15"/>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EEEAE-CD5C-F548-9F2B-1E646C3B17BD}">
  <dimension ref="B2:O44"/>
  <sheetViews>
    <sheetView topLeftCell="C1" zoomScale="140" zoomScaleNormal="140" workbookViewId="0">
      <selection activeCell="N21" sqref="N21:O24"/>
    </sheetView>
  </sheetViews>
  <sheetFormatPr baseColWidth="10" defaultRowHeight="13" x14ac:dyDescent="0.15"/>
  <cols>
    <col min="1" max="1" width="3.83203125" style="13" customWidth="1"/>
    <col min="2" max="2" width="20.6640625" style="13" customWidth="1"/>
    <col min="3" max="3" width="19.6640625" style="13" customWidth="1"/>
    <col min="4" max="4" width="10.1640625" style="13" customWidth="1"/>
    <col min="5" max="5" width="13.33203125" style="13" customWidth="1"/>
    <col min="6" max="6" width="7.83203125" style="13" customWidth="1"/>
    <col min="7" max="7" width="8.83203125" style="13" customWidth="1"/>
    <col min="8" max="8" width="10.1640625" style="13" customWidth="1"/>
    <col min="9" max="13" width="10.83203125" style="13"/>
    <col min="14" max="14" width="14.6640625" style="13" customWidth="1"/>
    <col min="15" max="15" width="45.6640625" style="13" customWidth="1"/>
    <col min="16" max="1999" width="10.83203125" style="13"/>
    <col min="2000" max="2000" width="2.33203125" style="13" customWidth="1"/>
    <col min="2001" max="16384" width="10.83203125" style="13"/>
  </cols>
  <sheetData>
    <row r="2" spans="2:11" ht="16" x14ac:dyDescent="0.2">
      <c r="B2" s="133" t="s">
        <v>118</v>
      </c>
    </row>
    <row r="3" spans="2:11" ht="16" x14ac:dyDescent="0.2">
      <c r="B3" s="133" t="s">
        <v>119</v>
      </c>
    </row>
    <row r="5" spans="2:11" x14ac:dyDescent="0.15">
      <c r="B5" s="13" t="s">
        <v>154</v>
      </c>
      <c r="D5" s="13">
        <v>7</v>
      </c>
    </row>
    <row r="6" spans="2:11" x14ac:dyDescent="0.15">
      <c r="B6" s="13" t="s">
        <v>155</v>
      </c>
      <c r="D6" s="13">
        <f>118-83</f>
        <v>35</v>
      </c>
    </row>
    <row r="7" spans="2:11" x14ac:dyDescent="0.15">
      <c r="B7" s="13" t="s">
        <v>156</v>
      </c>
      <c r="D7" s="14">
        <f>D6/D5</f>
        <v>5</v>
      </c>
    </row>
    <row r="8" spans="2:11" x14ac:dyDescent="0.15">
      <c r="B8" s="13" t="s">
        <v>157</v>
      </c>
      <c r="D8" s="14">
        <f>D7/2</f>
        <v>2.5</v>
      </c>
    </row>
    <row r="9" spans="2:11" x14ac:dyDescent="0.15">
      <c r="B9" s="60" t="s">
        <v>158</v>
      </c>
      <c r="C9" s="61"/>
      <c r="D9" s="61"/>
      <c r="E9" s="61"/>
      <c r="F9" s="61"/>
      <c r="G9" s="61"/>
      <c r="H9" s="61"/>
      <c r="I9" s="61"/>
      <c r="J9" s="61"/>
      <c r="K9" s="61"/>
    </row>
    <row r="10" spans="2:11" x14ac:dyDescent="0.15">
      <c r="B10" s="62" t="s">
        <v>159</v>
      </c>
      <c r="C10" s="62" t="s">
        <v>127</v>
      </c>
      <c r="D10" s="62" t="s">
        <v>160</v>
      </c>
      <c r="E10" s="62" t="s">
        <v>89</v>
      </c>
      <c r="F10" s="62" t="s">
        <v>90</v>
      </c>
      <c r="G10" s="62" t="s">
        <v>161</v>
      </c>
      <c r="H10" s="62" t="s">
        <v>162</v>
      </c>
      <c r="I10" s="62" t="s">
        <v>163</v>
      </c>
      <c r="J10" s="62" t="s">
        <v>164</v>
      </c>
      <c r="K10" s="62" t="s">
        <v>165</v>
      </c>
    </row>
    <row r="11" spans="2:11" x14ac:dyDescent="0.15">
      <c r="B11" s="63">
        <v>80</v>
      </c>
      <c r="C11" s="63">
        <f>B11+5</f>
        <v>85</v>
      </c>
      <c r="D11" s="63">
        <v>3</v>
      </c>
      <c r="E11" s="63">
        <f>(C11+B11)/2</f>
        <v>82.5</v>
      </c>
      <c r="F11" s="63">
        <v>-3</v>
      </c>
      <c r="G11" s="63">
        <f>D11*F11</f>
        <v>-9</v>
      </c>
      <c r="H11" s="63">
        <f>D11*(F11^2)</f>
        <v>27</v>
      </c>
      <c r="I11" s="63">
        <f>NORMDIST(C11,$D$20,$D$21,1)</f>
        <v>3.2849236031741454E-2</v>
      </c>
      <c r="J11" s="63">
        <f>I11</f>
        <v>3.2849236031741454E-2</v>
      </c>
      <c r="K11" s="64">
        <f>J11*$D$18</f>
        <v>2.2994465222219018</v>
      </c>
    </row>
    <row r="12" spans="2:11" x14ac:dyDescent="0.15">
      <c r="B12" s="63">
        <f t="shared" ref="B12:B17" si="0">C11</f>
        <v>85</v>
      </c>
      <c r="C12" s="63">
        <f t="shared" ref="C12:C17" si="1">B12+5</f>
        <v>90</v>
      </c>
      <c r="D12" s="63">
        <v>6</v>
      </c>
      <c r="E12" s="63">
        <f t="shared" ref="E12:E17" si="2">(C12+B12)/2</f>
        <v>87.5</v>
      </c>
      <c r="F12" s="63">
        <v>-2</v>
      </c>
      <c r="G12" s="63">
        <f t="shared" ref="G12:G17" si="3">D12*F12</f>
        <v>-12</v>
      </c>
      <c r="H12" s="63">
        <f t="shared" ref="H12:H17" si="4">D12*(F12^2)</f>
        <v>24</v>
      </c>
      <c r="I12" s="63">
        <f t="shared" ref="I12:I17" si="5">NORMDIST(C12,$D$20,$D$21,1)</f>
        <v>0.13035067937244399</v>
      </c>
      <c r="J12" s="63">
        <f t="shared" ref="J12:J17" si="6">I12-I11</f>
        <v>9.7501443340702543E-2</v>
      </c>
      <c r="K12" s="64">
        <f t="shared" ref="K12:K17" si="7">J12*$D$18</f>
        <v>6.8251010338491778</v>
      </c>
    </row>
    <row r="13" spans="2:11" x14ac:dyDescent="0.15">
      <c r="B13" s="63">
        <f t="shared" si="0"/>
        <v>90</v>
      </c>
      <c r="C13" s="63">
        <f t="shared" si="1"/>
        <v>95</v>
      </c>
      <c r="D13" s="63">
        <v>11</v>
      </c>
      <c r="E13" s="63">
        <f t="shared" si="2"/>
        <v>92.5</v>
      </c>
      <c r="F13" s="63">
        <v>-1</v>
      </c>
      <c r="G13" s="63">
        <f t="shared" si="3"/>
        <v>-11</v>
      </c>
      <c r="H13" s="63">
        <f t="shared" si="4"/>
        <v>11</v>
      </c>
      <c r="I13" s="63">
        <f t="shared" si="5"/>
        <v>0.34127183614975887</v>
      </c>
      <c r="J13" s="63">
        <f t="shared" si="6"/>
        <v>0.21092115677731488</v>
      </c>
      <c r="K13" s="64">
        <f t="shared" si="7"/>
        <v>14.764480974412042</v>
      </c>
    </row>
    <row r="14" spans="2:11" x14ac:dyDescent="0.15">
      <c r="B14" s="63">
        <f t="shared" si="0"/>
        <v>95</v>
      </c>
      <c r="C14" s="63">
        <f t="shared" si="1"/>
        <v>100</v>
      </c>
      <c r="D14" s="63">
        <v>28</v>
      </c>
      <c r="E14" s="63">
        <f t="shared" si="2"/>
        <v>97.5</v>
      </c>
      <c r="F14" s="63">
        <v>0</v>
      </c>
      <c r="G14" s="63">
        <f t="shared" si="3"/>
        <v>0</v>
      </c>
      <c r="H14" s="63">
        <f t="shared" si="4"/>
        <v>0</v>
      </c>
      <c r="I14" s="63">
        <f t="shared" si="5"/>
        <v>0.62048160539265762</v>
      </c>
      <c r="J14" s="63">
        <f t="shared" si="6"/>
        <v>0.27920976924289875</v>
      </c>
      <c r="K14" s="64">
        <f t="shared" si="7"/>
        <v>19.544683847002911</v>
      </c>
    </row>
    <row r="15" spans="2:11" x14ac:dyDescent="0.15">
      <c r="B15" s="63">
        <f t="shared" si="0"/>
        <v>100</v>
      </c>
      <c r="C15" s="63">
        <f t="shared" si="1"/>
        <v>105</v>
      </c>
      <c r="D15" s="63">
        <v>11</v>
      </c>
      <c r="E15" s="63">
        <f t="shared" si="2"/>
        <v>102.5</v>
      </c>
      <c r="F15" s="63">
        <v>1</v>
      </c>
      <c r="G15" s="63">
        <f t="shared" si="3"/>
        <v>11</v>
      </c>
      <c r="H15" s="63">
        <f t="shared" si="4"/>
        <v>11</v>
      </c>
      <c r="I15" s="63">
        <f t="shared" si="5"/>
        <v>0.84672461162984447</v>
      </c>
      <c r="J15" s="63">
        <f t="shared" si="6"/>
        <v>0.22624300623718685</v>
      </c>
      <c r="K15" s="64">
        <f t="shared" si="7"/>
        <v>15.83701043660308</v>
      </c>
    </row>
    <row r="16" spans="2:11" x14ac:dyDescent="0.15">
      <c r="B16" s="63">
        <f t="shared" si="0"/>
        <v>105</v>
      </c>
      <c r="C16" s="63">
        <f t="shared" si="1"/>
        <v>110</v>
      </c>
      <c r="D16" s="63">
        <v>7</v>
      </c>
      <c r="E16" s="63">
        <f t="shared" si="2"/>
        <v>107.5</v>
      </c>
      <c r="F16" s="63">
        <v>2</v>
      </c>
      <c r="G16" s="63">
        <f t="shared" si="3"/>
        <v>14</v>
      </c>
      <c r="H16" s="63">
        <f t="shared" si="4"/>
        <v>28</v>
      </c>
      <c r="I16" s="63">
        <f t="shared" si="5"/>
        <v>0.9589145680901362</v>
      </c>
      <c r="J16" s="63">
        <f t="shared" si="6"/>
        <v>0.11218995646029173</v>
      </c>
      <c r="K16" s="64">
        <f t="shared" si="7"/>
        <v>7.853296952220421</v>
      </c>
    </row>
    <row r="17" spans="2:15" x14ac:dyDescent="0.15">
      <c r="B17" s="63">
        <f t="shared" si="0"/>
        <v>110</v>
      </c>
      <c r="C17" s="63">
        <f t="shared" si="1"/>
        <v>115</v>
      </c>
      <c r="D17" s="63">
        <v>4</v>
      </c>
      <c r="E17" s="63">
        <f t="shared" si="2"/>
        <v>112.5</v>
      </c>
      <c r="F17" s="63">
        <v>3</v>
      </c>
      <c r="G17" s="63">
        <f t="shared" si="3"/>
        <v>12</v>
      </c>
      <c r="H17" s="63">
        <f t="shared" si="4"/>
        <v>36</v>
      </c>
      <c r="I17" s="63">
        <f t="shared" si="5"/>
        <v>0.9929355066895893</v>
      </c>
      <c r="J17" s="63">
        <f t="shared" si="6"/>
        <v>3.4020938599453099E-2</v>
      </c>
      <c r="K17" s="64">
        <f t="shared" si="7"/>
        <v>2.3814657019617167</v>
      </c>
    </row>
    <row r="18" spans="2:15" x14ac:dyDescent="0.15">
      <c r="D18" s="63">
        <f>SUM(D11:D17)</f>
        <v>70</v>
      </c>
      <c r="G18" s="63">
        <f>SUM(G11:G17)</f>
        <v>5</v>
      </c>
      <c r="H18" s="63">
        <f>SUM(H11:H17)</f>
        <v>137</v>
      </c>
      <c r="I18" s="26"/>
      <c r="J18" s="26"/>
    </row>
    <row r="20" spans="2:15" x14ac:dyDescent="0.15">
      <c r="B20" s="26" t="s">
        <v>166</v>
      </c>
      <c r="C20" s="26"/>
      <c r="D20" s="14">
        <f>E14+((G18*D7)/D18)</f>
        <v>97.857142857142861</v>
      </c>
    </row>
    <row r="21" spans="2:15" x14ac:dyDescent="0.15">
      <c r="B21" s="26" t="s">
        <v>126</v>
      </c>
      <c r="C21" s="26"/>
      <c r="D21" s="14">
        <f>D7*(SQRT((H18/D18)-((G18^2)/(D18^2))))</f>
        <v>6.9857727137492285</v>
      </c>
      <c r="N21" s="243" t="s">
        <v>81</v>
      </c>
      <c r="O21" s="236" t="s">
        <v>573</v>
      </c>
    </row>
    <row r="22" spans="2:15" x14ac:dyDescent="0.15">
      <c r="N22" s="243" t="s">
        <v>82</v>
      </c>
      <c r="O22" s="236" t="s">
        <v>574</v>
      </c>
    </row>
    <row r="23" spans="2:15" ht="16" x14ac:dyDescent="0.2">
      <c r="B23" s="295" t="s">
        <v>86</v>
      </c>
      <c r="C23" s="295"/>
      <c r="D23" s="295"/>
      <c r="E23" s="295"/>
      <c r="F23" s="295"/>
      <c r="N23"/>
      <c r="O23"/>
    </row>
    <row r="24" spans="2:15" ht="16" x14ac:dyDescent="0.2">
      <c r="B24" s="26" t="s">
        <v>77</v>
      </c>
      <c r="C24" s="26" t="s">
        <v>79</v>
      </c>
      <c r="D24" s="26" t="s">
        <v>91</v>
      </c>
      <c r="E24" s="26" t="s">
        <v>167</v>
      </c>
      <c r="F24" s="55" t="s">
        <v>136</v>
      </c>
      <c r="N24" s="61" t="s">
        <v>217</v>
      </c>
      <c r="O24" s="240" t="s">
        <v>559</v>
      </c>
    </row>
    <row r="25" spans="2:15" x14ac:dyDescent="0.15">
      <c r="B25" s="13">
        <f>D12+D11</f>
        <v>9</v>
      </c>
      <c r="C25" s="65">
        <f>K11+K12</f>
        <v>9.1245475560710787</v>
      </c>
      <c r="D25" s="65">
        <f>B25-C25</f>
        <v>-0.1245475560710787</v>
      </c>
      <c r="E25" s="14">
        <f>D25^2</f>
        <v>1.5512093723278494E-2</v>
      </c>
      <c r="F25" s="13">
        <f>E25/C25</f>
        <v>1.7000397694192978E-3</v>
      </c>
    </row>
    <row r="26" spans="2:15" x14ac:dyDescent="0.15">
      <c r="B26" s="13">
        <f>D13</f>
        <v>11</v>
      </c>
      <c r="C26" s="65">
        <f>K13</f>
        <v>14.764480974412042</v>
      </c>
      <c r="D26" s="65">
        <f>B26-C26</f>
        <v>-3.7644809744120415</v>
      </c>
      <c r="E26" s="14">
        <f>D26^2</f>
        <v>14.171317006710234</v>
      </c>
      <c r="F26" s="13">
        <f>E26/C26</f>
        <v>0.95982493602519414</v>
      </c>
    </row>
    <row r="27" spans="2:15" x14ac:dyDescent="0.15">
      <c r="B27" s="13">
        <f>D14</f>
        <v>28</v>
      </c>
      <c r="C27" s="65">
        <f>K14</f>
        <v>19.544683847002911</v>
      </c>
      <c r="D27" s="65">
        <f>B27-C27</f>
        <v>8.4553161529970886</v>
      </c>
      <c r="E27" s="14">
        <f>D27^2</f>
        <v>71.492371247133491</v>
      </c>
      <c r="F27" s="13">
        <f>E27/C27</f>
        <v>3.6578934613002971</v>
      </c>
    </row>
    <row r="28" spans="2:15" x14ac:dyDescent="0.15">
      <c r="B28" s="13">
        <f>D15</f>
        <v>11</v>
      </c>
      <c r="C28" s="65">
        <f>K15</f>
        <v>15.83701043660308</v>
      </c>
      <c r="D28" s="65">
        <f>B28-C28</f>
        <v>-4.8370104366030802</v>
      </c>
      <c r="E28" s="14">
        <f>D28^2</f>
        <v>23.39666996380712</v>
      </c>
      <c r="F28" s="13">
        <f>E28/C28</f>
        <v>1.477341323822827</v>
      </c>
    </row>
    <row r="29" spans="2:15" x14ac:dyDescent="0.15">
      <c r="B29" s="13">
        <f>D16+D17</f>
        <v>11</v>
      </c>
      <c r="C29" s="65">
        <f>K16+K17</f>
        <v>10.234762654182138</v>
      </c>
      <c r="D29" s="65">
        <f>B29-C29</f>
        <v>0.76523734581786229</v>
      </c>
      <c r="E29" s="14">
        <f>D29^2</f>
        <v>0.58558819543436658</v>
      </c>
      <c r="F29" s="13">
        <f>E29/C29</f>
        <v>5.7215610681023758E-2</v>
      </c>
    </row>
    <row r="30" spans="2:15" x14ac:dyDescent="0.15">
      <c r="E30" s="13" t="s">
        <v>81</v>
      </c>
      <c r="F30" s="13">
        <f>SUM(F25:F29)</f>
        <v>6.1539753715987615</v>
      </c>
    </row>
    <row r="32" spans="2:15" x14ac:dyDescent="0.15">
      <c r="E32" s="13" t="s">
        <v>97</v>
      </c>
      <c r="F32" s="13">
        <f>5-1-2</f>
        <v>2</v>
      </c>
    </row>
    <row r="33" spans="2:6" x14ac:dyDescent="0.15">
      <c r="B33" s="147"/>
      <c r="C33" s="147"/>
      <c r="D33" s="147"/>
      <c r="E33" s="147" t="s">
        <v>168</v>
      </c>
      <c r="F33" s="147">
        <v>7.8140000000000001</v>
      </c>
    </row>
    <row r="35" spans="2:6" ht="14" thickBot="1" x14ac:dyDescent="0.2"/>
    <row r="36" spans="2:6" x14ac:dyDescent="0.15">
      <c r="B36" s="283" t="s">
        <v>236</v>
      </c>
      <c r="C36" s="284"/>
      <c r="D36" s="284"/>
      <c r="E36" s="284"/>
      <c r="F36" s="285"/>
    </row>
    <row r="37" spans="2:6" x14ac:dyDescent="0.15">
      <c r="B37" s="286"/>
      <c r="C37" s="287"/>
      <c r="D37" s="287"/>
      <c r="E37" s="287"/>
      <c r="F37" s="288"/>
    </row>
    <row r="38" spans="2:6" x14ac:dyDescent="0.15">
      <c r="B38" s="286"/>
      <c r="C38" s="287"/>
      <c r="D38" s="287"/>
      <c r="E38" s="287"/>
      <c r="F38" s="288"/>
    </row>
    <row r="39" spans="2:6" ht="14" thickBot="1" x14ac:dyDescent="0.2">
      <c r="B39" s="289"/>
      <c r="C39" s="290"/>
      <c r="D39" s="290"/>
      <c r="E39" s="290"/>
      <c r="F39" s="291"/>
    </row>
    <row r="41" spans="2:6" ht="14" thickBot="1" x14ac:dyDescent="0.2"/>
    <row r="42" spans="2:6" ht="16" x14ac:dyDescent="0.2">
      <c r="B42" s="124" t="s">
        <v>219</v>
      </c>
      <c r="C42" s="125"/>
      <c r="D42" s="125"/>
      <c r="E42" s="95" t="s">
        <v>222</v>
      </c>
    </row>
    <row r="43" spans="2:6" ht="16" x14ac:dyDescent="0.2">
      <c r="B43" s="96" t="s">
        <v>226</v>
      </c>
      <c r="C43" s="4"/>
      <c r="D43" s="4"/>
      <c r="E43" s="97" t="s">
        <v>203</v>
      </c>
    </row>
    <row r="44" spans="2:6" ht="17" thickBot="1" x14ac:dyDescent="0.25">
      <c r="B44" s="98" t="s">
        <v>227</v>
      </c>
      <c r="C44" s="126"/>
      <c r="D44" s="126"/>
      <c r="E44" s="99" t="s">
        <v>196</v>
      </c>
    </row>
  </sheetData>
  <mergeCells count="2">
    <mergeCell ref="B23:F23"/>
    <mergeCell ref="B36:F39"/>
  </mergeCells>
  <pageMargins left="0.75" right="0.75" top="1" bottom="1" header="0.5" footer="0.5"/>
  <pageSetup paperSize="0" orientation="portrait" horizontalDpi="4294967292" verticalDpi="4294967292"/>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EBE64-7EEE-5B4F-98D1-B582D3094AC8}">
  <dimension ref="A1:L17"/>
  <sheetViews>
    <sheetView zoomScale="150" zoomScaleNormal="150" zoomScalePageLayoutView="150" workbookViewId="0">
      <selection activeCell="K4" sqref="K4:L7"/>
    </sheetView>
  </sheetViews>
  <sheetFormatPr baseColWidth="10" defaultColWidth="8.83203125" defaultRowHeight="13" x14ac:dyDescent="0.15"/>
  <cols>
    <col min="1" max="1" width="15" style="51" customWidth="1"/>
    <col min="2" max="2" width="17.33203125" style="51" customWidth="1"/>
    <col min="3" max="3" width="12.6640625" style="51" customWidth="1"/>
    <col min="4" max="4" width="8.83203125" style="51" customWidth="1"/>
    <col min="5" max="5" width="11.5" style="51" customWidth="1"/>
    <col min="6" max="6" width="12.5" style="51" customWidth="1"/>
    <col min="7" max="7" width="11.5" style="51" customWidth="1"/>
    <col min="8" max="9" width="8.83203125" style="51"/>
    <col min="10" max="10" width="17" style="51" customWidth="1"/>
    <col min="11" max="11" width="14" style="51" customWidth="1"/>
    <col min="12" max="12" width="46" style="51" customWidth="1"/>
    <col min="13" max="16384" width="8.83203125" style="51"/>
  </cols>
  <sheetData>
    <row r="1" spans="1:12" ht="28" x14ac:dyDescent="0.3">
      <c r="A1" s="66" t="s">
        <v>169</v>
      </c>
      <c r="B1" s="52">
        <v>0.05</v>
      </c>
      <c r="C1" s="67" t="s">
        <v>170</v>
      </c>
      <c r="D1" s="53">
        <v>0.4</v>
      </c>
    </row>
    <row r="2" spans="1:12" ht="44.25" customHeight="1" x14ac:dyDescent="0.15">
      <c r="A2" s="54" t="s">
        <v>171</v>
      </c>
      <c r="B2" s="54" t="s">
        <v>172</v>
      </c>
      <c r="C2" s="51" t="s">
        <v>78</v>
      </c>
      <c r="D2" s="52" t="s">
        <v>173</v>
      </c>
      <c r="E2" s="51" t="s">
        <v>174</v>
      </c>
      <c r="F2" s="52" t="s">
        <v>77</v>
      </c>
      <c r="G2" s="52" t="s">
        <v>175</v>
      </c>
    </row>
    <row r="3" spans="1:12" x14ac:dyDescent="0.15">
      <c r="A3" s="52">
        <v>0</v>
      </c>
      <c r="B3" s="52">
        <v>10</v>
      </c>
      <c r="C3" s="52">
        <f>BINOMDIST(A3,5,D1,FALSE)</f>
        <v>7.7759999999999996E-2</v>
      </c>
      <c r="D3" s="53">
        <f t="shared" ref="D3:D8" si="0">+C3*$B$9</f>
        <v>10.8864</v>
      </c>
      <c r="E3" s="52">
        <v>10.89</v>
      </c>
      <c r="F3" s="52">
        <f>+B3</f>
        <v>10</v>
      </c>
      <c r="G3" s="68">
        <f>(POWER(E3-F3,2))/E3</f>
        <v>7.2736455463728283E-2</v>
      </c>
    </row>
    <row r="4" spans="1:12" x14ac:dyDescent="0.15">
      <c r="A4" s="52">
        <v>1</v>
      </c>
      <c r="B4" s="52">
        <v>41</v>
      </c>
      <c r="C4" s="52">
        <f>BINOMDIST(A4,5,0.4,FALSE)</f>
        <v>0.25919999999999999</v>
      </c>
      <c r="D4" s="53">
        <f t="shared" si="0"/>
        <v>36.287999999999997</v>
      </c>
      <c r="E4" s="52">
        <v>36.29</v>
      </c>
      <c r="F4" s="52">
        <f>+B4</f>
        <v>41</v>
      </c>
      <c r="G4" s="68">
        <f t="shared" ref="G4:G7" si="1">(POWER(E4-F4,2))/E4</f>
        <v>0.6113006337834116</v>
      </c>
      <c r="K4" s="243" t="s">
        <v>81</v>
      </c>
      <c r="L4" s="236" t="s">
        <v>575</v>
      </c>
    </row>
    <row r="5" spans="1:12" x14ac:dyDescent="0.15">
      <c r="A5" s="52">
        <v>2</v>
      </c>
      <c r="B5" s="52">
        <v>60</v>
      </c>
      <c r="C5" s="52">
        <f t="shared" ref="C5:C8" si="2">BINOMDIST(A5,5,0.4,FALSE)</f>
        <v>0.34559999999999996</v>
      </c>
      <c r="D5" s="53">
        <f t="shared" si="0"/>
        <v>48.383999999999993</v>
      </c>
      <c r="E5" s="52">
        <v>48.38</v>
      </c>
      <c r="F5" s="52">
        <f>+B5</f>
        <v>60</v>
      </c>
      <c r="G5" s="68">
        <f t="shared" si="1"/>
        <v>2.7909136006614288</v>
      </c>
      <c r="K5" s="243" t="s">
        <v>82</v>
      </c>
      <c r="L5" s="236" t="s">
        <v>576</v>
      </c>
    </row>
    <row r="6" spans="1:12" ht="16" x14ac:dyDescent="0.2">
      <c r="A6" s="52">
        <v>3</v>
      </c>
      <c r="B6" s="52">
        <v>20</v>
      </c>
      <c r="C6" s="52">
        <f t="shared" si="2"/>
        <v>0.23039999999999999</v>
      </c>
      <c r="D6" s="53">
        <f t="shared" si="0"/>
        <v>32.256</v>
      </c>
      <c r="E6" s="53">
        <f>+D6</f>
        <v>32.256</v>
      </c>
      <c r="F6" s="52">
        <f>+B6</f>
        <v>20</v>
      </c>
      <c r="G6" s="68">
        <f t="shared" si="1"/>
        <v>4.6567936507936514</v>
      </c>
      <c r="K6"/>
      <c r="L6"/>
    </row>
    <row r="7" spans="1:12" x14ac:dyDescent="0.15">
      <c r="A7" s="52">
        <v>4</v>
      </c>
      <c r="B7" s="52">
        <v>6</v>
      </c>
      <c r="C7" s="52">
        <f t="shared" si="2"/>
        <v>7.6799999999999993E-2</v>
      </c>
      <c r="D7" s="53">
        <f t="shared" si="0"/>
        <v>10.751999999999999</v>
      </c>
      <c r="E7" s="53">
        <f>+D7+D8</f>
        <v>12.185600000000001</v>
      </c>
      <c r="F7" s="52">
        <f>+B7+B8</f>
        <v>9</v>
      </c>
      <c r="G7" s="68">
        <f t="shared" si="1"/>
        <v>0.83279012605042047</v>
      </c>
      <c r="K7" s="61" t="s">
        <v>217</v>
      </c>
      <c r="L7" s="240" t="s">
        <v>559</v>
      </c>
    </row>
    <row r="8" spans="1:12" x14ac:dyDescent="0.15">
      <c r="A8" s="52">
        <v>5</v>
      </c>
      <c r="B8" s="52">
        <v>3</v>
      </c>
      <c r="C8" s="52">
        <f t="shared" si="2"/>
        <v>1.0240000000000008E-2</v>
      </c>
      <c r="D8" s="53">
        <f t="shared" si="0"/>
        <v>1.4336000000000011</v>
      </c>
      <c r="F8" s="51" t="s">
        <v>81</v>
      </c>
      <c r="G8" s="68">
        <f>SUM(G3:G7)</f>
        <v>8.9645344667526405</v>
      </c>
    </row>
    <row r="9" spans="1:12" x14ac:dyDescent="0.15">
      <c r="B9" s="52">
        <f>SUM(B3:B8)</f>
        <v>140</v>
      </c>
      <c r="F9" s="51" t="s">
        <v>82</v>
      </c>
      <c r="G9" s="52">
        <v>11.07</v>
      </c>
    </row>
    <row r="11" spans="1:12" ht="16" x14ac:dyDescent="0.2">
      <c r="A11" s="133" t="s">
        <v>176</v>
      </c>
    </row>
    <row r="12" spans="1:12" ht="16" x14ac:dyDescent="0.2">
      <c r="A12" s="133" t="s">
        <v>177</v>
      </c>
    </row>
    <row r="14" spans="1:12" ht="14" thickBot="1" x14ac:dyDescent="0.2"/>
    <row r="15" spans="1:12" ht="16" x14ac:dyDescent="0.2">
      <c r="B15" s="124" t="s">
        <v>219</v>
      </c>
      <c r="C15" s="125"/>
      <c r="D15" s="125"/>
      <c r="E15" s="95" t="s">
        <v>222</v>
      </c>
    </row>
    <row r="16" spans="1:12" ht="16" x14ac:dyDescent="0.2">
      <c r="B16" s="96" t="s">
        <v>226</v>
      </c>
      <c r="C16" s="4"/>
      <c r="D16" s="4"/>
      <c r="E16" s="97" t="s">
        <v>203</v>
      </c>
    </row>
    <row r="17" spans="2:5" ht="17" thickBot="1" x14ac:dyDescent="0.25">
      <c r="B17" s="98" t="s">
        <v>227</v>
      </c>
      <c r="C17" s="126"/>
      <c r="D17" s="126"/>
      <c r="E17" s="99" t="s">
        <v>196</v>
      </c>
    </row>
  </sheetData>
  <pageMargins left="0.75" right="0.75" top="1" bottom="1" header="0.5" footer="0.5"/>
  <pageSetup orientation="portrait" horizontalDpi="4294967293" verticalDpi="429496729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F3F3-0618-4146-97A3-74E619E54789}">
  <dimension ref="B37:F42"/>
  <sheetViews>
    <sheetView zoomScaleNormal="100" workbookViewId="0">
      <selection activeCell="H39" sqref="H39"/>
    </sheetView>
  </sheetViews>
  <sheetFormatPr baseColWidth="10" defaultRowHeight="16" x14ac:dyDescent="0.2"/>
  <cols>
    <col min="2" max="2" width="13.1640625" customWidth="1"/>
    <col min="2000" max="2000" width="2.5" customWidth="1"/>
  </cols>
  <sheetData>
    <row r="37" spans="2:6" ht="17" thickBot="1" x14ac:dyDescent="0.25"/>
    <row r="38" spans="2:6" ht="21" x14ac:dyDescent="0.25">
      <c r="B38" s="80" t="s">
        <v>205</v>
      </c>
      <c r="C38" s="81" t="s">
        <v>194</v>
      </c>
      <c r="D38" s="81"/>
      <c r="E38" s="81"/>
      <c r="F38" s="100" t="s">
        <v>196</v>
      </c>
    </row>
    <row r="39" spans="2:6" ht="19" x14ac:dyDescent="0.25">
      <c r="B39" s="83" t="s">
        <v>206</v>
      </c>
      <c r="C39" s="79"/>
      <c r="D39" s="79"/>
      <c r="E39" s="79"/>
      <c r="F39" s="248" t="s">
        <v>196</v>
      </c>
    </row>
    <row r="40" spans="2:6" ht="20" thickBot="1" x14ac:dyDescent="0.3">
      <c r="B40" s="85" t="s">
        <v>195</v>
      </c>
      <c r="C40" s="86"/>
      <c r="D40" s="86"/>
      <c r="E40" s="86"/>
      <c r="F40" s="249"/>
    </row>
    <row r="41" spans="2:6" ht="19" x14ac:dyDescent="0.25">
      <c r="B41" s="79"/>
      <c r="C41" s="79"/>
      <c r="D41" s="79"/>
      <c r="E41" s="79"/>
    </row>
    <row r="42" spans="2:6" ht="19" x14ac:dyDescent="0.25">
      <c r="B42" s="79"/>
      <c r="C42" s="79"/>
      <c r="D42" s="79"/>
      <c r="E42" s="79"/>
    </row>
  </sheetData>
  <mergeCells count="1">
    <mergeCell ref="F39:F40"/>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94A04-B488-3448-B38E-BE838828835B}">
  <dimension ref="B2:V144"/>
  <sheetViews>
    <sheetView zoomScale="101" workbookViewId="0">
      <selection activeCell="C25" sqref="C25"/>
    </sheetView>
  </sheetViews>
  <sheetFormatPr baseColWidth="10" defaultRowHeight="16" x14ac:dyDescent="0.2"/>
  <cols>
    <col min="5" max="5" width="10.5" customWidth="1"/>
    <col min="6" max="6" width="13.5" customWidth="1"/>
    <col min="9" max="9" width="12.5" customWidth="1"/>
    <col min="10" max="10" width="11.33203125" customWidth="1"/>
    <col min="12" max="12" width="12.6640625" customWidth="1"/>
    <col min="21" max="21" width="18.5" customWidth="1"/>
    <col min="22" max="22" width="43.1640625" customWidth="1"/>
    <col min="2000" max="2000" width="2.5" customWidth="1"/>
  </cols>
  <sheetData>
    <row r="2" spans="2:14" ht="19" x14ac:dyDescent="0.2">
      <c r="B2" s="70">
        <v>99</v>
      </c>
      <c r="C2" s="70">
        <v>101</v>
      </c>
      <c r="D2" s="70">
        <v>98</v>
      </c>
      <c r="E2" s="70">
        <v>99</v>
      </c>
      <c r="F2" s="70">
        <v>101</v>
      </c>
      <c r="G2" s="70">
        <v>101</v>
      </c>
      <c r="H2" s="70">
        <v>102</v>
      </c>
      <c r="I2" s="70">
        <v>101</v>
      </c>
      <c r="J2" s="70">
        <v>99</v>
      </c>
      <c r="K2" s="70">
        <v>99</v>
      </c>
    </row>
    <row r="3" spans="2:14" ht="19" x14ac:dyDescent="0.2">
      <c r="B3" s="70">
        <v>100</v>
      </c>
      <c r="C3" s="70">
        <v>99</v>
      </c>
      <c r="D3" s="70">
        <v>99</v>
      </c>
      <c r="E3" s="70">
        <v>99</v>
      </c>
      <c r="F3" s="70">
        <v>100</v>
      </c>
      <c r="G3" s="70">
        <v>99</v>
      </c>
      <c r="H3" s="70">
        <v>101</v>
      </c>
      <c r="I3" s="70">
        <v>99</v>
      </c>
      <c r="J3" s="70">
        <v>100</v>
      </c>
      <c r="K3" s="70">
        <v>99</v>
      </c>
    </row>
    <row r="4" spans="2:14" ht="19" x14ac:dyDescent="0.2">
      <c r="B4" s="70">
        <v>99</v>
      </c>
      <c r="C4" s="70">
        <v>99</v>
      </c>
      <c r="D4" s="70">
        <v>98</v>
      </c>
      <c r="E4" s="70">
        <v>98</v>
      </c>
      <c r="F4" s="70">
        <v>100</v>
      </c>
      <c r="G4" s="70">
        <v>102</v>
      </c>
      <c r="H4" s="70">
        <v>103</v>
      </c>
      <c r="I4" s="70">
        <v>98</v>
      </c>
      <c r="J4" s="70">
        <v>99</v>
      </c>
      <c r="K4" s="70">
        <v>100</v>
      </c>
    </row>
    <row r="5" spans="2:14" ht="19" x14ac:dyDescent="0.2">
      <c r="B5" s="70">
        <v>98</v>
      </c>
      <c r="C5" s="70">
        <v>101</v>
      </c>
      <c r="D5" s="70">
        <v>100</v>
      </c>
      <c r="E5" s="70">
        <v>98</v>
      </c>
      <c r="F5" s="70">
        <v>99</v>
      </c>
      <c r="G5" s="70">
        <v>100</v>
      </c>
      <c r="H5" s="70">
        <v>102</v>
      </c>
      <c r="I5" s="70">
        <v>98</v>
      </c>
      <c r="J5" s="70">
        <v>100</v>
      </c>
      <c r="K5" s="70">
        <v>99</v>
      </c>
    </row>
    <row r="6" spans="2:14" ht="19" x14ac:dyDescent="0.2">
      <c r="B6" s="70">
        <v>100</v>
      </c>
      <c r="C6" s="70">
        <v>99</v>
      </c>
      <c r="D6" s="70">
        <v>98</v>
      </c>
      <c r="E6" s="70">
        <v>99</v>
      </c>
      <c r="F6" s="70">
        <v>101</v>
      </c>
      <c r="G6" s="70">
        <v>99</v>
      </c>
      <c r="H6" s="70">
        <v>101</v>
      </c>
      <c r="I6" s="70">
        <v>100</v>
      </c>
      <c r="J6" s="70">
        <v>97</v>
      </c>
      <c r="K6" s="70">
        <v>101</v>
      </c>
    </row>
    <row r="7" spans="2:14" ht="19" x14ac:dyDescent="0.2">
      <c r="B7" s="70">
        <v>99</v>
      </c>
      <c r="C7" s="70">
        <v>100</v>
      </c>
      <c r="D7" s="70">
        <v>99</v>
      </c>
      <c r="E7" s="70">
        <v>97</v>
      </c>
      <c r="F7" s="70">
        <v>100</v>
      </c>
      <c r="G7" s="70">
        <v>100</v>
      </c>
      <c r="H7" s="70">
        <v>100</v>
      </c>
      <c r="I7" s="70">
        <v>101</v>
      </c>
      <c r="J7" s="70">
        <v>99</v>
      </c>
      <c r="K7" s="70">
        <v>100</v>
      </c>
    </row>
    <row r="8" spans="2:14" ht="19" x14ac:dyDescent="0.2">
      <c r="B8" s="70">
        <v>101</v>
      </c>
      <c r="C8" s="70">
        <v>103</v>
      </c>
      <c r="D8" s="70">
        <v>101</v>
      </c>
      <c r="E8" s="70">
        <v>99</v>
      </c>
      <c r="F8" s="70">
        <v>99</v>
      </c>
      <c r="G8" s="70">
        <v>98</v>
      </c>
      <c r="H8" s="70">
        <v>100</v>
      </c>
      <c r="I8" s="70">
        <v>99</v>
      </c>
      <c r="J8" s="70">
        <v>101</v>
      </c>
      <c r="K8" s="70">
        <v>98</v>
      </c>
    </row>
    <row r="9" spans="2:14" ht="19" x14ac:dyDescent="0.2">
      <c r="B9" s="70">
        <v>98</v>
      </c>
      <c r="C9" s="70">
        <v>99</v>
      </c>
      <c r="D9" s="70">
        <v>99</v>
      </c>
      <c r="E9" s="70">
        <v>96</v>
      </c>
      <c r="F9" s="70">
        <v>100</v>
      </c>
      <c r="G9" s="148">
        <v>96</v>
      </c>
      <c r="H9" s="70">
        <v>99</v>
      </c>
      <c r="I9" s="70">
        <v>97</v>
      </c>
      <c r="J9" s="70">
        <v>100</v>
      </c>
      <c r="K9" s="70">
        <v>99</v>
      </c>
    </row>
    <row r="11" spans="2:14" x14ac:dyDescent="0.2">
      <c r="B11" s="29" t="s">
        <v>238</v>
      </c>
      <c r="C11" s="29">
        <f>MAX(B2:K9)-MIN(B2:K9)</f>
        <v>7</v>
      </c>
      <c r="F11" s="29" t="s">
        <v>244</v>
      </c>
      <c r="G11" s="29" t="s">
        <v>245</v>
      </c>
      <c r="H11" s="29" t="s">
        <v>77</v>
      </c>
      <c r="I11" s="29" t="s">
        <v>263</v>
      </c>
      <c r="J11" s="29" t="s">
        <v>251</v>
      </c>
      <c r="K11" s="29" t="s">
        <v>254</v>
      </c>
      <c r="L11" s="29" t="s">
        <v>90</v>
      </c>
      <c r="M11" s="29" t="s">
        <v>255</v>
      </c>
      <c r="N11" s="29" t="s">
        <v>256</v>
      </c>
    </row>
    <row r="12" spans="2:14" x14ac:dyDescent="0.2">
      <c r="B12" s="29" t="s">
        <v>239</v>
      </c>
      <c r="C12" s="31">
        <f>1+(3.3*LOG(80))</f>
        <v>7.2801969570734135</v>
      </c>
      <c r="D12" s="2">
        <f>ROUNDUP(C12,0)</f>
        <v>8</v>
      </c>
      <c r="F12" s="29">
        <f>MIN(B2:K9)-C16</f>
        <v>95.5</v>
      </c>
      <c r="G12" s="29">
        <f>+F12+$D$13</f>
        <v>96.5</v>
      </c>
      <c r="H12" s="29">
        <f>COUNTIFS(B2:K9,"&lt;96.5")</f>
        <v>2</v>
      </c>
      <c r="I12" s="33">
        <f t="shared" ref="I12:I19" si="0">+H12/$C$17</f>
        <v>2.5000000000000001E-2</v>
      </c>
      <c r="J12" s="29">
        <f>+H12</f>
        <v>2</v>
      </c>
      <c r="K12" s="29">
        <f t="shared" ref="K12:K19" si="1">+(F12+G12)/2</f>
        <v>96</v>
      </c>
      <c r="L12" s="29">
        <v>-3</v>
      </c>
      <c r="M12" s="29">
        <f t="shared" ref="M12:M19" si="2">+H12*L12</f>
        <v>-6</v>
      </c>
      <c r="N12" s="29">
        <f t="shared" ref="N12:N19" si="3">H12*(L12^2)</f>
        <v>18</v>
      </c>
    </row>
    <row r="13" spans="2:14" x14ac:dyDescent="0.2">
      <c r="B13" s="29" t="s">
        <v>240</v>
      </c>
      <c r="C13" s="29">
        <f>+C11/D12</f>
        <v>0.875</v>
      </c>
      <c r="D13">
        <f>ROUNDUP(C13,0)</f>
        <v>1</v>
      </c>
      <c r="F13" s="29">
        <f>+G12</f>
        <v>96.5</v>
      </c>
      <c r="G13" s="29">
        <f>+F13+$D$13</f>
        <v>97.5</v>
      </c>
      <c r="H13" s="29">
        <f>COUNTIFS(B2:K9,"&lt;97.5",B2:K9,"&gt;96.5")</f>
        <v>3</v>
      </c>
      <c r="I13" s="33">
        <f t="shared" si="0"/>
        <v>3.7499999999999999E-2</v>
      </c>
      <c r="J13" s="29">
        <f t="shared" ref="J13:J19" si="4">+J12+H13</f>
        <v>5</v>
      </c>
      <c r="K13" s="29">
        <f t="shared" si="1"/>
        <v>97</v>
      </c>
      <c r="L13" s="29">
        <v>-2</v>
      </c>
      <c r="M13" s="29">
        <f t="shared" si="2"/>
        <v>-6</v>
      </c>
      <c r="N13" s="29">
        <f t="shared" si="3"/>
        <v>12</v>
      </c>
    </row>
    <row r="14" spans="2:14" x14ac:dyDescent="0.2">
      <c r="B14" s="29" t="s">
        <v>241</v>
      </c>
      <c r="C14" s="29">
        <f>+D13*D12</f>
        <v>8</v>
      </c>
      <c r="F14" s="29">
        <f t="shared" ref="F14:F19" si="5">+G13</f>
        <v>97.5</v>
      </c>
      <c r="G14" s="29">
        <f t="shared" ref="G14:G19" si="6">+F14+$D$13</f>
        <v>98.5</v>
      </c>
      <c r="H14" s="29">
        <f>COUNTIFS(B2:K9,"&lt;98.5",B2:K9,"&gt;97.5")</f>
        <v>11</v>
      </c>
      <c r="I14" s="33">
        <f t="shared" si="0"/>
        <v>0.13750000000000001</v>
      </c>
      <c r="J14" s="29">
        <f t="shared" si="4"/>
        <v>16</v>
      </c>
      <c r="K14" s="29">
        <f t="shared" si="1"/>
        <v>98</v>
      </c>
      <c r="L14" s="29">
        <v>-1</v>
      </c>
      <c r="M14" s="29">
        <f t="shared" si="2"/>
        <v>-11</v>
      </c>
      <c r="N14" s="29">
        <f t="shared" si="3"/>
        <v>11</v>
      </c>
    </row>
    <row r="15" spans="2:14" x14ac:dyDescent="0.2">
      <c r="B15" s="29" t="s">
        <v>242</v>
      </c>
      <c r="C15" s="29">
        <f>+C14-C11</f>
        <v>1</v>
      </c>
      <c r="F15" s="29">
        <f t="shared" si="5"/>
        <v>98.5</v>
      </c>
      <c r="G15" s="29">
        <f t="shared" si="6"/>
        <v>99.5</v>
      </c>
      <c r="H15" s="29">
        <f>COUNTIFS(B2:K9,"&lt;99.5",B2:K9,"&gt;98.5")</f>
        <v>28</v>
      </c>
      <c r="I15" s="33">
        <f t="shared" si="0"/>
        <v>0.35</v>
      </c>
      <c r="J15" s="29">
        <f t="shared" si="4"/>
        <v>44</v>
      </c>
      <c r="K15" s="29">
        <f t="shared" si="1"/>
        <v>99</v>
      </c>
      <c r="L15" s="29">
        <v>0</v>
      </c>
      <c r="M15" s="29">
        <f t="shared" si="2"/>
        <v>0</v>
      </c>
      <c r="N15" s="29">
        <f t="shared" si="3"/>
        <v>0</v>
      </c>
    </row>
    <row r="16" spans="2:14" x14ac:dyDescent="0.2">
      <c r="B16" s="29" t="s">
        <v>243</v>
      </c>
      <c r="C16" s="29">
        <f>+C15/2</f>
        <v>0.5</v>
      </c>
      <c r="F16" s="29">
        <f t="shared" si="5"/>
        <v>99.5</v>
      </c>
      <c r="G16" s="29">
        <f t="shared" si="6"/>
        <v>100.5</v>
      </c>
      <c r="H16" s="29">
        <f>COUNTIFS(B2:K9,"&lt;100.5",B2:K9,"&gt;99.5")</f>
        <v>18</v>
      </c>
      <c r="I16" s="33">
        <f t="shared" si="0"/>
        <v>0.22500000000000001</v>
      </c>
      <c r="J16" s="29">
        <f t="shared" si="4"/>
        <v>62</v>
      </c>
      <c r="K16" s="29">
        <f t="shared" si="1"/>
        <v>100</v>
      </c>
      <c r="L16" s="29">
        <v>1</v>
      </c>
      <c r="M16" s="29">
        <f t="shared" si="2"/>
        <v>18</v>
      </c>
      <c r="N16" s="29">
        <f t="shared" si="3"/>
        <v>18</v>
      </c>
    </row>
    <row r="17" spans="2:22" x14ac:dyDescent="0.2">
      <c r="B17" s="29" t="s">
        <v>250</v>
      </c>
      <c r="C17" s="29">
        <f>COUNT(B2:K9)</f>
        <v>80</v>
      </c>
      <c r="F17" s="29">
        <f t="shared" si="5"/>
        <v>100.5</v>
      </c>
      <c r="G17" s="29">
        <f t="shared" si="6"/>
        <v>101.5</v>
      </c>
      <c r="H17" s="29">
        <f>COUNTIFS(B2:K9,"&lt;101.5",B2:K9,"&gt;100.5")</f>
        <v>13</v>
      </c>
      <c r="I17" s="33">
        <f t="shared" si="0"/>
        <v>0.16250000000000001</v>
      </c>
      <c r="J17" s="29">
        <f t="shared" si="4"/>
        <v>75</v>
      </c>
      <c r="K17" s="29">
        <f t="shared" si="1"/>
        <v>101</v>
      </c>
      <c r="L17" s="29">
        <v>2</v>
      </c>
      <c r="M17" s="29">
        <f t="shared" si="2"/>
        <v>26</v>
      </c>
      <c r="N17" s="29">
        <f t="shared" si="3"/>
        <v>52</v>
      </c>
    </row>
    <row r="18" spans="2:22" x14ac:dyDescent="0.2">
      <c r="B18" s="29"/>
      <c r="C18" s="29"/>
      <c r="F18" s="29">
        <f t="shared" si="5"/>
        <v>101.5</v>
      </c>
      <c r="G18" s="29">
        <f t="shared" si="6"/>
        <v>102.5</v>
      </c>
      <c r="H18" s="29">
        <f>COUNTIFS(B2:K9,"&lt;102.5",B2:K9,"&gt;101.5")</f>
        <v>3</v>
      </c>
      <c r="I18" s="33">
        <f t="shared" si="0"/>
        <v>3.7499999999999999E-2</v>
      </c>
      <c r="J18" s="29">
        <f t="shared" si="4"/>
        <v>78</v>
      </c>
      <c r="K18" s="29">
        <f t="shared" si="1"/>
        <v>102</v>
      </c>
      <c r="L18" s="29">
        <v>3</v>
      </c>
      <c r="M18" s="29">
        <f t="shared" si="2"/>
        <v>9</v>
      </c>
      <c r="N18" s="29">
        <f t="shared" si="3"/>
        <v>27</v>
      </c>
    </row>
    <row r="19" spans="2:22" x14ac:dyDescent="0.2">
      <c r="B19" s="29"/>
      <c r="C19" s="29"/>
      <c r="F19" s="29">
        <f t="shared" si="5"/>
        <v>102.5</v>
      </c>
      <c r="G19" s="29">
        <f t="shared" si="6"/>
        <v>103.5</v>
      </c>
      <c r="H19" s="29">
        <f>COUNTIFS(B2:K9,"&lt;103.5",B2:K9,"&gt;102.5")</f>
        <v>2</v>
      </c>
      <c r="I19" s="33">
        <f t="shared" si="0"/>
        <v>2.5000000000000001E-2</v>
      </c>
      <c r="J19" s="29">
        <f t="shared" si="4"/>
        <v>80</v>
      </c>
      <c r="K19" s="29">
        <f t="shared" si="1"/>
        <v>103</v>
      </c>
      <c r="L19" s="29">
        <v>4</v>
      </c>
      <c r="M19" s="29">
        <f t="shared" si="2"/>
        <v>8</v>
      </c>
      <c r="N19" s="29">
        <f t="shared" si="3"/>
        <v>32</v>
      </c>
    </row>
    <row r="20" spans="2:22" ht="17" thickBot="1" x14ac:dyDescent="0.25">
      <c r="H20" s="29">
        <f>SUM(H12:H19)</f>
        <v>80</v>
      </c>
      <c r="M20" s="29">
        <f>SUM(M12:M19)</f>
        <v>38</v>
      </c>
      <c r="N20" s="29">
        <f>SUM(N12:N19)</f>
        <v>170</v>
      </c>
    </row>
    <row r="21" spans="2:22" x14ac:dyDescent="0.2">
      <c r="E21" s="46" t="s">
        <v>591</v>
      </c>
      <c r="F21" s="307" t="s">
        <v>246</v>
      </c>
      <c r="G21" s="309"/>
      <c r="T21" s="306" t="s">
        <v>329</v>
      </c>
      <c r="U21" s="306"/>
      <c r="V21" s="306"/>
    </row>
    <row r="22" spans="2:22" x14ac:dyDescent="0.2">
      <c r="F22" s="149" t="s">
        <v>247</v>
      </c>
      <c r="G22" s="150">
        <f>+H15-H14</f>
        <v>17</v>
      </c>
      <c r="H22" s="29"/>
      <c r="I22" s="29"/>
      <c r="J22" s="29"/>
      <c r="K22" s="29"/>
      <c r="L22" s="29"/>
      <c r="T22" s="306"/>
      <c r="U22" s="306"/>
      <c r="V22" s="306"/>
    </row>
    <row r="23" spans="2:22" x14ac:dyDescent="0.2">
      <c r="F23" s="149" t="s">
        <v>248</v>
      </c>
      <c r="G23" s="150">
        <f>+H15-H16</f>
        <v>10</v>
      </c>
      <c r="H23" s="29"/>
      <c r="I23" s="29"/>
      <c r="J23" s="29"/>
      <c r="K23" s="29"/>
      <c r="L23" s="29"/>
      <c r="T23" s="306"/>
      <c r="U23" s="306"/>
      <c r="V23" s="306"/>
    </row>
    <row r="24" spans="2:22" x14ac:dyDescent="0.2">
      <c r="F24" s="149" t="s">
        <v>249</v>
      </c>
      <c r="G24" s="151">
        <f>+F15+((G22/(G22+G23))*D13)</f>
        <v>99.129629629629633</v>
      </c>
      <c r="H24" s="29"/>
      <c r="I24" s="29"/>
      <c r="J24" s="29"/>
      <c r="K24" s="29"/>
      <c r="L24" s="29"/>
      <c r="T24" s="306"/>
      <c r="U24" s="306"/>
      <c r="V24" s="306"/>
    </row>
    <row r="25" spans="2:22" x14ac:dyDescent="0.2">
      <c r="F25" s="149" t="s">
        <v>253</v>
      </c>
      <c r="G25" s="150">
        <f>(C17+1)/2</f>
        <v>40.5</v>
      </c>
      <c r="H25" s="29"/>
      <c r="I25" s="29"/>
      <c r="J25" s="29"/>
      <c r="K25" s="29"/>
      <c r="L25" s="29"/>
      <c r="T25" s="306"/>
      <c r="U25" s="306"/>
      <c r="V25" s="306"/>
    </row>
    <row r="26" spans="2:22" x14ac:dyDescent="0.2">
      <c r="F26" s="149" t="s">
        <v>252</v>
      </c>
      <c r="G26" s="151">
        <f>F15+((((C17/2)-J14)/H15)*D13)</f>
        <v>99.357142857142861</v>
      </c>
      <c r="H26" s="29"/>
      <c r="I26" s="29"/>
      <c r="J26" s="29"/>
      <c r="K26" s="29"/>
      <c r="L26" s="29"/>
    </row>
    <row r="27" spans="2:22" ht="17" thickBot="1" x14ac:dyDescent="0.25">
      <c r="F27" s="152" t="s">
        <v>257</v>
      </c>
      <c r="G27" s="153">
        <f>+K15+((M20*D13)/C17)</f>
        <v>99.474999999999994</v>
      </c>
      <c r="H27" s="29"/>
      <c r="I27" s="29"/>
      <c r="J27" s="29"/>
      <c r="K27" s="29"/>
      <c r="L27" s="29"/>
    </row>
    <row r="28" spans="2:22" ht="17" thickBot="1" x14ac:dyDescent="0.25">
      <c r="F28" s="29"/>
      <c r="G28" s="29"/>
      <c r="H28" s="29"/>
      <c r="I28" s="29"/>
      <c r="J28" s="29"/>
      <c r="K28" s="29"/>
      <c r="L28" s="29"/>
      <c r="U28" t="s">
        <v>577</v>
      </c>
    </row>
    <row r="29" spans="2:22" x14ac:dyDescent="0.2">
      <c r="E29" s="46" t="s">
        <v>592</v>
      </c>
      <c r="F29" s="307" t="s">
        <v>246</v>
      </c>
      <c r="G29" s="308"/>
      <c r="H29" s="154"/>
      <c r="I29" s="154"/>
      <c r="J29" s="155"/>
      <c r="K29" s="29"/>
      <c r="L29" s="29"/>
      <c r="U29" s="243" t="s">
        <v>579</v>
      </c>
      <c r="V29" s="236" t="s">
        <v>597</v>
      </c>
    </row>
    <row r="30" spans="2:22" ht="16" customHeight="1" x14ac:dyDescent="0.2">
      <c r="F30" s="149" t="s">
        <v>302</v>
      </c>
      <c r="G30" s="31">
        <f>D13*SQRT((N20/C17)-((M20^2)/(C17^2)))</f>
        <v>1.378178145233772</v>
      </c>
      <c r="H30" s="310" t="s">
        <v>310</v>
      </c>
      <c r="I30" s="310"/>
      <c r="J30" s="311"/>
      <c r="K30" s="29"/>
      <c r="L30" s="29"/>
      <c r="U30" s="243" t="s">
        <v>580</v>
      </c>
      <c r="V30" s="236" t="s">
        <v>598</v>
      </c>
    </row>
    <row r="31" spans="2:22" x14ac:dyDescent="0.2">
      <c r="F31" s="149" t="s">
        <v>260</v>
      </c>
      <c r="G31" s="31">
        <f>G27+(3*G30)</f>
        <v>103.60953443570131</v>
      </c>
      <c r="H31" s="310"/>
      <c r="I31" s="310"/>
      <c r="J31" s="311"/>
      <c r="K31" s="29"/>
      <c r="L31" s="29"/>
      <c r="U31" s="243" t="s">
        <v>596</v>
      </c>
      <c r="V31" s="236" t="s">
        <v>599</v>
      </c>
    </row>
    <row r="32" spans="2:22" ht="17" thickBot="1" x14ac:dyDescent="0.25">
      <c r="F32" s="152" t="s">
        <v>261</v>
      </c>
      <c r="G32" s="156">
        <f>+G27-(3*G30)</f>
        <v>95.340465564298682</v>
      </c>
      <c r="H32" s="312"/>
      <c r="I32" s="312"/>
      <c r="J32" s="313"/>
      <c r="K32" s="29"/>
      <c r="L32" s="29"/>
      <c r="U32" s="245" t="s">
        <v>578</v>
      </c>
    </row>
    <row r="33" spans="5:22" ht="17" thickBot="1" x14ac:dyDescent="0.25">
      <c r="F33" s="29"/>
      <c r="G33" s="29"/>
      <c r="H33" s="29"/>
      <c r="I33" s="29"/>
      <c r="J33" s="29"/>
      <c r="K33" s="29"/>
      <c r="L33" s="29"/>
      <c r="U33" s="243" t="s">
        <v>581</v>
      </c>
      <c r="V33" s="236" t="s">
        <v>600</v>
      </c>
    </row>
    <row r="34" spans="5:22" x14ac:dyDescent="0.2">
      <c r="E34" s="46" t="s">
        <v>593</v>
      </c>
      <c r="F34" s="307" t="s">
        <v>273</v>
      </c>
      <c r="G34" s="308"/>
      <c r="H34" s="154"/>
      <c r="I34" s="154"/>
      <c r="J34" s="155"/>
      <c r="K34" s="29"/>
      <c r="L34" s="29"/>
      <c r="U34" s="243" t="s">
        <v>582</v>
      </c>
      <c r="V34" s="236" t="s">
        <v>601</v>
      </c>
    </row>
    <row r="35" spans="5:22" x14ac:dyDescent="0.2">
      <c r="F35" s="149" t="s">
        <v>264</v>
      </c>
      <c r="G35" s="29" t="s">
        <v>77</v>
      </c>
      <c r="H35" s="310" t="s">
        <v>276</v>
      </c>
      <c r="I35" s="310"/>
      <c r="J35" s="311"/>
      <c r="K35" s="29"/>
      <c r="L35" s="29"/>
      <c r="U35" s="243" t="s">
        <v>583</v>
      </c>
      <c r="V35" s="236" t="s">
        <v>602</v>
      </c>
    </row>
    <row r="36" spans="5:22" x14ac:dyDescent="0.2">
      <c r="F36" s="149" t="s">
        <v>265</v>
      </c>
      <c r="G36" s="29">
        <v>2</v>
      </c>
      <c r="H36" s="310"/>
      <c r="I36" s="310"/>
      <c r="J36" s="311"/>
      <c r="K36" s="29"/>
      <c r="L36" s="29"/>
      <c r="U36" s="245" t="s">
        <v>584</v>
      </c>
    </row>
    <row r="37" spans="5:22" x14ac:dyDescent="0.2">
      <c r="F37" s="149" t="s">
        <v>266</v>
      </c>
      <c r="G37" s="29">
        <v>3</v>
      </c>
      <c r="H37" s="310"/>
      <c r="I37" s="310"/>
      <c r="J37" s="311"/>
      <c r="U37" s="61" t="s">
        <v>585</v>
      </c>
      <c r="V37" s="240" t="s">
        <v>595</v>
      </c>
    </row>
    <row r="38" spans="5:22" x14ac:dyDescent="0.2">
      <c r="F38" s="149" t="s">
        <v>267</v>
      </c>
      <c r="G38" s="29">
        <v>11</v>
      </c>
      <c r="H38" s="310"/>
      <c r="I38" s="310"/>
      <c r="J38" s="311"/>
      <c r="U38" s="245" t="s">
        <v>586</v>
      </c>
    </row>
    <row r="39" spans="5:22" x14ac:dyDescent="0.2">
      <c r="F39" s="149" t="s">
        <v>268</v>
      </c>
      <c r="G39" s="29">
        <v>28</v>
      </c>
      <c r="H39" s="310"/>
      <c r="I39" s="310"/>
      <c r="J39" s="311"/>
      <c r="U39" s="243" t="s">
        <v>587</v>
      </c>
      <c r="V39" s="236" t="s">
        <v>603</v>
      </c>
    </row>
    <row r="40" spans="5:22" x14ac:dyDescent="0.2">
      <c r="F40" s="149" t="s">
        <v>269</v>
      </c>
      <c r="G40" s="29">
        <v>18</v>
      </c>
      <c r="H40" s="310"/>
      <c r="I40" s="310"/>
      <c r="J40" s="311"/>
      <c r="U40" s="61" t="s">
        <v>589</v>
      </c>
      <c r="V40" s="240" t="s">
        <v>605</v>
      </c>
    </row>
    <row r="41" spans="5:22" x14ac:dyDescent="0.2">
      <c r="F41" s="149" t="s">
        <v>270</v>
      </c>
      <c r="G41" s="29">
        <v>13</v>
      </c>
      <c r="H41" s="310"/>
      <c r="I41" s="310"/>
      <c r="J41" s="311"/>
      <c r="U41" s="243" t="s">
        <v>588</v>
      </c>
      <c r="V41" s="236" t="s">
        <v>604</v>
      </c>
    </row>
    <row r="42" spans="5:22" x14ac:dyDescent="0.2">
      <c r="F42" s="149" t="s">
        <v>271</v>
      </c>
      <c r="G42" s="29">
        <v>3</v>
      </c>
      <c r="H42" s="310"/>
      <c r="I42" s="310"/>
      <c r="J42" s="311"/>
      <c r="U42" s="61" t="s">
        <v>590</v>
      </c>
      <c r="V42" s="240" t="s">
        <v>606</v>
      </c>
    </row>
    <row r="43" spans="5:22" x14ac:dyDescent="0.2">
      <c r="F43" s="149" t="s">
        <v>272</v>
      </c>
      <c r="G43" s="29">
        <v>2</v>
      </c>
      <c r="H43" s="310"/>
      <c r="I43" s="310"/>
      <c r="J43" s="311"/>
    </row>
    <row r="44" spans="5:22" x14ac:dyDescent="0.2">
      <c r="F44" s="149" t="s">
        <v>274</v>
      </c>
      <c r="G44" s="29">
        <v>0</v>
      </c>
      <c r="J44" s="157"/>
    </row>
    <row r="45" spans="5:22" ht="17" thickBot="1" x14ac:dyDescent="0.25">
      <c r="F45" s="152" t="s">
        <v>275</v>
      </c>
      <c r="G45" s="158">
        <v>0</v>
      </c>
      <c r="H45" s="1"/>
      <c r="I45" s="1"/>
      <c r="J45" s="159"/>
    </row>
    <row r="46" spans="5:22" ht="17" thickBot="1" x14ac:dyDescent="0.25"/>
    <row r="47" spans="5:22" x14ac:dyDescent="0.2">
      <c r="E47" s="46" t="s">
        <v>594</v>
      </c>
      <c r="F47" s="307" t="s">
        <v>246</v>
      </c>
      <c r="G47" s="308"/>
      <c r="H47" s="94"/>
      <c r="I47" s="94"/>
      <c r="J47" s="94"/>
      <c r="K47" s="94"/>
      <c r="L47" s="94"/>
      <c r="M47" s="161"/>
    </row>
    <row r="48" spans="5:22" x14ac:dyDescent="0.2">
      <c r="F48" s="149" t="s">
        <v>292</v>
      </c>
      <c r="G48" s="33">
        <f>((1/C17)*K62)/(G30^4)</f>
        <v>3.3267031713749562</v>
      </c>
      <c r="H48" t="s">
        <v>309</v>
      </c>
      <c r="M48" s="157"/>
    </row>
    <row r="49" spans="2:13" x14ac:dyDescent="0.2">
      <c r="F49" s="149" t="s">
        <v>293</v>
      </c>
      <c r="G49" s="33">
        <f>(1/C17)*(M62/(G30^3))</f>
        <v>8.0689382514632396E-2</v>
      </c>
      <c r="H49" t="s">
        <v>320</v>
      </c>
      <c r="M49" s="157"/>
    </row>
    <row r="50" spans="2:13" x14ac:dyDescent="0.2">
      <c r="F50" s="162"/>
      <c r="M50" s="157"/>
    </row>
    <row r="51" spans="2:13" x14ac:dyDescent="0.2">
      <c r="F51" s="162"/>
      <c r="M51" s="157"/>
    </row>
    <row r="52" spans="2:13" x14ac:dyDescent="0.2">
      <c r="F52" s="162"/>
      <c r="M52" s="157"/>
    </row>
    <row r="53" spans="2:13" x14ac:dyDescent="0.2">
      <c r="F53" s="149" t="str">
        <f t="shared" ref="F53:F61" si="7">K11</f>
        <v>Punto medio</v>
      </c>
      <c r="G53" s="29" t="str">
        <f t="shared" ref="G53:G61" si="8">H11</f>
        <v>Fo</v>
      </c>
      <c r="H53" s="29" t="s">
        <v>294</v>
      </c>
      <c r="I53" s="29" t="s">
        <v>297</v>
      </c>
      <c r="J53" s="29" t="s">
        <v>298</v>
      </c>
      <c r="K53" s="29"/>
      <c r="L53" s="29" t="s">
        <v>299</v>
      </c>
      <c r="M53" s="157"/>
    </row>
    <row r="54" spans="2:13" x14ac:dyDescent="0.2">
      <c r="F54" s="149">
        <f t="shared" si="7"/>
        <v>96</v>
      </c>
      <c r="G54" s="29">
        <f t="shared" si="8"/>
        <v>2</v>
      </c>
      <c r="H54" s="29">
        <f>+F54*G54</f>
        <v>192</v>
      </c>
      <c r="I54" s="31">
        <f>+F54-$G$27</f>
        <v>-3.4749999999999943</v>
      </c>
      <c r="J54" s="31">
        <f>I54^4</f>
        <v>145.82071914062402</v>
      </c>
      <c r="K54" s="31">
        <f>+J54*G54</f>
        <v>291.64143828124804</v>
      </c>
      <c r="L54" s="33">
        <f>I54^3</f>
        <v>-41.962796874999789</v>
      </c>
      <c r="M54" s="163">
        <f>+L54*G54</f>
        <v>-83.925593749999578</v>
      </c>
    </row>
    <row r="55" spans="2:13" x14ac:dyDescent="0.2">
      <c r="F55" s="149">
        <f t="shared" si="7"/>
        <v>97</v>
      </c>
      <c r="G55" s="29">
        <f t="shared" si="8"/>
        <v>3</v>
      </c>
      <c r="H55" s="29">
        <f t="shared" ref="H55:H61" si="9">+F55*G55</f>
        <v>291</v>
      </c>
      <c r="I55" s="31">
        <f t="shared" ref="I55:I61" si="10">+F55-$G$27</f>
        <v>-2.4749999999999943</v>
      </c>
      <c r="J55" s="31">
        <f t="shared" ref="J55:J61" si="11">I55^4</f>
        <v>37.523281640624653</v>
      </c>
      <c r="K55" s="31">
        <f t="shared" ref="K55:K61" si="12">+J55*G55</f>
        <v>112.56984492187397</v>
      </c>
      <c r="L55" s="33">
        <f t="shared" ref="L55:L61" si="13">I55^3</f>
        <v>-15.160921874999895</v>
      </c>
      <c r="M55" s="163">
        <f t="shared" ref="M55:M61" si="14">+L55*G55</f>
        <v>-45.482765624999686</v>
      </c>
    </row>
    <row r="56" spans="2:13" x14ac:dyDescent="0.2">
      <c r="F56" s="149">
        <f t="shared" si="7"/>
        <v>98</v>
      </c>
      <c r="G56" s="29">
        <f t="shared" si="8"/>
        <v>11</v>
      </c>
      <c r="H56" s="29">
        <f t="shared" si="9"/>
        <v>1078</v>
      </c>
      <c r="I56" s="31">
        <f t="shared" si="10"/>
        <v>-1.4749999999999943</v>
      </c>
      <c r="J56" s="31">
        <f t="shared" si="11"/>
        <v>4.7333441406249275</v>
      </c>
      <c r="K56" s="31">
        <f t="shared" si="12"/>
        <v>52.0667855468742</v>
      </c>
      <c r="L56" s="33">
        <f t="shared" si="13"/>
        <v>-3.209046874999963</v>
      </c>
      <c r="M56" s="163">
        <f t="shared" si="14"/>
        <v>-35.299515624999593</v>
      </c>
    </row>
    <row r="57" spans="2:13" x14ac:dyDescent="0.2">
      <c r="F57" s="149">
        <f t="shared" si="7"/>
        <v>99</v>
      </c>
      <c r="G57" s="29">
        <f t="shared" si="8"/>
        <v>28</v>
      </c>
      <c r="H57" s="29">
        <f t="shared" si="9"/>
        <v>2772</v>
      </c>
      <c r="I57" s="31">
        <f t="shared" si="10"/>
        <v>-0.47499999999999432</v>
      </c>
      <c r="J57" s="31">
        <f t="shared" si="11"/>
        <v>5.0906640624997564E-2</v>
      </c>
      <c r="K57" s="31">
        <f t="shared" si="12"/>
        <v>1.4253859374999318</v>
      </c>
      <c r="L57" s="33">
        <f t="shared" si="13"/>
        <v>-0.10717187499999616</v>
      </c>
      <c r="M57" s="163">
        <f t="shared" si="14"/>
        <v>-3.0008124999998924</v>
      </c>
    </row>
    <row r="58" spans="2:13" x14ac:dyDescent="0.2">
      <c r="F58" s="149">
        <f t="shared" si="7"/>
        <v>100</v>
      </c>
      <c r="G58" s="29">
        <f t="shared" si="8"/>
        <v>18</v>
      </c>
      <c r="H58" s="29">
        <f t="shared" si="9"/>
        <v>1800</v>
      </c>
      <c r="I58" s="31">
        <f t="shared" si="10"/>
        <v>0.52500000000000568</v>
      </c>
      <c r="J58" s="31">
        <f t="shared" si="11"/>
        <v>7.5969140625003276E-2</v>
      </c>
      <c r="K58" s="31">
        <f t="shared" si="12"/>
        <v>1.3674445312500589</v>
      </c>
      <c r="L58" s="33">
        <f t="shared" si="13"/>
        <v>0.14470312500000468</v>
      </c>
      <c r="M58" s="163">
        <f t="shared" si="14"/>
        <v>2.6046562500000841</v>
      </c>
    </row>
    <row r="59" spans="2:13" x14ac:dyDescent="0.2">
      <c r="F59" s="149">
        <f t="shared" si="7"/>
        <v>101</v>
      </c>
      <c r="G59" s="29">
        <f t="shared" si="8"/>
        <v>13</v>
      </c>
      <c r="H59" s="29">
        <f t="shared" si="9"/>
        <v>1313</v>
      </c>
      <c r="I59" s="31">
        <f t="shared" si="10"/>
        <v>1.5250000000000057</v>
      </c>
      <c r="J59" s="31">
        <f t="shared" si="11"/>
        <v>5.408531640625081</v>
      </c>
      <c r="K59" s="31">
        <f t="shared" si="12"/>
        <v>70.310911328126053</v>
      </c>
      <c r="L59" s="33">
        <f t="shared" si="13"/>
        <v>3.5465781250000399</v>
      </c>
      <c r="M59" s="163">
        <f t="shared" si="14"/>
        <v>46.105515625000521</v>
      </c>
    </row>
    <row r="60" spans="2:13" x14ac:dyDescent="0.2">
      <c r="F60" s="149">
        <f t="shared" si="7"/>
        <v>102</v>
      </c>
      <c r="G60" s="29">
        <f t="shared" si="8"/>
        <v>3</v>
      </c>
      <c r="H60" s="29">
        <f t="shared" si="9"/>
        <v>306</v>
      </c>
      <c r="I60" s="31">
        <f t="shared" si="10"/>
        <v>2.5250000000000057</v>
      </c>
      <c r="J60" s="31">
        <f t="shared" si="11"/>
        <v>40.648594140625363</v>
      </c>
      <c r="K60" s="31">
        <f t="shared" si="12"/>
        <v>121.94578242187609</v>
      </c>
      <c r="L60" s="33">
        <f t="shared" si="13"/>
        <v>16.098453125000109</v>
      </c>
      <c r="M60" s="163">
        <f t="shared" si="14"/>
        <v>48.295359375000331</v>
      </c>
    </row>
    <row r="61" spans="2:13" x14ac:dyDescent="0.2">
      <c r="F61" s="149">
        <f t="shared" si="7"/>
        <v>103</v>
      </c>
      <c r="G61" s="29">
        <f t="shared" si="8"/>
        <v>2</v>
      </c>
      <c r="H61" s="29">
        <f t="shared" si="9"/>
        <v>206</v>
      </c>
      <c r="I61" s="31">
        <f t="shared" si="10"/>
        <v>3.5250000000000057</v>
      </c>
      <c r="J61" s="31">
        <f t="shared" si="11"/>
        <v>154.39615664062597</v>
      </c>
      <c r="K61" s="31">
        <f t="shared" si="12"/>
        <v>308.79231328125195</v>
      </c>
      <c r="L61" s="33">
        <f t="shared" si="13"/>
        <v>43.800328125000206</v>
      </c>
      <c r="M61" s="163">
        <f t="shared" si="14"/>
        <v>87.600656250000412</v>
      </c>
    </row>
    <row r="62" spans="2:13" ht="17" thickBot="1" x14ac:dyDescent="0.25">
      <c r="F62" s="152">
        <f>SUM(F54:F61)</f>
        <v>796</v>
      </c>
      <c r="G62" s="158">
        <f>SUM(G54:G61)</f>
        <v>80</v>
      </c>
      <c r="H62" s="158">
        <f>SUM(H54:H61)</f>
        <v>7958</v>
      </c>
      <c r="I62" s="158"/>
      <c r="J62" s="158"/>
      <c r="K62" s="156">
        <f>SUM(K54:K61)</f>
        <v>960.11990625000021</v>
      </c>
      <c r="L62" s="164"/>
      <c r="M62" s="153">
        <f>SUM(M54:M61)</f>
        <v>16.897500000002609</v>
      </c>
    </row>
    <row r="63" spans="2:13" x14ac:dyDescent="0.2">
      <c r="F63" s="29"/>
      <c r="G63" s="29"/>
      <c r="L63" s="29"/>
    </row>
    <row r="64" spans="2:13" ht="24" x14ac:dyDescent="0.3">
      <c r="B64" s="171" t="s">
        <v>308</v>
      </c>
      <c r="C64" s="171"/>
      <c r="D64" s="171"/>
      <c r="E64" s="171"/>
      <c r="L64" s="29"/>
    </row>
    <row r="65" spans="2:12" ht="19" x14ac:dyDescent="0.2">
      <c r="B65" s="70">
        <v>99</v>
      </c>
      <c r="F65" s="29"/>
      <c r="G65" s="29"/>
      <c r="L65" s="29"/>
    </row>
    <row r="66" spans="2:12" ht="20" thickBot="1" x14ac:dyDescent="0.25">
      <c r="B66" s="70">
        <v>100</v>
      </c>
      <c r="F66" s="29"/>
      <c r="G66" s="29"/>
    </row>
    <row r="67" spans="2:12" ht="19" x14ac:dyDescent="0.2">
      <c r="B67" s="70">
        <v>99</v>
      </c>
      <c r="C67" s="170" t="s">
        <v>306</v>
      </c>
      <c r="D67" s="165" t="s">
        <v>295</v>
      </c>
      <c r="E67" s="166">
        <f>+L77</f>
        <v>99.474999999999994</v>
      </c>
    </row>
    <row r="68" spans="2:12" ht="19" x14ac:dyDescent="0.2">
      <c r="B68" s="70">
        <v>98</v>
      </c>
      <c r="C68" s="170"/>
      <c r="D68" s="162" t="s">
        <v>296</v>
      </c>
      <c r="E68" s="167">
        <f>+L79</f>
        <v>99</v>
      </c>
    </row>
    <row r="69" spans="2:12" ht="20" thickBot="1" x14ac:dyDescent="0.25">
      <c r="B69" s="70">
        <v>100</v>
      </c>
      <c r="C69" s="170"/>
      <c r="D69" s="168" t="s">
        <v>300</v>
      </c>
      <c r="E69" s="169">
        <f>+L80</f>
        <v>99</v>
      </c>
    </row>
    <row r="70" spans="2:12" ht="20" thickBot="1" x14ac:dyDescent="0.25">
      <c r="B70" s="70">
        <v>99</v>
      </c>
      <c r="C70" s="170"/>
    </row>
    <row r="71" spans="2:12" ht="19" x14ac:dyDescent="0.2">
      <c r="B71" s="70">
        <v>101</v>
      </c>
      <c r="C71" s="170" t="s">
        <v>307</v>
      </c>
      <c r="D71" s="165" t="s">
        <v>301</v>
      </c>
      <c r="E71" s="166">
        <f>+L81</f>
        <v>1.386873361745401</v>
      </c>
    </row>
    <row r="72" spans="2:12" ht="19" x14ac:dyDescent="0.2">
      <c r="B72" s="70">
        <v>98</v>
      </c>
      <c r="C72" s="170"/>
      <c r="D72" s="162" t="s">
        <v>245</v>
      </c>
      <c r="E72" s="167">
        <f>E67+(3*E71)</f>
        <v>103.6356200852362</v>
      </c>
    </row>
    <row r="73" spans="2:12" ht="20" thickBot="1" x14ac:dyDescent="0.25">
      <c r="B73" s="70">
        <v>101</v>
      </c>
      <c r="C73" s="170"/>
      <c r="D73" s="168" t="s">
        <v>244</v>
      </c>
      <c r="E73" s="169">
        <f>E67-(3*E71)</f>
        <v>95.314379914763791</v>
      </c>
    </row>
    <row r="74" spans="2:12" ht="20" thickBot="1" x14ac:dyDescent="0.25">
      <c r="B74" s="70">
        <v>99</v>
      </c>
      <c r="C74" s="170"/>
    </row>
    <row r="75" spans="2:12" ht="19" x14ac:dyDescent="0.2">
      <c r="B75" s="70">
        <v>99</v>
      </c>
      <c r="C75" s="170" t="s">
        <v>304</v>
      </c>
      <c r="D75" t="s">
        <v>303</v>
      </c>
      <c r="K75" s="160" t="s">
        <v>291</v>
      </c>
      <c r="L75" s="160"/>
    </row>
    <row r="76" spans="2:12" ht="20" thickBot="1" x14ac:dyDescent="0.25">
      <c r="B76" s="70">
        <v>101</v>
      </c>
      <c r="C76" s="170"/>
    </row>
    <row r="77" spans="2:12" ht="19" x14ac:dyDescent="0.2">
      <c r="B77" s="70">
        <v>99</v>
      </c>
      <c r="C77" s="170" t="s">
        <v>305</v>
      </c>
      <c r="D77" s="165" t="s">
        <v>284</v>
      </c>
      <c r="E77" s="172">
        <f>+L83</f>
        <v>0.42700193034104084</v>
      </c>
      <c r="F77" s="161" t="s">
        <v>309</v>
      </c>
      <c r="K77" t="s">
        <v>278</v>
      </c>
      <c r="L77">
        <v>99.474999999999994</v>
      </c>
    </row>
    <row r="78" spans="2:12" ht="20" thickBot="1" x14ac:dyDescent="0.25">
      <c r="B78" s="70">
        <v>100</v>
      </c>
      <c r="D78" s="168" t="s">
        <v>293</v>
      </c>
      <c r="E78" s="173">
        <f>+L84</f>
        <v>8.2239474853338115E-2</v>
      </c>
      <c r="F78" s="159"/>
      <c r="K78" t="s">
        <v>279</v>
      </c>
      <c r="L78">
        <v>0.15505715565231865</v>
      </c>
    </row>
    <row r="79" spans="2:12" ht="19" x14ac:dyDescent="0.2">
      <c r="B79" s="70">
        <v>103</v>
      </c>
      <c r="K79" t="s">
        <v>280</v>
      </c>
      <c r="L79">
        <v>99</v>
      </c>
    </row>
    <row r="80" spans="2:12" ht="19" x14ac:dyDescent="0.2">
      <c r="B80" s="70">
        <v>99</v>
      </c>
      <c r="K80" t="s">
        <v>281</v>
      </c>
      <c r="L80">
        <v>99</v>
      </c>
    </row>
    <row r="81" spans="2:12" ht="19" x14ac:dyDescent="0.2">
      <c r="B81" s="70">
        <v>98</v>
      </c>
      <c r="K81" t="s">
        <v>282</v>
      </c>
      <c r="L81">
        <v>1.386873361745401</v>
      </c>
    </row>
    <row r="82" spans="2:12" ht="19" x14ac:dyDescent="0.2">
      <c r="B82" s="70">
        <v>99</v>
      </c>
      <c r="K82" t="s">
        <v>283</v>
      </c>
      <c r="L82">
        <v>1.92341772151899</v>
      </c>
    </row>
    <row r="83" spans="2:12" ht="19" x14ac:dyDescent="0.2">
      <c r="B83" s="70">
        <v>98</v>
      </c>
      <c r="K83" t="s">
        <v>284</v>
      </c>
      <c r="L83">
        <v>0.42700193034104084</v>
      </c>
    </row>
    <row r="84" spans="2:12" ht="19" x14ac:dyDescent="0.2">
      <c r="B84" s="70">
        <v>100</v>
      </c>
      <c r="K84" t="s">
        <v>285</v>
      </c>
      <c r="L84">
        <v>8.2239474853338115E-2</v>
      </c>
    </row>
    <row r="85" spans="2:12" ht="19" x14ac:dyDescent="0.2">
      <c r="B85" s="70">
        <v>98</v>
      </c>
      <c r="K85" t="s">
        <v>286</v>
      </c>
      <c r="L85">
        <v>7</v>
      </c>
    </row>
    <row r="86" spans="2:12" ht="19" x14ac:dyDescent="0.2">
      <c r="B86" s="70">
        <v>99</v>
      </c>
      <c r="K86" t="s">
        <v>287</v>
      </c>
      <c r="L86">
        <v>96</v>
      </c>
    </row>
    <row r="87" spans="2:12" ht="19" x14ac:dyDescent="0.2">
      <c r="B87" s="70">
        <v>101</v>
      </c>
      <c r="K87" t="s">
        <v>288</v>
      </c>
      <c r="L87">
        <v>103</v>
      </c>
    </row>
    <row r="88" spans="2:12" ht="19" x14ac:dyDescent="0.2">
      <c r="B88" s="70">
        <v>99</v>
      </c>
      <c r="K88" t="s">
        <v>289</v>
      </c>
      <c r="L88">
        <v>7958</v>
      </c>
    </row>
    <row r="89" spans="2:12" ht="20" thickBot="1" x14ac:dyDescent="0.25">
      <c r="B89" s="70">
        <v>99</v>
      </c>
      <c r="K89" s="1" t="s">
        <v>290</v>
      </c>
      <c r="L89" s="1">
        <v>80</v>
      </c>
    </row>
    <row r="90" spans="2:12" ht="19" x14ac:dyDescent="0.2">
      <c r="B90" s="70">
        <v>99</v>
      </c>
    </row>
    <row r="91" spans="2:12" ht="19" x14ac:dyDescent="0.2">
      <c r="B91" s="70">
        <v>98</v>
      </c>
    </row>
    <row r="92" spans="2:12" ht="19" x14ac:dyDescent="0.2">
      <c r="B92" s="70">
        <v>98</v>
      </c>
    </row>
    <row r="93" spans="2:12" ht="19" x14ac:dyDescent="0.2">
      <c r="B93" s="70">
        <v>99</v>
      </c>
    </row>
    <row r="94" spans="2:12" ht="19" x14ac:dyDescent="0.2">
      <c r="B94" s="70">
        <v>97</v>
      </c>
    </row>
    <row r="95" spans="2:12" ht="19" x14ac:dyDescent="0.2">
      <c r="B95" s="70">
        <v>99</v>
      </c>
    </row>
    <row r="96" spans="2:12" ht="19" x14ac:dyDescent="0.2">
      <c r="B96" s="70">
        <v>96</v>
      </c>
    </row>
    <row r="97" spans="2:2" ht="19" x14ac:dyDescent="0.2">
      <c r="B97" s="70">
        <v>101</v>
      </c>
    </row>
    <row r="98" spans="2:2" ht="19" x14ac:dyDescent="0.2">
      <c r="B98" s="70">
        <v>100</v>
      </c>
    </row>
    <row r="99" spans="2:2" ht="19" x14ac:dyDescent="0.2">
      <c r="B99" s="70">
        <v>100</v>
      </c>
    </row>
    <row r="100" spans="2:2" ht="19" x14ac:dyDescent="0.2">
      <c r="B100" s="70">
        <v>99</v>
      </c>
    </row>
    <row r="101" spans="2:2" ht="19" x14ac:dyDescent="0.2">
      <c r="B101" s="70">
        <v>101</v>
      </c>
    </row>
    <row r="102" spans="2:2" ht="19" x14ac:dyDescent="0.2">
      <c r="B102" s="70">
        <v>100</v>
      </c>
    </row>
    <row r="103" spans="2:2" ht="19" x14ac:dyDescent="0.2">
      <c r="B103" s="70">
        <v>99</v>
      </c>
    </row>
    <row r="104" spans="2:2" ht="19" x14ac:dyDescent="0.2">
      <c r="B104" s="70">
        <v>100</v>
      </c>
    </row>
    <row r="105" spans="2:2" ht="19" x14ac:dyDescent="0.2">
      <c r="B105" s="70">
        <v>101</v>
      </c>
    </row>
    <row r="106" spans="2:2" ht="19" x14ac:dyDescent="0.2">
      <c r="B106" s="70">
        <v>99</v>
      </c>
    </row>
    <row r="107" spans="2:2" ht="19" x14ac:dyDescent="0.2">
      <c r="B107" s="70">
        <v>102</v>
      </c>
    </row>
    <row r="108" spans="2:2" ht="19" x14ac:dyDescent="0.2">
      <c r="B108" s="70">
        <v>100</v>
      </c>
    </row>
    <row r="109" spans="2:2" ht="19" x14ac:dyDescent="0.2">
      <c r="B109" s="70">
        <v>99</v>
      </c>
    </row>
    <row r="110" spans="2:2" ht="19" x14ac:dyDescent="0.2">
      <c r="B110" s="70">
        <v>100</v>
      </c>
    </row>
    <row r="111" spans="2:2" ht="19" x14ac:dyDescent="0.2">
      <c r="B111" s="70">
        <v>98</v>
      </c>
    </row>
    <row r="112" spans="2:2" ht="19" x14ac:dyDescent="0.2">
      <c r="B112" s="148">
        <v>96</v>
      </c>
    </row>
    <row r="113" spans="2:2" ht="19" x14ac:dyDescent="0.2">
      <c r="B113" s="70">
        <v>102</v>
      </c>
    </row>
    <row r="114" spans="2:2" ht="19" x14ac:dyDescent="0.2">
      <c r="B114" s="70">
        <v>101</v>
      </c>
    </row>
    <row r="115" spans="2:2" ht="19" x14ac:dyDescent="0.2">
      <c r="B115" s="70">
        <v>103</v>
      </c>
    </row>
    <row r="116" spans="2:2" ht="19" x14ac:dyDescent="0.2">
      <c r="B116" s="70">
        <v>102</v>
      </c>
    </row>
    <row r="117" spans="2:2" ht="19" x14ac:dyDescent="0.2">
      <c r="B117" s="70">
        <v>101</v>
      </c>
    </row>
    <row r="118" spans="2:2" ht="19" x14ac:dyDescent="0.2">
      <c r="B118" s="70">
        <v>100</v>
      </c>
    </row>
    <row r="119" spans="2:2" ht="19" x14ac:dyDescent="0.2">
      <c r="B119" s="70">
        <v>100</v>
      </c>
    </row>
    <row r="120" spans="2:2" ht="19" x14ac:dyDescent="0.2">
      <c r="B120" s="70">
        <v>99</v>
      </c>
    </row>
    <row r="121" spans="2:2" ht="19" x14ac:dyDescent="0.2">
      <c r="B121" s="70">
        <v>101</v>
      </c>
    </row>
    <row r="122" spans="2:2" ht="19" x14ac:dyDescent="0.2">
      <c r="B122" s="70">
        <v>99</v>
      </c>
    </row>
    <row r="123" spans="2:2" ht="19" x14ac:dyDescent="0.2">
      <c r="B123" s="70">
        <v>98</v>
      </c>
    </row>
    <row r="124" spans="2:2" ht="19" x14ac:dyDescent="0.2">
      <c r="B124" s="70">
        <v>98</v>
      </c>
    </row>
    <row r="125" spans="2:2" ht="19" x14ac:dyDescent="0.2">
      <c r="B125" s="70">
        <v>100</v>
      </c>
    </row>
    <row r="126" spans="2:2" ht="19" x14ac:dyDescent="0.2">
      <c r="B126" s="70">
        <v>101</v>
      </c>
    </row>
    <row r="127" spans="2:2" ht="19" x14ac:dyDescent="0.2">
      <c r="B127" s="70">
        <v>99</v>
      </c>
    </row>
    <row r="128" spans="2:2" ht="19" x14ac:dyDescent="0.2">
      <c r="B128" s="70">
        <v>97</v>
      </c>
    </row>
    <row r="129" spans="2:2" ht="19" x14ac:dyDescent="0.2">
      <c r="B129" s="70">
        <v>99</v>
      </c>
    </row>
    <row r="130" spans="2:2" ht="19" x14ac:dyDescent="0.2">
      <c r="B130" s="70">
        <v>100</v>
      </c>
    </row>
    <row r="131" spans="2:2" ht="19" x14ac:dyDescent="0.2">
      <c r="B131" s="70">
        <v>99</v>
      </c>
    </row>
    <row r="132" spans="2:2" ht="19" x14ac:dyDescent="0.2">
      <c r="B132" s="70">
        <v>100</v>
      </c>
    </row>
    <row r="133" spans="2:2" ht="19" x14ac:dyDescent="0.2">
      <c r="B133" s="70">
        <v>97</v>
      </c>
    </row>
    <row r="134" spans="2:2" ht="19" x14ac:dyDescent="0.2">
      <c r="B134" s="70">
        <v>99</v>
      </c>
    </row>
    <row r="135" spans="2:2" ht="19" x14ac:dyDescent="0.2">
      <c r="B135" s="70">
        <v>101</v>
      </c>
    </row>
    <row r="136" spans="2:2" ht="19" x14ac:dyDescent="0.2">
      <c r="B136" s="70">
        <v>100</v>
      </c>
    </row>
    <row r="137" spans="2:2" ht="19" x14ac:dyDescent="0.2">
      <c r="B137" s="70">
        <v>99</v>
      </c>
    </row>
    <row r="138" spans="2:2" ht="19" x14ac:dyDescent="0.2">
      <c r="B138" s="70">
        <v>99</v>
      </c>
    </row>
    <row r="139" spans="2:2" ht="19" x14ac:dyDescent="0.2">
      <c r="B139" s="70">
        <v>100</v>
      </c>
    </row>
    <row r="140" spans="2:2" ht="19" x14ac:dyDescent="0.2">
      <c r="B140" s="70">
        <v>99</v>
      </c>
    </row>
    <row r="141" spans="2:2" ht="19" x14ac:dyDescent="0.2">
      <c r="B141" s="70">
        <v>101</v>
      </c>
    </row>
    <row r="142" spans="2:2" ht="19" x14ac:dyDescent="0.2">
      <c r="B142" s="70">
        <v>100</v>
      </c>
    </row>
    <row r="143" spans="2:2" ht="19" x14ac:dyDescent="0.2">
      <c r="B143" s="70">
        <v>98</v>
      </c>
    </row>
    <row r="144" spans="2:2" ht="19" x14ac:dyDescent="0.2">
      <c r="B144" s="70">
        <v>99</v>
      </c>
    </row>
  </sheetData>
  <sortState xmlns:xlrd2="http://schemas.microsoft.com/office/spreadsheetml/2017/richdata2" ref="F36:F43">
    <sortCondition ref="F36"/>
  </sortState>
  <mergeCells count="7">
    <mergeCell ref="T21:V25"/>
    <mergeCell ref="F47:G47"/>
    <mergeCell ref="F21:G21"/>
    <mergeCell ref="F29:G29"/>
    <mergeCell ref="H30:J32"/>
    <mergeCell ref="F34:G34"/>
    <mergeCell ref="H35:J43"/>
  </mergeCells>
  <pageMargins left="0.7" right="0.7" top="0.75" bottom="0.75" header="0.3" footer="0.3"/>
  <pageSetup orientation="portrait" horizontalDpi="0"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EBC33-A01C-7C40-AA61-4C86F14CA45F}">
  <dimension ref="B2:V109"/>
  <sheetViews>
    <sheetView workbookViewId="0">
      <selection activeCell="U24" sqref="U24:V38"/>
    </sheetView>
  </sheetViews>
  <sheetFormatPr baseColWidth="10" defaultRowHeight="16" x14ac:dyDescent="0.2"/>
  <cols>
    <col min="7" max="7" width="13.33203125" customWidth="1"/>
    <col min="10" max="10" width="12.33203125" customWidth="1"/>
    <col min="21" max="21" width="21.1640625" customWidth="1"/>
    <col min="22" max="22" width="47.6640625" customWidth="1"/>
  </cols>
  <sheetData>
    <row r="2" spans="2:14" ht="19" x14ac:dyDescent="0.2">
      <c r="B2" s="70">
        <v>12</v>
      </c>
      <c r="C2" s="70">
        <v>13</v>
      </c>
      <c r="D2" s="70">
        <v>12</v>
      </c>
      <c r="E2" s="70">
        <v>11</v>
      </c>
      <c r="F2" s="70">
        <v>9</v>
      </c>
      <c r="G2" s="70">
        <v>7</v>
      </c>
      <c r="H2" s="70">
        <v>7</v>
      </c>
      <c r="I2" s="70">
        <v>8</v>
      </c>
      <c r="J2" s="70">
        <v>11</v>
      </c>
      <c r="K2" s="70">
        <v>6</v>
      </c>
      <c r="L2" s="29"/>
      <c r="M2" s="29"/>
    </row>
    <row r="3" spans="2:14" ht="19" x14ac:dyDescent="0.2">
      <c r="B3" s="70">
        <v>10</v>
      </c>
      <c r="C3" s="70">
        <v>6</v>
      </c>
      <c r="D3" s="70">
        <v>6</v>
      </c>
      <c r="E3" s="70">
        <v>16</v>
      </c>
      <c r="F3" s="70">
        <v>8</v>
      </c>
      <c r="G3" s="70">
        <v>13</v>
      </c>
      <c r="H3" s="70">
        <v>6</v>
      </c>
      <c r="I3" s="70">
        <v>7</v>
      </c>
      <c r="J3" s="70">
        <v>10</v>
      </c>
      <c r="K3" s="70">
        <v>9</v>
      </c>
    </row>
    <row r="4" spans="2:14" ht="19" x14ac:dyDescent="0.2">
      <c r="B4" s="70">
        <v>12</v>
      </c>
      <c r="C4" s="70">
        <v>10</v>
      </c>
      <c r="D4" s="70">
        <v>7</v>
      </c>
      <c r="E4" s="70">
        <v>12</v>
      </c>
      <c r="F4" s="70">
        <v>7</v>
      </c>
      <c r="G4" s="70">
        <v>10</v>
      </c>
      <c r="H4" s="70">
        <v>11</v>
      </c>
      <c r="I4" s="70">
        <v>10</v>
      </c>
      <c r="J4" s="70">
        <v>12</v>
      </c>
      <c r="K4" s="70">
        <v>12</v>
      </c>
    </row>
    <row r="5" spans="2:14" ht="19" x14ac:dyDescent="0.2">
      <c r="B5" s="70">
        <v>11</v>
      </c>
      <c r="C5" s="70">
        <v>9</v>
      </c>
      <c r="D5" s="70">
        <v>8</v>
      </c>
      <c r="E5" s="70">
        <v>11</v>
      </c>
      <c r="F5" s="70">
        <v>9</v>
      </c>
      <c r="G5" s="70">
        <v>10</v>
      </c>
      <c r="H5" s="70">
        <v>9</v>
      </c>
      <c r="I5" s="70">
        <v>10</v>
      </c>
      <c r="J5" s="70">
        <v>10</v>
      </c>
      <c r="K5" s="70">
        <v>8</v>
      </c>
    </row>
    <row r="6" spans="2:14" ht="19" x14ac:dyDescent="0.2">
      <c r="B6" s="70">
        <v>15</v>
      </c>
      <c r="C6" s="70">
        <v>10</v>
      </c>
      <c r="D6" s="70">
        <v>13</v>
      </c>
      <c r="E6" s="70">
        <v>10</v>
      </c>
      <c r="F6" s="70">
        <v>6</v>
      </c>
      <c r="G6" s="70">
        <v>9</v>
      </c>
      <c r="H6" s="70">
        <v>9</v>
      </c>
      <c r="I6" s="70">
        <v>11</v>
      </c>
      <c r="J6" s="70">
        <v>15</v>
      </c>
      <c r="K6" s="70">
        <v>4</v>
      </c>
    </row>
    <row r="8" spans="2:14" x14ac:dyDescent="0.2">
      <c r="B8" s="29" t="s">
        <v>238</v>
      </c>
      <c r="C8" s="29">
        <f>MAX(B2:K6)-MIN(B2:K6)</f>
        <v>12</v>
      </c>
      <c r="F8" s="29" t="s">
        <v>244</v>
      </c>
      <c r="G8" s="29" t="s">
        <v>245</v>
      </c>
      <c r="H8" s="29" t="s">
        <v>77</v>
      </c>
      <c r="I8" s="29" t="s">
        <v>263</v>
      </c>
      <c r="J8" s="29" t="s">
        <v>251</v>
      </c>
      <c r="K8" s="29" t="s">
        <v>254</v>
      </c>
      <c r="L8" s="29" t="s">
        <v>90</v>
      </c>
      <c r="M8" s="29" t="s">
        <v>255</v>
      </c>
      <c r="N8" s="29" t="s">
        <v>256</v>
      </c>
    </row>
    <row r="9" spans="2:14" x14ac:dyDescent="0.2">
      <c r="B9" s="29" t="s">
        <v>239</v>
      </c>
      <c r="C9" s="31">
        <f>1+(3.3*LOG(C14))</f>
        <v>6.6066010143088612</v>
      </c>
      <c r="D9" s="2">
        <f>ROUNDUP(C9,0)</f>
        <v>7</v>
      </c>
      <c r="F9" s="29">
        <f>(MIN(B2:K6)-C13)-0.5</f>
        <v>2.5</v>
      </c>
      <c r="G9" s="29">
        <f>(F9+$D$10)+1</f>
        <v>5.5</v>
      </c>
      <c r="H9" s="29">
        <f>COUNTIFS(B2:K6,"&lt;5.5")</f>
        <v>1</v>
      </c>
      <c r="I9" s="33">
        <f>+H9/$C$14</f>
        <v>0.02</v>
      </c>
      <c r="J9" s="29">
        <f>+H9</f>
        <v>1</v>
      </c>
      <c r="K9" s="174">
        <f t="shared" ref="K9:K15" si="0">+(F9+G9)/2</f>
        <v>4</v>
      </c>
      <c r="L9" s="29">
        <v>-3</v>
      </c>
      <c r="M9" s="29">
        <f t="shared" ref="M9:M15" si="1">+H9*L9</f>
        <v>-3</v>
      </c>
      <c r="N9" s="29">
        <f t="shared" ref="N9:N15" si="2">H9*(L9^2)</f>
        <v>9</v>
      </c>
    </row>
    <row r="10" spans="2:14" x14ac:dyDescent="0.2">
      <c r="B10" s="29" t="s">
        <v>240</v>
      </c>
      <c r="C10" s="33">
        <f>+C8/D9</f>
        <v>1.7142857142857142</v>
      </c>
      <c r="D10">
        <f>ROUNDUP(C10,0)</f>
        <v>2</v>
      </c>
      <c r="F10" s="29">
        <f>+G9</f>
        <v>5.5</v>
      </c>
      <c r="G10" s="29">
        <f t="shared" ref="G10:G15" si="3">+F10+$D$10</f>
        <v>7.5</v>
      </c>
      <c r="H10" s="29">
        <f>COUNTIFS($B$2:$K$6,"&lt;7.5",$B$2:$K$6,"&gt;5.5")</f>
        <v>10</v>
      </c>
      <c r="I10" s="33">
        <f t="shared" ref="I10:I15" si="4">+H10/$C$14</f>
        <v>0.2</v>
      </c>
      <c r="J10" s="29">
        <f t="shared" ref="J10:J15" si="5">+J9+H10</f>
        <v>11</v>
      </c>
      <c r="K10" s="29">
        <f t="shared" si="0"/>
        <v>6.5</v>
      </c>
      <c r="L10" s="29">
        <v>-2</v>
      </c>
      <c r="M10" s="29">
        <f t="shared" si="1"/>
        <v>-20</v>
      </c>
      <c r="N10" s="29">
        <f t="shared" si="2"/>
        <v>40</v>
      </c>
    </row>
    <row r="11" spans="2:14" x14ac:dyDescent="0.2">
      <c r="B11" s="29" t="s">
        <v>241</v>
      </c>
      <c r="C11" s="29">
        <f>+D10*D9</f>
        <v>14</v>
      </c>
      <c r="F11" s="29">
        <f t="shared" ref="F11:F15" si="6">+G10</f>
        <v>7.5</v>
      </c>
      <c r="G11" s="29">
        <f t="shared" si="3"/>
        <v>9.5</v>
      </c>
      <c r="H11" s="29">
        <f>COUNTIFS($B$2:$K$6,"&lt;9.5",$B$2:$K$6,"&gt;7.5")</f>
        <v>11</v>
      </c>
      <c r="I11" s="33">
        <f t="shared" si="4"/>
        <v>0.22</v>
      </c>
      <c r="J11" s="29">
        <f t="shared" si="5"/>
        <v>22</v>
      </c>
      <c r="K11" s="29">
        <f t="shared" si="0"/>
        <v>8.5</v>
      </c>
      <c r="L11" s="29">
        <v>-1</v>
      </c>
      <c r="M11" s="29">
        <f t="shared" si="1"/>
        <v>-11</v>
      </c>
      <c r="N11" s="29">
        <f t="shared" si="2"/>
        <v>11</v>
      </c>
    </row>
    <row r="12" spans="2:14" x14ac:dyDescent="0.2">
      <c r="B12" s="29" t="s">
        <v>242</v>
      </c>
      <c r="C12" s="29">
        <f>+C11-C8</f>
        <v>2</v>
      </c>
      <c r="F12" s="29">
        <f t="shared" si="6"/>
        <v>9.5</v>
      </c>
      <c r="G12" s="29">
        <f t="shared" si="3"/>
        <v>11.5</v>
      </c>
      <c r="H12" s="29">
        <f>COUNTIFS($B$2:$K$6,"&lt;11.5",$B$2:$K$6,"&gt;9.5")</f>
        <v>16</v>
      </c>
      <c r="I12" s="33">
        <f t="shared" si="4"/>
        <v>0.32</v>
      </c>
      <c r="J12" s="29">
        <f t="shared" si="5"/>
        <v>38</v>
      </c>
      <c r="K12" s="29">
        <f t="shared" si="0"/>
        <v>10.5</v>
      </c>
      <c r="L12" s="29">
        <v>0</v>
      </c>
      <c r="M12" s="29">
        <f t="shared" si="1"/>
        <v>0</v>
      </c>
      <c r="N12" s="29">
        <f t="shared" si="2"/>
        <v>0</v>
      </c>
    </row>
    <row r="13" spans="2:14" x14ac:dyDescent="0.2">
      <c r="B13" s="29" t="s">
        <v>243</v>
      </c>
      <c r="C13" s="29">
        <f>+C12/2</f>
        <v>1</v>
      </c>
      <c r="F13" s="29">
        <f t="shared" si="6"/>
        <v>11.5</v>
      </c>
      <c r="G13" s="29">
        <f t="shared" si="3"/>
        <v>13.5</v>
      </c>
      <c r="H13" s="29">
        <f>COUNTIFS($B$2:$K$6,"&lt;13.5",$B$2:$K$6,"&gt;11.5")</f>
        <v>9</v>
      </c>
      <c r="I13" s="33">
        <f t="shared" si="4"/>
        <v>0.18</v>
      </c>
      <c r="J13" s="29">
        <f t="shared" si="5"/>
        <v>47</v>
      </c>
      <c r="K13" s="29">
        <f>+(F13+G13)/2</f>
        <v>12.5</v>
      </c>
      <c r="L13" s="29">
        <v>1</v>
      </c>
      <c r="M13" s="29">
        <f t="shared" si="1"/>
        <v>9</v>
      </c>
      <c r="N13" s="29">
        <f t="shared" si="2"/>
        <v>9</v>
      </c>
    </row>
    <row r="14" spans="2:14" x14ac:dyDescent="0.2">
      <c r="B14" s="29" t="s">
        <v>250</v>
      </c>
      <c r="C14" s="29">
        <f>COUNT(B2:K6)</f>
        <v>50</v>
      </c>
      <c r="F14" s="29">
        <f t="shared" si="6"/>
        <v>13.5</v>
      </c>
      <c r="G14" s="29">
        <f t="shared" si="3"/>
        <v>15.5</v>
      </c>
      <c r="H14" s="29">
        <f>COUNTIFS($B$2:$K$6,"&lt;15.5",$B$2:$K$6,"&gt;13.5")</f>
        <v>2</v>
      </c>
      <c r="I14" s="33">
        <f t="shared" si="4"/>
        <v>0.04</v>
      </c>
      <c r="J14" s="29">
        <f t="shared" si="5"/>
        <v>49</v>
      </c>
      <c r="K14" s="29">
        <f t="shared" si="0"/>
        <v>14.5</v>
      </c>
      <c r="L14" s="29">
        <v>2</v>
      </c>
      <c r="M14" s="29">
        <f t="shared" si="1"/>
        <v>4</v>
      </c>
      <c r="N14" s="29">
        <f t="shared" si="2"/>
        <v>8</v>
      </c>
    </row>
    <row r="15" spans="2:14" x14ac:dyDescent="0.2">
      <c r="F15" s="29">
        <f t="shared" si="6"/>
        <v>15.5</v>
      </c>
      <c r="G15" s="29">
        <f t="shared" si="3"/>
        <v>17.5</v>
      </c>
      <c r="H15" s="29">
        <f>COUNTIFS($B$2:$K$6,"&lt;17.5",$B$2:$K$6,"&gt;15.5")</f>
        <v>1</v>
      </c>
      <c r="I15" s="33">
        <f t="shared" si="4"/>
        <v>0.02</v>
      </c>
      <c r="J15" s="29">
        <f t="shared" si="5"/>
        <v>50</v>
      </c>
      <c r="K15" s="29">
        <f t="shared" si="0"/>
        <v>16.5</v>
      </c>
      <c r="L15" s="29">
        <v>3</v>
      </c>
      <c r="M15" s="29">
        <f t="shared" si="1"/>
        <v>3</v>
      </c>
      <c r="N15" s="29">
        <f t="shared" si="2"/>
        <v>9</v>
      </c>
    </row>
    <row r="16" spans="2:14" ht="17" thickBot="1" x14ac:dyDescent="0.25">
      <c r="F16" s="29"/>
      <c r="G16" s="29"/>
      <c r="H16" s="29">
        <f>SUM(H9:H15)</f>
        <v>50</v>
      </c>
      <c r="I16" s="33"/>
      <c r="J16" s="29"/>
      <c r="K16" s="29"/>
      <c r="L16" s="29"/>
      <c r="M16" s="29">
        <f>SUM(M9:M15)</f>
        <v>-18</v>
      </c>
      <c r="N16" s="29">
        <f>SUM(N9:N15)</f>
        <v>86</v>
      </c>
    </row>
    <row r="17" spans="5:22" x14ac:dyDescent="0.2">
      <c r="E17" s="46" t="s">
        <v>577</v>
      </c>
      <c r="F17" s="307" t="s">
        <v>246</v>
      </c>
      <c r="G17" s="309"/>
    </row>
    <row r="18" spans="5:22" x14ac:dyDescent="0.2">
      <c r="F18" s="149" t="s">
        <v>247</v>
      </c>
      <c r="G18" s="150">
        <f>+H12-H11</f>
        <v>5</v>
      </c>
      <c r="T18" s="306" t="s">
        <v>329</v>
      </c>
      <c r="U18" s="306"/>
      <c r="V18" s="306"/>
    </row>
    <row r="19" spans="5:22" x14ac:dyDescent="0.2">
      <c r="F19" s="149" t="s">
        <v>248</v>
      </c>
      <c r="G19" s="150">
        <f>+H12-H13</f>
        <v>7</v>
      </c>
      <c r="T19" s="306"/>
      <c r="U19" s="306"/>
      <c r="V19" s="306"/>
    </row>
    <row r="20" spans="5:22" x14ac:dyDescent="0.2">
      <c r="F20" s="149" t="s">
        <v>249</v>
      </c>
      <c r="G20" s="151">
        <f>+F12+((G18/(G18+G19))*D10)</f>
        <v>10.333333333333334</v>
      </c>
      <c r="T20" s="306"/>
      <c r="U20" s="306"/>
      <c r="V20" s="306"/>
    </row>
    <row r="21" spans="5:22" x14ac:dyDescent="0.2">
      <c r="F21" s="149" t="s">
        <v>253</v>
      </c>
      <c r="G21" s="150">
        <f>(C14+1)/2</f>
        <v>25.5</v>
      </c>
      <c r="T21" s="306"/>
      <c r="U21" s="306"/>
      <c r="V21" s="306"/>
    </row>
    <row r="22" spans="5:22" x14ac:dyDescent="0.2">
      <c r="F22" s="149" t="s">
        <v>252</v>
      </c>
      <c r="G22" s="151">
        <f>F12+((((C14/2)-J11)/H12)*D10)</f>
        <v>9.875</v>
      </c>
      <c r="T22" s="306"/>
      <c r="U22" s="306"/>
      <c r="V22" s="306"/>
    </row>
    <row r="23" spans="5:22" ht="17" thickBot="1" x14ac:dyDescent="0.25">
      <c r="F23" s="152" t="s">
        <v>257</v>
      </c>
      <c r="G23" s="153">
        <f>+K12+((M16*D10)/C14)</f>
        <v>9.7799999999999994</v>
      </c>
    </row>
    <row r="24" spans="5:22" ht="17" thickBot="1" x14ac:dyDescent="0.25">
      <c r="U24" t="s">
        <v>577</v>
      </c>
    </row>
    <row r="25" spans="5:22" x14ac:dyDescent="0.2">
      <c r="E25" s="46" t="s">
        <v>578</v>
      </c>
      <c r="F25" s="307" t="s">
        <v>246</v>
      </c>
      <c r="G25" s="308"/>
      <c r="H25" s="154"/>
      <c r="I25" s="154"/>
      <c r="J25" s="155"/>
      <c r="U25" s="243" t="s">
        <v>579</v>
      </c>
      <c r="V25" s="236" t="s">
        <v>607</v>
      </c>
    </row>
    <row r="26" spans="5:22" x14ac:dyDescent="0.2">
      <c r="F26" s="149" t="s">
        <v>302</v>
      </c>
      <c r="G26" s="31">
        <f>D10*SQRT((N16/C14)-((M16^2)/(C14^2)))</f>
        <v>2.5222212432695112</v>
      </c>
      <c r="H26" s="310" t="s">
        <v>310</v>
      </c>
      <c r="I26" s="310"/>
      <c r="J26" s="311"/>
      <c r="U26" s="243" t="s">
        <v>580</v>
      </c>
      <c r="V26" s="236" t="s">
        <v>608</v>
      </c>
    </row>
    <row r="27" spans="5:22" x14ac:dyDescent="0.2">
      <c r="F27" s="149" t="s">
        <v>260</v>
      </c>
      <c r="G27" s="31">
        <f>G23+(3*G26)</f>
        <v>17.346663729808533</v>
      </c>
      <c r="H27" s="310"/>
      <c r="I27" s="310"/>
      <c r="J27" s="311"/>
      <c r="U27" s="243" t="s">
        <v>596</v>
      </c>
      <c r="V27" s="236" t="s">
        <v>609</v>
      </c>
    </row>
    <row r="28" spans="5:22" ht="17" thickBot="1" x14ac:dyDescent="0.25">
      <c r="F28" s="152" t="s">
        <v>261</v>
      </c>
      <c r="G28" s="156">
        <f>+G23-(3*G26)</f>
        <v>2.2133362701914656</v>
      </c>
      <c r="H28" s="312"/>
      <c r="I28" s="312"/>
      <c r="J28" s="313"/>
      <c r="U28" s="245" t="s">
        <v>578</v>
      </c>
    </row>
    <row r="29" spans="5:22" ht="17" thickBot="1" x14ac:dyDescent="0.25">
      <c r="U29" s="243" t="s">
        <v>581</v>
      </c>
      <c r="V29" s="236" t="s">
        <v>610</v>
      </c>
    </row>
    <row r="30" spans="5:22" x14ac:dyDescent="0.2">
      <c r="E30" s="46" t="s">
        <v>584</v>
      </c>
      <c r="F30" s="307" t="s">
        <v>318</v>
      </c>
      <c r="G30" s="308"/>
      <c r="H30" s="314" t="s">
        <v>319</v>
      </c>
      <c r="I30" s="314"/>
      <c r="J30" s="315"/>
      <c r="U30" s="243" t="s">
        <v>582</v>
      </c>
      <c r="V30" s="236" t="s">
        <v>611</v>
      </c>
    </row>
    <row r="31" spans="5:22" ht="16" customHeight="1" x14ac:dyDescent="0.2">
      <c r="F31" s="149" t="s">
        <v>264</v>
      </c>
      <c r="G31" s="29" t="s">
        <v>77</v>
      </c>
      <c r="H31" s="310"/>
      <c r="I31" s="310"/>
      <c r="J31" s="311"/>
      <c r="U31" s="243" t="s">
        <v>583</v>
      </c>
      <c r="V31" s="236" t="s">
        <v>612</v>
      </c>
    </row>
    <row r="32" spans="5:22" x14ac:dyDescent="0.2">
      <c r="F32" s="149" t="s">
        <v>311</v>
      </c>
      <c r="G32" s="29">
        <f>H9</f>
        <v>1</v>
      </c>
      <c r="H32" s="310"/>
      <c r="I32" s="310"/>
      <c r="J32" s="311"/>
      <c r="U32" s="245" t="s">
        <v>584</v>
      </c>
    </row>
    <row r="33" spans="5:22" x14ac:dyDescent="0.2">
      <c r="F33" s="149" t="s">
        <v>312</v>
      </c>
      <c r="G33" s="29">
        <f t="shared" ref="G33:G38" si="7">H10</f>
        <v>10</v>
      </c>
      <c r="H33" s="310"/>
      <c r="I33" s="310"/>
      <c r="J33" s="311"/>
      <c r="U33" s="61" t="s">
        <v>585</v>
      </c>
      <c r="V33" s="240" t="s">
        <v>613</v>
      </c>
    </row>
    <row r="34" spans="5:22" x14ac:dyDescent="0.2">
      <c r="F34" s="149" t="s">
        <v>313</v>
      </c>
      <c r="G34" s="29">
        <f t="shared" si="7"/>
        <v>11</v>
      </c>
      <c r="H34" s="310"/>
      <c r="I34" s="310"/>
      <c r="J34" s="311"/>
      <c r="U34" s="245" t="s">
        <v>586</v>
      </c>
    </row>
    <row r="35" spans="5:22" x14ac:dyDescent="0.2">
      <c r="F35" s="149" t="s">
        <v>314</v>
      </c>
      <c r="G35" s="29">
        <f t="shared" si="7"/>
        <v>16</v>
      </c>
      <c r="H35" s="310"/>
      <c r="I35" s="310"/>
      <c r="J35" s="311"/>
      <c r="U35" s="243" t="s">
        <v>587</v>
      </c>
      <c r="V35" s="236" t="s">
        <v>614</v>
      </c>
    </row>
    <row r="36" spans="5:22" x14ac:dyDescent="0.2">
      <c r="F36" s="149" t="s">
        <v>315</v>
      </c>
      <c r="G36" s="29">
        <f t="shared" si="7"/>
        <v>9</v>
      </c>
      <c r="H36" s="310"/>
      <c r="I36" s="310"/>
      <c r="J36" s="311"/>
      <c r="U36" s="61" t="s">
        <v>589</v>
      </c>
      <c r="V36" s="240" t="s">
        <v>615</v>
      </c>
    </row>
    <row r="37" spans="5:22" x14ac:dyDescent="0.2">
      <c r="F37" s="149" t="s">
        <v>316</v>
      </c>
      <c r="G37" s="29">
        <f t="shared" si="7"/>
        <v>2</v>
      </c>
      <c r="H37" s="310"/>
      <c r="I37" s="310"/>
      <c r="J37" s="311"/>
      <c r="U37" s="243" t="s">
        <v>588</v>
      </c>
      <c r="V37" s="236" t="s">
        <v>616</v>
      </c>
    </row>
    <row r="38" spans="5:22" ht="17" thickBot="1" x14ac:dyDescent="0.25">
      <c r="F38" s="152" t="s">
        <v>317</v>
      </c>
      <c r="G38" s="158">
        <f t="shared" si="7"/>
        <v>1</v>
      </c>
      <c r="H38" s="312"/>
      <c r="I38" s="312"/>
      <c r="J38" s="313"/>
      <c r="U38" s="61" t="s">
        <v>590</v>
      </c>
      <c r="V38" s="240" t="s">
        <v>606</v>
      </c>
    </row>
    <row r="39" spans="5:22" ht="17" thickBot="1" x14ac:dyDescent="0.25"/>
    <row r="40" spans="5:22" x14ac:dyDescent="0.2">
      <c r="E40" s="46" t="s">
        <v>586</v>
      </c>
      <c r="F40" s="307" t="s">
        <v>246</v>
      </c>
      <c r="G40" s="308"/>
      <c r="H40" s="94"/>
      <c r="I40" s="94"/>
      <c r="J40" s="94"/>
      <c r="K40" s="94"/>
      <c r="L40" s="94"/>
      <c r="M40" s="161"/>
    </row>
    <row r="41" spans="5:22" x14ac:dyDescent="0.2">
      <c r="F41" s="149" t="s">
        <v>292</v>
      </c>
      <c r="G41" s="33">
        <f>((1/C14)*K54)/(G26^4)</f>
        <v>2.882109892836016</v>
      </c>
      <c r="H41" t="s">
        <v>321</v>
      </c>
      <c r="M41" s="157"/>
    </row>
    <row r="42" spans="5:22" x14ac:dyDescent="0.2">
      <c r="F42" s="149" t="s">
        <v>293</v>
      </c>
      <c r="G42" s="33">
        <f>(1/C14)*(M54/(G26^3))</f>
        <v>0.16429993236473178</v>
      </c>
      <c r="H42" t="s">
        <v>320</v>
      </c>
      <c r="M42" s="157"/>
    </row>
    <row r="43" spans="5:22" x14ac:dyDescent="0.2">
      <c r="F43" s="162"/>
      <c r="M43" s="157"/>
    </row>
    <row r="44" spans="5:22" x14ac:dyDescent="0.2">
      <c r="F44" s="162"/>
      <c r="M44" s="157"/>
    </row>
    <row r="45" spans="5:22" x14ac:dyDescent="0.2">
      <c r="F45" s="162"/>
      <c r="M45" s="157"/>
    </row>
    <row r="46" spans="5:22" x14ac:dyDescent="0.2">
      <c r="F46" s="149" t="str">
        <f>K8</f>
        <v>Punto medio</v>
      </c>
      <c r="G46" s="29" t="str">
        <f>H8</f>
        <v>Fo</v>
      </c>
      <c r="H46" s="29" t="s">
        <v>294</v>
      </c>
      <c r="I46" s="29" t="s">
        <v>297</v>
      </c>
      <c r="J46" s="29" t="s">
        <v>298</v>
      </c>
      <c r="K46" s="29"/>
      <c r="L46" s="29" t="s">
        <v>299</v>
      </c>
      <c r="M46" s="157"/>
    </row>
    <row r="47" spans="5:22" x14ac:dyDescent="0.2">
      <c r="F47" s="149">
        <f t="shared" ref="F47:F53" si="8">K9</f>
        <v>4</v>
      </c>
      <c r="G47" s="29">
        <f t="shared" ref="G47:G53" si="9">H9</f>
        <v>1</v>
      </c>
      <c r="H47" s="29">
        <f>+F47*G47</f>
        <v>4</v>
      </c>
      <c r="I47" s="31">
        <f>+F47-$G$23</f>
        <v>-5.7799999999999994</v>
      </c>
      <c r="J47" s="31">
        <f>I47^4</f>
        <v>1116.1211905599996</v>
      </c>
      <c r="K47" s="31">
        <f>+J47*G47</f>
        <v>1116.1211905599996</v>
      </c>
      <c r="L47" s="33">
        <f>I47^3</f>
        <v>-193.10055199999994</v>
      </c>
      <c r="M47" s="163">
        <f>+L47*G47</f>
        <v>-193.10055199999994</v>
      </c>
    </row>
    <row r="48" spans="5:22" x14ac:dyDescent="0.2">
      <c r="F48" s="149">
        <f t="shared" si="8"/>
        <v>6.5</v>
      </c>
      <c r="G48" s="29">
        <f t="shared" si="9"/>
        <v>10</v>
      </c>
      <c r="H48" s="29">
        <f t="shared" ref="H48:H53" si="10">+F48*G48</f>
        <v>65</v>
      </c>
      <c r="I48" s="31">
        <f t="shared" ref="I48:I53" si="11">+F48-$G$23</f>
        <v>-3.2799999999999994</v>
      </c>
      <c r="J48" s="31">
        <f t="shared" ref="J48:J53" si="12">I48^4</f>
        <v>115.74317055999992</v>
      </c>
      <c r="K48" s="31">
        <f t="shared" ref="K48:K53" si="13">+J48*G48</f>
        <v>1157.4317055999993</v>
      </c>
      <c r="L48" s="33">
        <f t="shared" ref="L48:L53" si="14">I48^3</f>
        <v>-35.287551999999984</v>
      </c>
      <c r="M48" s="163">
        <f t="shared" ref="M48:M53" si="15">+L48*G48</f>
        <v>-352.87551999999982</v>
      </c>
    </row>
    <row r="49" spans="2:13" x14ac:dyDescent="0.2">
      <c r="F49" s="149">
        <f t="shared" si="8"/>
        <v>8.5</v>
      </c>
      <c r="G49" s="29">
        <f t="shared" si="9"/>
        <v>11</v>
      </c>
      <c r="H49" s="29">
        <f t="shared" si="10"/>
        <v>93.5</v>
      </c>
      <c r="I49" s="31">
        <f t="shared" si="11"/>
        <v>-1.2799999999999994</v>
      </c>
      <c r="J49" s="31">
        <f t="shared" si="12"/>
        <v>2.6843545599999943</v>
      </c>
      <c r="K49" s="31">
        <f t="shared" si="13"/>
        <v>29.527900159999938</v>
      </c>
      <c r="L49" s="33">
        <f t="shared" si="14"/>
        <v>-2.0971519999999968</v>
      </c>
      <c r="M49" s="163">
        <f t="shared" si="15"/>
        <v>-23.068671999999964</v>
      </c>
    </row>
    <row r="50" spans="2:13" x14ac:dyDescent="0.2">
      <c r="F50" s="149">
        <f t="shared" si="8"/>
        <v>10.5</v>
      </c>
      <c r="G50" s="29">
        <f t="shared" si="9"/>
        <v>16</v>
      </c>
      <c r="H50" s="29">
        <f t="shared" si="10"/>
        <v>168</v>
      </c>
      <c r="I50" s="31">
        <f t="shared" si="11"/>
        <v>0.72000000000000064</v>
      </c>
      <c r="J50" s="31">
        <f t="shared" si="12"/>
        <v>0.26873856000000101</v>
      </c>
      <c r="K50" s="31">
        <f t="shared" si="13"/>
        <v>4.2998169600000162</v>
      </c>
      <c r="L50" s="33">
        <f t="shared" si="14"/>
        <v>0.37324800000000102</v>
      </c>
      <c r="M50" s="163">
        <f t="shared" si="15"/>
        <v>5.9719680000000164</v>
      </c>
    </row>
    <row r="51" spans="2:13" x14ac:dyDescent="0.2">
      <c r="F51" s="149">
        <f t="shared" si="8"/>
        <v>12.5</v>
      </c>
      <c r="G51" s="29">
        <f t="shared" si="9"/>
        <v>9</v>
      </c>
      <c r="H51" s="29">
        <f t="shared" si="10"/>
        <v>112.5</v>
      </c>
      <c r="I51" s="31">
        <f t="shared" si="11"/>
        <v>2.7200000000000006</v>
      </c>
      <c r="J51" s="31">
        <f t="shared" si="12"/>
        <v>54.736322560000048</v>
      </c>
      <c r="K51" s="31">
        <f t="shared" si="13"/>
        <v>492.62690304000046</v>
      </c>
      <c r="L51" s="33">
        <f t="shared" si="14"/>
        <v>20.123648000000014</v>
      </c>
      <c r="M51" s="163">
        <f t="shared" si="15"/>
        <v>181.11283200000011</v>
      </c>
    </row>
    <row r="52" spans="2:13" x14ac:dyDescent="0.2">
      <c r="F52" s="149">
        <f t="shared" si="8"/>
        <v>14.5</v>
      </c>
      <c r="G52" s="29">
        <f t="shared" si="9"/>
        <v>2</v>
      </c>
      <c r="H52" s="29">
        <f t="shared" si="10"/>
        <v>29</v>
      </c>
      <c r="I52" s="31">
        <f t="shared" si="11"/>
        <v>4.7200000000000006</v>
      </c>
      <c r="J52" s="31">
        <f t="shared" si="12"/>
        <v>496.32710656000023</v>
      </c>
      <c r="K52" s="31">
        <f t="shared" si="13"/>
        <v>992.65421312000046</v>
      </c>
      <c r="L52" s="33">
        <f t="shared" si="14"/>
        <v>105.15404800000003</v>
      </c>
      <c r="M52" s="163">
        <f t="shared" si="15"/>
        <v>210.30809600000006</v>
      </c>
    </row>
    <row r="53" spans="2:13" x14ac:dyDescent="0.2">
      <c r="F53" s="149">
        <f t="shared" si="8"/>
        <v>16.5</v>
      </c>
      <c r="G53" s="29">
        <f t="shared" si="9"/>
        <v>1</v>
      </c>
      <c r="H53" s="29">
        <f t="shared" si="10"/>
        <v>16.5</v>
      </c>
      <c r="I53" s="31">
        <f t="shared" si="11"/>
        <v>6.7200000000000006</v>
      </c>
      <c r="J53" s="31">
        <f t="shared" si="12"/>
        <v>2039.2810905600006</v>
      </c>
      <c r="K53" s="31">
        <f t="shared" si="13"/>
        <v>2039.2810905600006</v>
      </c>
      <c r="L53" s="33">
        <f t="shared" si="14"/>
        <v>303.46444800000006</v>
      </c>
      <c r="M53" s="163">
        <f t="shared" si="15"/>
        <v>303.46444800000006</v>
      </c>
    </row>
    <row r="54" spans="2:13" x14ac:dyDescent="0.2">
      <c r="F54" s="149">
        <f>SUM(F47:F53)</f>
        <v>73</v>
      </c>
      <c r="G54" s="29">
        <f>SUM(G47:G53)</f>
        <v>50</v>
      </c>
      <c r="H54" s="29">
        <f>SUM(H47:H53)</f>
        <v>488.5</v>
      </c>
      <c r="I54" s="31"/>
      <c r="J54" s="31"/>
      <c r="K54" s="31">
        <f>SUM(K47:K53)</f>
        <v>5831.9428200000002</v>
      </c>
      <c r="L54" s="33">
        <f>SUM(L47:L53)</f>
        <v>198.63013600000016</v>
      </c>
      <c r="M54" s="163">
        <f>SUM(M47:M53)</f>
        <v>131.81260000000063</v>
      </c>
    </row>
    <row r="55" spans="2:13" ht="17" thickBot="1" x14ac:dyDescent="0.25">
      <c r="F55" s="152"/>
      <c r="G55" s="158"/>
      <c r="H55" s="158"/>
      <c r="I55" s="158"/>
      <c r="J55" s="158"/>
      <c r="K55" s="156"/>
      <c r="L55" s="164"/>
      <c r="M55" s="153"/>
    </row>
    <row r="58" spans="2:13" ht="24" x14ac:dyDescent="0.3">
      <c r="B58" s="171" t="s">
        <v>308</v>
      </c>
    </row>
    <row r="60" spans="2:13" ht="20" thickBot="1" x14ac:dyDescent="0.25">
      <c r="B60" s="70">
        <v>12</v>
      </c>
    </row>
    <row r="61" spans="2:13" ht="19" x14ac:dyDescent="0.2">
      <c r="B61" s="70">
        <v>10</v>
      </c>
      <c r="D61" s="170" t="s">
        <v>306</v>
      </c>
      <c r="E61" s="165" t="s">
        <v>295</v>
      </c>
      <c r="F61" s="166">
        <f>+J63</f>
        <v>9.74</v>
      </c>
      <c r="I61" s="160" t="s">
        <v>291</v>
      </c>
      <c r="J61" s="160"/>
    </row>
    <row r="62" spans="2:13" ht="19" x14ac:dyDescent="0.2">
      <c r="B62" s="70">
        <v>12</v>
      </c>
      <c r="D62" s="170"/>
      <c r="E62" s="162" t="s">
        <v>296</v>
      </c>
      <c r="F62" s="167">
        <f>+J65</f>
        <v>10</v>
      </c>
    </row>
    <row r="63" spans="2:13" ht="20" thickBot="1" x14ac:dyDescent="0.25">
      <c r="B63" s="70">
        <v>11</v>
      </c>
      <c r="D63" s="170"/>
      <c r="E63" s="168" t="s">
        <v>300</v>
      </c>
      <c r="F63" s="169">
        <f>+J66</f>
        <v>10</v>
      </c>
      <c r="I63" t="s">
        <v>278</v>
      </c>
      <c r="J63">
        <v>9.74</v>
      </c>
    </row>
    <row r="64" spans="2:13" ht="20" thickBot="1" x14ac:dyDescent="0.25">
      <c r="B64" s="70">
        <v>15</v>
      </c>
      <c r="D64" s="170"/>
      <c r="I64" t="s">
        <v>279</v>
      </c>
      <c r="J64">
        <v>0.36344159904772494</v>
      </c>
    </row>
    <row r="65" spans="2:10" ht="19" x14ac:dyDescent="0.2">
      <c r="B65" s="70">
        <v>13</v>
      </c>
      <c r="D65" s="170" t="s">
        <v>307</v>
      </c>
      <c r="E65" s="165" t="s">
        <v>301</v>
      </c>
      <c r="F65" s="166">
        <f>+J67</f>
        <v>2.5699201925192861</v>
      </c>
      <c r="I65" t="s">
        <v>280</v>
      </c>
      <c r="J65">
        <v>10</v>
      </c>
    </row>
    <row r="66" spans="2:10" ht="19" x14ac:dyDescent="0.2">
      <c r="B66" s="70">
        <v>6</v>
      </c>
      <c r="D66" s="170"/>
      <c r="E66" s="162" t="s">
        <v>245</v>
      </c>
      <c r="F66" s="167">
        <f>F61+(3*F65)</f>
        <v>17.449760577557861</v>
      </c>
      <c r="I66" t="s">
        <v>281</v>
      </c>
      <c r="J66">
        <v>10</v>
      </c>
    </row>
    <row r="67" spans="2:10" ht="20" thickBot="1" x14ac:dyDescent="0.25">
      <c r="B67" s="70">
        <v>10</v>
      </c>
      <c r="D67" s="170"/>
      <c r="E67" s="168" t="s">
        <v>244</v>
      </c>
      <c r="F67" s="169">
        <f>F61-(3*F65)</f>
        <v>2.0302394224421416</v>
      </c>
      <c r="I67" t="s">
        <v>282</v>
      </c>
      <c r="J67">
        <v>2.5699201925192861</v>
      </c>
    </row>
    <row r="68" spans="2:10" ht="19" x14ac:dyDescent="0.2">
      <c r="B68" s="70">
        <v>9</v>
      </c>
      <c r="D68" s="170"/>
      <c r="I68" t="s">
        <v>283</v>
      </c>
      <c r="J68">
        <v>6.604489795918365</v>
      </c>
    </row>
    <row r="69" spans="2:10" ht="19" x14ac:dyDescent="0.2">
      <c r="B69" s="70">
        <v>10</v>
      </c>
      <c r="D69" s="170" t="s">
        <v>304</v>
      </c>
      <c r="E69" t="s">
        <v>303</v>
      </c>
      <c r="I69" t="s">
        <v>284</v>
      </c>
      <c r="J69">
        <v>-4.0078457082248331E-2</v>
      </c>
    </row>
    <row r="70" spans="2:10" ht="20" thickBot="1" x14ac:dyDescent="0.25">
      <c r="B70" s="70">
        <v>12</v>
      </c>
      <c r="D70" s="170"/>
      <c r="I70" t="s">
        <v>285</v>
      </c>
      <c r="J70">
        <v>0.18073710886714289</v>
      </c>
    </row>
    <row r="71" spans="2:10" ht="19" x14ac:dyDescent="0.2">
      <c r="B71" s="70">
        <v>6</v>
      </c>
      <c r="D71" s="170" t="s">
        <v>305</v>
      </c>
      <c r="E71" s="165" t="s">
        <v>284</v>
      </c>
      <c r="F71" s="172">
        <f>+J69</f>
        <v>-4.0078457082248331E-2</v>
      </c>
      <c r="G71" s="161" t="s">
        <v>330</v>
      </c>
      <c r="I71" t="s">
        <v>286</v>
      </c>
      <c r="J71">
        <v>12</v>
      </c>
    </row>
    <row r="72" spans="2:10" ht="20" thickBot="1" x14ac:dyDescent="0.25">
      <c r="B72" s="70">
        <v>7</v>
      </c>
      <c r="E72" s="168" t="s">
        <v>293</v>
      </c>
      <c r="F72" s="173">
        <f>+J70</f>
        <v>0.18073710886714289</v>
      </c>
      <c r="G72" s="159"/>
      <c r="I72" t="s">
        <v>287</v>
      </c>
      <c r="J72">
        <v>4</v>
      </c>
    </row>
    <row r="73" spans="2:10" ht="19" x14ac:dyDescent="0.2">
      <c r="B73" s="70">
        <v>8</v>
      </c>
      <c r="I73" t="s">
        <v>288</v>
      </c>
      <c r="J73">
        <v>16</v>
      </c>
    </row>
    <row r="74" spans="2:10" ht="19" x14ac:dyDescent="0.2">
      <c r="B74" s="70">
        <v>13</v>
      </c>
      <c r="I74" t="s">
        <v>289</v>
      </c>
      <c r="J74">
        <v>487</v>
      </c>
    </row>
    <row r="75" spans="2:10" ht="20" thickBot="1" x14ac:dyDescent="0.25">
      <c r="B75" s="70">
        <v>11</v>
      </c>
      <c r="I75" s="1" t="s">
        <v>290</v>
      </c>
      <c r="J75" s="1">
        <v>50</v>
      </c>
    </row>
    <row r="76" spans="2:10" ht="19" x14ac:dyDescent="0.2">
      <c r="B76" s="70">
        <v>16</v>
      </c>
    </row>
    <row r="77" spans="2:10" ht="19" x14ac:dyDescent="0.2">
      <c r="B77" s="70">
        <v>12</v>
      </c>
    </row>
    <row r="78" spans="2:10" ht="19" x14ac:dyDescent="0.2">
      <c r="B78" s="70">
        <v>11</v>
      </c>
    </row>
    <row r="79" spans="2:10" ht="19" x14ac:dyDescent="0.2">
      <c r="B79" s="70">
        <v>10</v>
      </c>
    </row>
    <row r="80" spans="2:10" ht="19" x14ac:dyDescent="0.2">
      <c r="B80" s="70">
        <v>9</v>
      </c>
    </row>
    <row r="81" spans="2:2" ht="19" x14ac:dyDescent="0.2">
      <c r="B81" s="70">
        <v>8</v>
      </c>
    </row>
    <row r="82" spans="2:2" ht="19" x14ac:dyDescent="0.2">
      <c r="B82" s="70">
        <v>7</v>
      </c>
    </row>
    <row r="83" spans="2:2" ht="19" x14ac:dyDescent="0.2">
      <c r="B83" s="70">
        <v>9</v>
      </c>
    </row>
    <row r="84" spans="2:2" ht="19" x14ac:dyDescent="0.2">
      <c r="B84" s="70">
        <v>6</v>
      </c>
    </row>
    <row r="85" spans="2:2" ht="19" x14ac:dyDescent="0.2">
      <c r="B85" s="70">
        <v>7</v>
      </c>
    </row>
    <row r="86" spans="2:2" ht="19" x14ac:dyDescent="0.2">
      <c r="B86" s="70">
        <v>13</v>
      </c>
    </row>
    <row r="87" spans="2:2" ht="19" x14ac:dyDescent="0.2">
      <c r="B87" s="70">
        <v>10</v>
      </c>
    </row>
    <row r="88" spans="2:2" ht="19" x14ac:dyDescent="0.2">
      <c r="B88" s="70">
        <v>10</v>
      </c>
    </row>
    <row r="89" spans="2:2" ht="19" x14ac:dyDescent="0.2">
      <c r="B89" s="70">
        <v>9</v>
      </c>
    </row>
    <row r="90" spans="2:2" ht="19" x14ac:dyDescent="0.2">
      <c r="B90" s="70">
        <v>7</v>
      </c>
    </row>
    <row r="91" spans="2:2" ht="19" x14ac:dyDescent="0.2">
      <c r="B91" s="70">
        <v>6</v>
      </c>
    </row>
    <row r="92" spans="2:2" ht="19" x14ac:dyDescent="0.2">
      <c r="B92" s="70">
        <v>11</v>
      </c>
    </row>
    <row r="93" spans="2:2" ht="19" x14ac:dyDescent="0.2">
      <c r="B93" s="70">
        <v>9</v>
      </c>
    </row>
    <row r="94" spans="2:2" ht="19" x14ac:dyDescent="0.2">
      <c r="B94" s="70">
        <v>9</v>
      </c>
    </row>
    <row r="95" spans="2:2" ht="19" x14ac:dyDescent="0.2">
      <c r="B95" s="70">
        <v>8</v>
      </c>
    </row>
    <row r="96" spans="2:2" ht="19" x14ac:dyDescent="0.2">
      <c r="B96" s="70">
        <v>7</v>
      </c>
    </row>
    <row r="97" spans="2:2" ht="19" x14ac:dyDescent="0.2">
      <c r="B97" s="70">
        <v>10</v>
      </c>
    </row>
    <row r="98" spans="2:2" ht="19" x14ac:dyDescent="0.2">
      <c r="B98" s="70">
        <v>10</v>
      </c>
    </row>
    <row r="99" spans="2:2" ht="19" x14ac:dyDescent="0.2">
      <c r="B99" s="70">
        <v>11</v>
      </c>
    </row>
    <row r="100" spans="2:2" ht="19" x14ac:dyDescent="0.2">
      <c r="B100" s="70">
        <v>11</v>
      </c>
    </row>
    <row r="101" spans="2:2" ht="19" x14ac:dyDescent="0.2">
      <c r="B101" s="70">
        <v>10</v>
      </c>
    </row>
    <row r="102" spans="2:2" ht="19" x14ac:dyDescent="0.2">
      <c r="B102" s="70">
        <v>12</v>
      </c>
    </row>
    <row r="103" spans="2:2" ht="19" x14ac:dyDescent="0.2">
      <c r="B103" s="70">
        <v>10</v>
      </c>
    </row>
    <row r="104" spans="2:2" ht="19" x14ac:dyDescent="0.2">
      <c r="B104" s="70">
        <v>15</v>
      </c>
    </row>
    <row r="105" spans="2:2" ht="19" x14ac:dyDescent="0.2">
      <c r="B105" s="70">
        <v>6</v>
      </c>
    </row>
    <row r="106" spans="2:2" ht="19" x14ac:dyDescent="0.2">
      <c r="B106" s="70">
        <v>9</v>
      </c>
    </row>
    <row r="107" spans="2:2" ht="19" x14ac:dyDescent="0.2">
      <c r="B107" s="70">
        <v>12</v>
      </c>
    </row>
    <row r="108" spans="2:2" ht="19" x14ac:dyDescent="0.2">
      <c r="B108" s="70">
        <v>8</v>
      </c>
    </row>
    <row r="109" spans="2:2" ht="19" x14ac:dyDescent="0.2">
      <c r="B109" s="70">
        <v>4</v>
      </c>
    </row>
  </sheetData>
  <mergeCells count="7">
    <mergeCell ref="T18:V22"/>
    <mergeCell ref="F40:G40"/>
    <mergeCell ref="F17:G17"/>
    <mergeCell ref="F25:G25"/>
    <mergeCell ref="H26:J28"/>
    <mergeCell ref="F30:G30"/>
    <mergeCell ref="H30:J38"/>
  </mergeCells>
  <pageMargins left="0.7" right="0.7" top="0.75" bottom="0.75" header="0.3" footer="0.3"/>
  <ignoredErrors>
    <ignoredError sqref="H11" formula="1"/>
  </ignoredError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4DBB4-868E-114D-8DA2-E2C9E9D8C65D}">
  <dimension ref="B2:W97"/>
  <sheetViews>
    <sheetView zoomScaleNormal="100" workbookViewId="0">
      <selection activeCell="Q52" sqref="Q52"/>
    </sheetView>
  </sheetViews>
  <sheetFormatPr baseColWidth="10" defaultRowHeight="16" x14ac:dyDescent="0.2"/>
  <cols>
    <col min="1" max="1" width="4.83203125" customWidth="1"/>
    <col min="7" max="7" width="13.33203125" customWidth="1"/>
    <col min="10" max="10" width="12.6640625" bestFit="1" customWidth="1"/>
    <col min="21" max="21" width="19.33203125" customWidth="1"/>
    <col min="22" max="22" width="46.33203125" customWidth="1"/>
    <col min="2000" max="2000" width="2.5" customWidth="1"/>
  </cols>
  <sheetData>
    <row r="2" spans="2:14" x14ac:dyDescent="0.2">
      <c r="B2" s="69">
        <v>1.0900000000000001</v>
      </c>
      <c r="C2" s="69">
        <v>1.74</v>
      </c>
      <c r="D2" s="69">
        <v>1.58</v>
      </c>
      <c r="E2" s="69">
        <v>2.11</v>
      </c>
      <c r="F2" s="69">
        <v>1.64</v>
      </c>
      <c r="G2" s="69">
        <v>1.79</v>
      </c>
      <c r="H2" s="69">
        <v>1.37</v>
      </c>
      <c r="I2" s="69">
        <v>1.75</v>
      </c>
    </row>
    <row r="3" spans="2:14" x14ac:dyDescent="0.2">
      <c r="B3" s="69">
        <v>1.92</v>
      </c>
      <c r="C3" s="69">
        <v>1.47</v>
      </c>
      <c r="D3" s="69">
        <v>2.0299999999999998</v>
      </c>
      <c r="E3" s="69">
        <v>1.86</v>
      </c>
      <c r="F3" s="69">
        <v>0.72</v>
      </c>
      <c r="G3" s="69">
        <v>2.46</v>
      </c>
      <c r="H3" s="69">
        <v>1.93</v>
      </c>
      <c r="I3" s="69">
        <v>1.63</v>
      </c>
    </row>
    <row r="4" spans="2:14" x14ac:dyDescent="0.2">
      <c r="B4" s="69">
        <v>2.31</v>
      </c>
      <c r="C4" s="69">
        <v>1.97</v>
      </c>
      <c r="D4" s="69">
        <v>1.7</v>
      </c>
      <c r="E4" s="69">
        <v>1.9</v>
      </c>
      <c r="F4" s="69">
        <v>1.69</v>
      </c>
      <c r="G4" s="69">
        <v>1.88</v>
      </c>
      <c r="H4" s="69">
        <v>1.4</v>
      </c>
      <c r="I4" s="69">
        <v>2.37</v>
      </c>
    </row>
    <row r="5" spans="2:14" x14ac:dyDescent="0.2">
      <c r="B5" s="69">
        <v>1.79</v>
      </c>
      <c r="C5" s="69">
        <v>0.85</v>
      </c>
      <c r="D5" s="69">
        <v>2.17</v>
      </c>
      <c r="E5" s="69">
        <v>1.68</v>
      </c>
      <c r="F5" s="69">
        <v>1.85</v>
      </c>
      <c r="G5" s="69">
        <v>2.08</v>
      </c>
      <c r="H5" s="69">
        <v>1.64</v>
      </c>
      <c r="I5" s="69">
        <v>1.75</v>
      </c>
    </row>
    <row r="6" spans="2:14" x14ac:dyDescent="0.2">
      <c r="B6" s="69">
        <v>2.2799999999999998</v>
      </c>
      <c r="C6" s="69">
        <v>1.24</v>
      </c>
      <c r="D6" s="69">
        <v>2.5499999999999998</v>
      </c>
      <c r="E6" s="69">
        <v>1.51</v>
      </c>
      <c r="F6" s="69">
        <v>1.82</v>
      </c>
      <c r="G6" s="69">
        <v>1.67</v>
      </c>
      <c r="H6" s="69">
        <v>2.09</v>
      </c>
      <c r="I6" s="69">
        <v>1.69</v>
      </c>
    </row>
    <row r="8" spans="2:14" x14ac:dyDescent="0.2">
      <c r="B8" s="29" t="s">
        <v>238</v>
      </c>
      <c r="C8" s="29">
        <f>MAX(B2:I6)-MIN(B2:I6)</f>
        <v>1.8299999999999998</v>
      </c>
      <c r="F8" s="29" t="s">
        <v>244</v>
      </c>
      <c r="G8" s="29" t="s">
        <v>245</v>
      </c>
      <c r="H8" s="29" t="s">
        <v>77</v>
      </c>
      <c r="I8" s="29" t="s">
        <v>263</v>
      </c>
      <c r="J8" s="29" t="s">
        <v>251</v>
      </c>
      <c r="K8" s="29" t="s">
        <v>254</v>
      </c>
      <c r="L8" s="29" t="s">
        <v>90</v>
      </c>
      <c r="M8" s="29" t="s">
        <v>255</v>
      </c>
      <c r="N8" s="29" t="s">
        <v>256</v>
      </c>
    </row>
    <row r="9" spans="2:14" x14ac:dyDescent="0.2">
      <c r="B9" s="29" t="s">
        <v>239</v>
      </c>
      <c r="C9" s="31">
        <f>1+(3.3*LOG(C14))</f>
        <v>6.286797971382275</v>
      </c>
      <c r="D9" s="2">
        <f>ROUNDUP(C9,0)</f>
        <v>7</v>
      </c>
      <c r="F9" s="33">
        <f>(MIN(B2:I6)-C13)-0.005</f>
        <v>0.7024999999999999</v>
      </c>
      <c r="G9" s="33">
        <f>(F9+$D$10)+0.005+0.005</f>
        <v>0.97749999999999992</v>
      </c>
      <c r="H9" s="29">
        <f>COUNTIFS(B2:I6,"&lt;0.978")</f>
        <v>2</v>
      </c>
      <c r="I9" s="33">
        <f>+H9/$C$14</f>
        <v>0.05</v>
      </c>
      <c r="J9" s="29">
        <f>+H9</f>
        <v>2</v>
      </c>
      <c r="K9" s="33">
        <f t="shared" ref="K9:K15" si="0">+(F9+G9)/2</f>
        <v>0.83999999999999986</v>
      </c>
      <c r="L9" s="29">
        <v>-3</v>
      </c>
      <c r="M9" s="29">
        <f t="shared" ref="M9:M15" si="1">+H9*L9</f>
        <v>-6</v>
      </c>
      <c r="N9" s="29">
        <f t="shared" ref="N9:N15" si="2">H9*(L9^2)</f>
        <v>18</v>
      </c>
    </row>
    <row r="10" spans="2:14" x14ac:dyDescent="0.2">
      <c r="B10" s="29" t="s">
        <v>240</v>
      </c>
      <c r="C10" s="33">
        <f>+C8/D9</f>
        <v>0.2614285714285714</v>
      </c>
      <c r="D10">
        <v>0.26500000000000001</v>
      </c>
      <c r="F10" s="33">
        <f>+G9</f>
        <v>0.97749999999999992</v>
      </c>
      <c r="G10" s="33">
        <f t="shared" ref="G10:G15" si="3">+F10+$D$10</f>
        <v>1.2424999999999999</v>
      </c>
      <c r="H10" s="29">
        <f>COUNTIFS($B$2:$I$6,"&lt;1.243",$B$2:$I$6,"&gt;0.978")</f>
        <v>2</v>
      </c>
      <c r="I10" s="33">
        <f t="shared" ref="I10:I15" si="4">+H10/$C$14</f>
        <v>0.05</v>
      </c>
      <c r="J10" s="29">
        <f t="shared" ref="J10:J15" si="5">+J9+H10</f>
        <v>4</v>
      </c>
      <c r="K10" s="33">
        <f t="shared" si="0"/>
        <v>1.1099999999999999</v>
      </c>
      <c r="L10" s="29">
        <v>-2</v>
      </c>
      <c r="M10" s="29">
        <f t="shared" si="1"/>
        <v>-4</v>
      </c>
      <c r="N10" s="29">
        <f t="shared" si="2"/>
        <v>8</v>
      </c>
    </row>
    <row r="11" spans="2:14" x14ac:dyDescent="0.2">
      <c r="B11" s="29" t="s">
        <v>241</v>
      </c>
      <c r="C11" s="29">
        <f>+D10*D9</f>
        <v>1.855</v>
      </c>
      <c r="F11" s="33">
        <f t="shared" ref="F11:F15" si="6">+G10</f>
        <v>1.2424999999999999</v>
      </c>
      <c r="G11" s="33">
        <f t="shared" si="3"/>
        <v>1.5074999999999998</v>
      </c>
      <c r="H11" s="29">
        <f>COUNTIFS($B$2:$I$6,"&lt;1.508",$B$2:$I$6,"&gt;1.243")</f>
        <v>3</v>
      </c>
      <c r="I11" s="33">
        <f t="shared" si="4"/>
        <v>7.4999999999999997E-2</v>
      </c>
      <c r="J11" s="29">
        <f t="shared" si="5"/>
        <v>7</v>
      </c>
      <c r="K11" s="33">
        <f t="shared" si="0"/>
        <v>1.375</v>
      </c>
      <c r="L11" s="29">
        <v>-1</v>
      </c>
      <c r="M11" s="29">
        <f t="shared" si="1"/>
        <v>-3</v>
      </c>
      <c r="N11" s="29">
        <f t="shared" si="2"/>
        <v>3</v>
      </c>
    </row>
    <row r="12" spans="2:14" x14ac:dyDescent="0.2">
      <c r="B12" s="29" t="s">
        <v>242</v>
      </c>
      <c r="C12" s="29">
        <f>+C11-C8</f>
        <v>2.5000000000000133E-2</v>
      </c>
      <c r="F12" s="33">
        <f t="shared" si="6"/>
        <v>1.5074999999999998</v>
      </c>
      <c r="G12" s="33">
        <f t="shared" si="3"/>
        <v>1.7725</v>
      </c>
      <c r="H12" s="29">
        <f>COUNTIFS($B$2:$I$6,"&lt;1.773",$B$2:$I$6,"&gt;1.508")</f>
        <v>13</v>
      </c>
      <c r="I12" s="33">
        <f t="shared" si="4"/>
        <v>0.32500000000000001</v>
      </c>
      <c r="J12" s="29">
        <f t="shared" si="5"/>
        <v>20</v>
      </c>
      <c r="K12" s="33">
        <f t="shared" si="0"/>
        <v>1.64</v>
      </c>
      <c r="L12" s="29">
        <v>0</v>
      </c>
      <c r="M12" s="29">
        <f t="shared" si="1"/>
        <v>0</v>
      </c>
      <c r="N12" s="29">
        <f t="shared" si="2"/>
        <v>0</v>
      </c>
    </row>
    <row r="13" spans="2:14" x14ac:dyDescent="0.2">
      <c r="B13" s="29" t="s">
        <v>243</v>
      </c>
      <c r="C13" s="29">
        <f>+C12/2</f>
        <v>1.2500000000000067E-2</v>
      </c>
      <c r="F13" s="33">
        <f t="shared" si="6"/>
        <v>1.7725</v>
      </c>
      <c r="G13" s="33">
        <f t="shared" si="3"/>
        <v>2.0375000000000001</v>
      </c>
      <c r="H13" s="29">
        <f>COUNTIFS($B$2:$I$6,"&lt;2.038",$B$2:$I$6,"&gt;1.773")</f>
        <v>11</v>
      </c>
      <c r="I13" s="33">
        <f t="shared" si="4"/>
        <v>0.27500000000000002</v>
      </c>
      <c r="J13" s="29">
        <f t="shared" si="5"/>
        <v>31</v>
      </c>
      <c r="K13" s="33">
        <f>+(F13+G13)/2</f>
        <v>1.905</v>
      </c>
      <c r="L13" s="29">
        <v>1</v>
      </c>
      <c r="M13" s="29">
        <f t="shared" si="1"/>
        <v>11</v>
      </c>
      <c r="N13" s="29">
        <f t="shared" si="2"/>
        <v>11</v>
      </c>
    </row>
    <row r="14" spans="2:14" x14ac:dyDescent="0.2">
      <c r="B14" s="29" t="s">
        <v>250</v>
      </c>
      <c r="C14" s="29">
        <f>COUNT(B2:I6)</f>
        <v>40</v>
      </c>
      <c r="F14" s="33">
        <f t="shared" si="6"/>
        <v>2.0375000000000001</v>
      </c>
      <c r="G14" s="33">
        <f t="shared" si="3"/>
        <v>2.3025000000000002</v>
      </c>
      <c r="H14" s="29">
        <f>COUNTIFS($B$2:$I$6,"&lt;2.303",$B$2:$I$6,"&gt;2.038")</f>
        <v>5</v>
      </c>
      <c r="I14" s="33">
        <f t="shared" si="4"/>
        <v>0.125</v>
      </c>
      <c r="J14" s="29">
        <f t="shared" si="5"/>
        <v>36</v>
      </c>
      <c r="K14" s="33">
        <f t="shared" si="0"/>
        <v>2.17</v>
      </c>
      <c r="L14" s="29">
        <v>2</v>
      </c>
      <c r="M14" s="29">
        <f t="shared" si="1"/>
        <v>10</v>
      </c>
      <c r="N14" s="29">
        <f t="shared" si="2"/>
        <v>20</v>
      </c>
    </row>
    <row r="15" spans="2:14" x14ac:dyDescent="0.2">
      <c r="F15" s="33">
        <f t="shared" si="6"/>
        <v>2.3025000000000002</v>
      </c>
      <c r="G15" s="33">
        <f t="shared" si="3"/>
        <v>2.5675000000000003</v>
      </c>
      <c r="H15" s="29">
        <f>COUNTIFS($B$2:$I$6,"&lt;2.568",$B$2:$I$6,"&gt;2.303")</f>
        <v>4</v>
      </c>
      <c r="I15" s="33">
        <f t="shared" si="4"/>
        <v>0.1</v>
      </c>
      <c r="J15" s="29">
        <f t="shared" si="5"/>
        <v>40</v>
      </c>
      <c r="K15" s="33">
        <f t="shared" si="0"/>
        <v>2.4350000000000005</v>
      </c>
      <c r="L15" s="29">
        <v>3</v>
      </c>
      <c r="M15" s="29">
        <f t="shared" si="1"/>
        <v>12</v>
      </c>
      <c r="N15" s="29">
        <f t="shared" si="2"/>
        <v>36</v>
      </c>
    </row>
    <row r="16" spans="2:14" ht="17" thickBot="1" x14ac:dyDescent="0.25">
      <c r="F16" s="29"/>
      <c r="G16" s="29"/>
      <c r="H16" s="29">
        <f>SUM(H9:H15)</f>
        <v>40</v>
      </c>
      <c r="I16" s="33"/>
      <c r="J16" s="29"/>
      <c r="K16" s="29"/>
      <c r="L16" s="29"/>
      <c r="M16" s="29">
        <f>SUM(M9:M15)</f>
        <v>20</v>
      </c>
      <c r="N16" s="29">
        <f>SUM(N9:N15)</f>
        <v>96</v>
      </c>
    </row>
    <row r="17" spans="5:23" x14ac:dyDescent="0.2">
      <c r="E17" s="46" t="s">
        <v>577</v>
      </c>
      <c r="F17" s="307" t="s">
        <v>246</v>
      </c>
      <c r="G17" s="309"/>
      <c r="U17" s="306" t="s">
        <v>329</v>
      </c>
      <c r="V17" s="306"/>
      <c r="W17" s="306"/>
    </row>
    <row r="18" spans="5:23" x14ac:dyDescent="0.2">
      <c r="F18" s="149" t="s">
        <v>247</v>
      </c>
      <c r="G18" s="150">
        <f>+H12-H11</f>
        <v>10</v>
      </c>
      <c r="U18" s="306"/>
      <c r="V18" s="306"/>
      <c r="W18" s="306"/>
    </row>
    <row r="19" spans="5:23" x14ac:dyDescent="0.2">
      <c r="F19" s="149" t="s">
        <v>248</v>
      </c>
      <c r="G19" s="150">
        <f>+H12-H13</f>
        <v>2</v>
      </c>
      <c r="U19" s="306"/>
      <c r="V19" s="306"/>
      <c r="W19" s="306"/>
    </row>
    <row r="20" spans="5:23" x14ac:dyDescent="0.2">
      <c r="F20" s="149" t="s">
        <v>249</v>
      </c>
      <c r="G20" s="175">
        <f>+F12+((G18/(G18+G19))*D10)</f>
        <v>1.7283333333333333</v>
      </c>
      <c r="U20" s="306"/>
      <c r="V20" s="306"/>
      <c r="W20" s="306"/>
    </row>
    <row r="21" spans="5:23" x14ac:dyDescent="0.2">
      <c r="F21" s="149" t="s">
        <v>253</v>
      </c>
      <c r="G21" s="150">
        <f>(C14+1)/2</f>
        <v>20.5</v>
      </c>
      <c r="U21" s="306"/>
      <c r="V21" s="306"/>
      <c r="W21" s="306"/>
    </row>
    <row r="22" spans="5:23" x14ac:dyDescent="0.2">
      <c r="F22" s="149" t="s">
        <v>252</v>
      </c>
      <c r="G22" s="175">
        <f>F12+((((C14/2)-J11)/H12)*D10)</f>
        <v>1.7725</v>
      </c>
    </row>
    <row r="23" spans="5:23" ht="17" thickBot="1" x14ac:dyDescent="0.25">
      <c r="F23" s="152" t="s">
        <v>257</v>
      </c>
      <c r="G23" s="176">
        <f>+K12+((M16*D10)/C14)</f>
        <v>1.7725</v>
      </c>
    </row>
    <row r="24" spans="5:23" ht="17" thickBot="1" x14ac:dyDescent="0.25">
      <c r="U24" t="s">
        <v>577</v>
      </c>
    </row>
    <row r="25" spans="5:23" x14ac:dyDescent="0.2">
      <c r="E25" s="46" t="s">
        <v>578</v>
      </c>
      <c r="F25" s="307" t="s">
        <v>246</v>
      </c>
      <c r="G25" s="308"/>
      <c r="H25" s="154"/>
      <c r="I25" s="154"/>
      <c r="J25" s="155"/>
      <c r="U25" s="243" t="s">
        <v>579</v>
      </c>
      <c r="V25" s="236" t="s">
        <v>617</v>
      </c>
    </row>
    <row r="26" spans="5:23" x14ac:dyDescent="0.2">
      <c r="F26" s="149" t="s">
        <v>302</v>
      </c>
      <c r="G26" s="33">
        <f>D10*SQRT((N16/C14)-((M16^2)/(C14^2)))</f>
        <v>0.38856627491330231</v>
      </c>
      <c r="H26" s="310" t="s">
        <v>310</v>
      </c>
      <c r="I26" s="310"/>
      <c r="J26" s="311"/>
      <c r="U26" s="243" t="s">
        <v>580</v>
      </c>
      <c r="V26" s="236" t="s">
        <v>618</v>
      </c>
    </row>
    <row r="27" spans="5:23" x14ac:dyDescent="0.2">
      <c r="F27" s="149" t="s">
        <v>260</v>
      </c>
      <c r="G27" s="33">
        <f>G23+(3*G26)</f>
        <v>2.9381988247399069</v>
      </c>
      <c r="H27" s="310"/>
      <c r="I27" s="310"/>
      <c r="J27" s="311"/>
      <c r="U27" s="243" t="s">
        <v>596</v>
      </c>
      <c r="V27" s="236" t="s">
        <v>618</v>
      </c>
    </row>
    <row r="28" spans="5:23" ht="17" thickBot="1" x14ac:dyDescent="0.25">
      <c r="F28" s="152" t="s">
        <v>261</v>
      </c>
      <c r="G28" s="164">
        <f>+G23-(3*G26)</f>
        <v>0.60680117526009303</v>
      </c>
      <c r="H28" s="312"/>
      <c r="I28" s="312"/>
      <c r="J28" s="313"/>
      <c r="U28" s="245" t="s">
        <v>578</v>
      </c>
    </row>
    <row r="29" spans="5:23" ht="17" thickBot="1" x14ac:dyDescent="0.25">
      <c r="U29" s="243" t="s">
        <v>581</v>
      </c>
      <c r="V29" s="236" t="s">
        <v>619</v>
      </c>
    </row>
    <row r="30" spans="5:23" x14ac:dyDescent="0.2">
      <c r="E30" s="46" t="s">
        <v>584</v>
      </c>
      <c r="F30" s="307" t="s">
        <v>340</v>
      </c>
      <c r="G30" s="308"/>
      <c r="H30" s="314" t="s">
        <v>319</v>
      </c>
      <c r="I30" s="314"/>
      <c r="J30" s="315"/>
      <c r="U30" s="243" t="s">
        <v>582</v>
      </c>
      <c r="V30" s="236" t="s">
        <v>620</v>
      </c>
    </row>
    <row r="31" spans="5:23" x14ac:dyDescent="0.2">
      <c r="F31" s="149" t="s">
        <v>264</v>
      </c>
      <c r="G31" s="29" t="s">
        <v>77</v>
      </c>
      <c r="H31" s="310"/>
      <c r="I31" s="310"/>
      <c r="J31" s="311"/>
      <c r="U31" s="243" t="s">
        <v>583</v>
      </c>
      <c r="V31" s="236" t="s">
        <v>621</v>
      </c>
    </row>
    <row r="32" spans="5:23" x14ac:dyDescent="0.2">
      <c r="F32" s="149" t="s">
        <v>322</v>
      </c>
      <c r="G32" s="29">
        <f>H9</f>
        <v>2</v>
      </c>
      <c r="H32" s="310"/>
      <c r="I32" s="310"/>
      <c r="J32" s="311"/>
      <c r="U32" s="245" t="s">
        <v>584</v>
      </c>
    </row>
    <row r="33" spans="5:22" x14ac:dyDescent="0.2">
      <c r="F33" s="149" t="s">
        <v>323</v>
      </c>
      <c r="G33" s="29">
        <f t="shared" ref="G33:G38" si="7">H10</f>
        <v>2</v>
      </c>
      <c r="H33" s="310"/>
      <c r="I33" s="310"/>
      <c r="J33" s="311"/>
      <c r="U33" s="61" t="s">
        <v>585</v>
      </c>
      <c r="V33" s="240" t="s">
        <v>613</v>
      </c>
    </row>
    <row r="34" spans="5:22" x14ac:dyDescent="0.2">
      <c r="F34" s="149" t="s">
        <v>324</v>
      </c>
      <c r="G34" s="29">
        <f t="shared" si="7"/>
        <v>3</v>
      </c>
      <c r="H34" s="310"/>
      <c r="I34" s="310"/>
      <c r="J34" s="311"/>
      <c r="U34" s="245" t="s">
        <v>586</v>
      </c>
    </row>
    <row r="35" spans="5:22" x14ac:dyDescent="0.2">
      <c r="F35" s="149" t="s">
        <v>325</v>
      </c>
      <c r="G35" s="29">
        <f t="shared" si="7"/>
        <v>13</v>
      </c>
      <c r="H35" s="310"/>
      <c r="I35" s="310"/>
      <c r="J35" s="311"/>
      <c r="U35" s="243" t="s">
        <v>587</v>
      </c>
      <c r="V35" s="236" t="s">
        <v>622</v>
      </c>
    </row>
    <row r="36" spans="5:22" x14ac:dyDescent="0.2">
      <c r="F36" s="149" t="s">
        <v>326</v>
      </c>
      <c r="G36" s="29">
        <f t="shared" si="7"/>
        <v>11</v>
      </c>
      <c r="H36" s="310"/>
      <c r="I36" s="310"/>
      <c r="J36" s="311"/>
      <c r="U36" s="61" t="s">
        <v>589</v>
      </c>
      <c r="V36" s="240" t="s">
        <v>605</v>
      </c>
    </row>
    <row r="37" spans="5:22" x14ac:dyDescent="0.2">
      <c r="F37" s="149" t="s">
        <v>327</v>
      </c>
      <c r="G37" s="29">
        <f t="shared" si="7"/>
        <v>5</v>
      </c>
      <c r="H37" s="310"/>
      <c r="I37" s="310"/>
      <c r="J37" s="311"/>
      <c r="U37" s="243" t="s">
        <v>588</v>
      </c>
      <c r="V37" s="236" t="s">
        <v>623</v>
      </c>
    </row>
    <row r="38" spans="5:22" ht="17" thickBot="1" x14ac:dyDescent="0.25">
      <c r="F38" s="152" t="s">
        <v>328</v>
      </c>
      <c r="G38" s="158">
        <f t="shared" si="7"/>
        <v>4</v>
      </c>
      <c r="H38" s="312"/>
      <c r="I38" s="312"/>
      <c r="J38" s="313"/>
      <c r="U38" s="61" t="s">
        <v>590</v>
      </c>
      <c r="V38" s="240" t="s">
        <v>624</v>
      </c>
    </row>
    <row r="39" spans="5:22" ht="17" thickBot="1" x14ac:dyDescent="0.25"/>
    <row r="40" spans="5:22" x14ac:dyDescent="0.2">
      <c r="E40" s="46" t="s">
        <v>594</v>
      </c>
      <c r="F40" s="307" t="s">
        <v>246</v>
      </c>
      <c r="G40" s="308"/>
      <c r="H40" s="94"/>
      <c r="I40" s="94"/>
      <c r="J40" s="94"/>
      <c r="K40" s="94"/>
      <c r="L40" s="94"/>
      <c r="M40" s="161"/>
    </row>
    <row r="41" spans="5:22" x14ac:dyDescent="0.2">
      <c r="F41" s="149" t="s">
        <v>292</v>
      </c>
      <c r="G41" s="33">
        <f>((1/C14)*K54)/(G26^4)</f>
        <v>3.1531866859495419</v>
      </c>
      <c r="H41" t="s">
        <v>309</v>
      </c>
      <c r="M41" s="157"/>
    </row>
    <row r="42" spans="5:22" x14ac:dyDescent="0.2">
      <c r="F42" s="149" t="s">
        <v>293</v>
      </c>
      <c r="G42" s="33">
        <f>(1/C14)*(M54/(G26^3))</f>
        <v>-0.3917048910298882</v>
      </c>
      <c r="H42" t="s">
        <v>344</v>
      </c>
      <c r="M42" s="157"/>
    </row>
    <row r="43" spans="5:22" x14ac:dyDescent="0.2">
      <c r="F43" s="162"/>
      <c r="M43" s="157"/>
    </row>
    <row r="44" spans="5:22" x14ac:dyDescent="0.2">
      <c r="F44" s="162"/>
      <c r="M44" s="157"/>
    </row>
    <row r="45" spans="5:22" x14ac:dyDescent="0.2">
      <c r="F45" s="162"/>
      <c r="M45" s="157"/>
    </row>
    <row r="46" spans="5:22" x14ac:dyDescent="0.2">
      <c r="F46" s="149" t="str">
        <f>K8</f>
        <v>Punto medio</v>
      </c>
      <c r="G46" s="29" t="str">
        <f>H8</f>
        <v>Fo</v>
      </c>
      <c r="H46" s="29" t="s">
        <v>294</v>
      </c>
      <c r="I46" s="29" t="s">
        <v>297</v>
      </c>
      <c r="J46" s="29" t="s">
        <v>298</v>
      </c>
      <c r="K46" s="29"/>
      <c r="L46" s="29" t="s">
        <v>299</v>
      </c>
      <c r="M46" s="157"/>
    </row>
    <row r="47" spans="5:22" x14ac:dyDescent="0.2">
      <c r="F47" s="149">
        <f t="shared" ref="F47:F53" si="8">K9</f>
        <v>0.83999999999999986</v>
      </c>
      <c r="G47" s="29">
        <f t="shared" ref="G47:G53" si="9">H9</f>
        <v>2</v>
      </c>
      <c r="H47" s="29">
        <f>+F47*G47</f>
        <v>1.6799999999999997</v>
      </c>
      <c r="I47" s="31">
        <f>+F47-$G$23</f>
        <v>-0.93250000000000011</v>
      </c>
      <c r="J47" s="31">
        <f>I47^4</f>
        <v>0.75612807191406295</v>
      </c>
      <c r="K47" s="31">
        <f>+J47*G47</f>
        <v>1.5122561438281259</v>
      </c>
      <c r="L47" s="33">
        <f>I47^3</f>
        <v>-0.81086120312500032</v>
      </c>
      <c r="M47" s="163">
        <f>+L47*G47</f>
        <v>-1.6217224062500006</v>
      </c>
    </row>
    <row r="48" spans="5:22" x14ac:dyDescent="0.2">
      <c r="F48" s="149">
        <f t="shared" si="8"/>
        <v>1.1099999999999999</v>
      </c>
      <c r="G48" s="29">
        <f t="shared" si="9"/>
        <v>2</v>
      </c>
      <c r="H48" s="29">
        <f t="shared" ref="H48:H53" si="10">+F48*G48</f>
        <v>2.2199999999999998</v>
      </c>
      <c r="I48" s="31">
        <f t="shared" ref="I48:I53" si="11">+F48-$G$23</f>
        <v>-0.66250000000000009</v>
      </c>
      <c r="J48" s="31">
        <f t="shared" ref="J48:J53" si="12">I48^4</f>
        <v>0.19263869628906261</v>
      </c>
      <c r="K48" s="31">
        <f t="shared" ref="K48:K53" si="13">+J48*G48</f>
        <v>0.38527739257812521</v>
      </c>
      <c r="L48" s="33">
        <f t="shared" ref="L48:L53" si="14">I48^3</f>
        <v>-0.29077539062500013</v>
      </c>
      <c r="M48" s="163">
        <f t="shared" ref="M48:M53" si="15">+L48*G48</f>
        <v>-0.58155078125000026</v>
      </c>
    </row>
    <row r="49" spans="2:13" x14ac:dyDescent="0.2">
      <c r="F49" s="149">
        <f t="shared" si="8"/>
        <v>1.375</v>
      </c>
      <c r="G49" s="29">
        <f t="shared" si="9"/>
        <v>3</v>
      </c>
      <c r="H49" s="29">
        <f t="shared" si="10"/>
        <v>4.125</v>
      </c>
      <c r="I49" s="31">
        <f t="shared" si="11"/>
        <v>-0.39749999999999996</v>
      </c>
      <c r="J49" s="31">
        <f t="shared" si="12"/>
        <v>2.4965975039062487E-2</v>
      </c>
      <c r="K49" s="31">
        <f t="shared" si="13"/>
        <v>7.4897925117187458E-2</v>
      </c>
      <c r="L49" s="33">
        <f t="shared" si="14"/>
        <v>-6.2807484374999972E-2</v>
      </c>
      <c r="M49" s="163">
        <f t="shared" si="15"/>
        <v>-0.18842245312499992</v>
      </c>
    </row>
    <row r="50" spans="2:13" x14ac:dyDescent="0.2">
      <c r="F50" s="149">
        <f t="shared" si="8"/>
        <v>1.64</v>
      </c>
      <c r="G50" s="29">
        <f t="shared" si="9"/>
        <v>13</v>
      </c>
      <c r="H50" s="29">
        <f t="shared" si="10"/>
        <v>21.32</v>
      </c>
      <c r="I50" s="31">
        <f t="shared" si="11"/>
        <v>-0.13250000000000006</v>
      </c>
      <c r="J50" s="31">
        <f t="shared" si="12"/>
        <v>3.0822191406250056E-4</v>
      </c>
      <c r="K50" s="31">
        <f t="shared" si="13"/>
        <v>4.0068848828125076E-3</v>
      </c>
      <c r="L50" s="33">
        <f t="shared" si="14"/>
        <v>-2.3262031250000032E-3</v>
      </c>
      <c r="M50" s="163">
        <f t="shared" si="15"/>
        <v>-3.024064062500004E-2</v>
      </c>
    </row>
    <row r="51" spans="2:13" x14ac:dyDescent="0.2">
      <c r="F51" s="149">
        <f t="shared" si="8"/>
        <v>1.905</v>
      </c>
      <c r="G51" s="29">
        <f t="shared" si="9"/>
        <v>11</v>
      </c>
      <c r="H51" s="29">
        <f t="shared" si="10"/>
        <v>20.955000000000002</v>
      </c>
      <c r="I51" s="31">
        <f t="shared" si="11"/>
        <v>0.13250000000000006</v>
      </c>
      <c r="J51" s="31">
        <f t="shared" si="12"/>
        <v>3.0822191406250056E-4</v>
      </c>
      <c r="K51" s="31">
        <f t="shared" si="13"/>
        <v>3.3904410546875064E-3</v>
      </c>
      <c r="L51" s="33">
        <f t="shared" si="14"/>
        <v>2.3262031250000032E-3</v>
      </c>
      <c r="M51" s="163">
        <f t="shared" si="15"/>
        <v>2.5588234375000036E-2</v>
      </c>
    </row>
    <row r="52" spans="2:13" x14ac:dyDescent="0.2">
      <c r="F52" s="149">
        <f t="shared" si="8"/>
        <v>2.17</v>
      </c>
      <c r="G52" s="29">
        <f t="shared" si="9"/>
        <v>5</v>
      </c>
      <c r="H52" s="29">
        <f t="shared" si="10"/>
        <v>10.85</v>
      </c>
      <c r="I52" s="31">
        <f t="shared" si="11"/>
        <v>0.39749999999999996</v>
      </c>
      <c r="J52" s="31">
        <f t="shared" si="12"/>
        <v>2.4965975039062487E-2</v>
      </c>
      <c r="K52" s="31">
        <f t="shared" si="13"/>
        <v>0.12482987519531244</v>
      </c>
      <c r="L52" s="33">
        <f t="shared" si="14"/>
        <v>6.2807484374999972E-2</v>
      </c>
      <c r="M52" s="163">
        <f t="shared" si="15"/>
        <v>0.31403742187499983</v>
      </c>
    </row>
    <row r="53" spans="2:13" x14ac:dyDescent="0.2">
      <c r="F53" s="149">
        <f t="shared" si="8"/>
        <v>2.4350000000000005</v>
      </c>
      <c r="G53" s="29">
        <f t="shared" si="9"/>
        <v>4</v>
      </c>
      <c r="H53" s="29">
        <f t="shared" si="10"/>
        <v>9.740000000000002</v>
      </c>
      <c r="I53" s="31">
        <f t="shared" si="11"/>
        <v>0.66250000000000053</v>
      </c>
      <c r="J53" s="31">
        <f t="shared" si="12"/>
        <v>0.19263869628906313</v>
      </c>
      <c r="K53" s="31">
        <f t="shared" si="13"/>
        <v>0.77055478515625253</v>
      </c>
      <c r="L53" s="33">
        <f t="shared" si="14"/>
        <v>0.29077539062500068</v>
      </c>
      <c r="M53" s="163">
        <f t="shared" si="15"/>
        <v>1.1631015625000027</v>
      </c>
    </row>
    <row r="54" spans="2:13" x14ac:dyDescent="0.2">
      <c r="F54" s="149">
        <f>SUM(F47:F53)</f>
        <v>11.475</v>
      </c>
      <c r="G54" s="29">
        <f>SUM(G47:G53)</f>
        <v>40</v>
      </c>
      <c r="H54" s="29">
        <f>SUM(H47:H53)</f>
        <v>70.89</v>
      </c>
      <c r="I54" s="31"/>
      <c r="J54" s="31"/>
      <c r="K54" s="31">
        <f>SUM(K47:K53)</f>
        <v>2.8752134478125035</v>
      </c>
      <c r="L54" s="33">
        <f>SUM(L47:L53)</f>
        <v>-0.81086120312499965</v>
      </c>
      <c r="M54" s="163">
        <f>SUM(M47:M53)</f>
        <v>-0.91920906249999801</v>
      </c>
    </row>
    <row r="55" spans="2:13" ht="17" thickBot="1" x14ac:dyDescent="0.25">
      <c r="F55" s="152"/>
      <c r="G55" s="158"/>
      <c r="H55" s="158"/>
      <c r="I55" s="158"/>
      <c r="J55" s="158"/>
      <c r="K55" s="156"/>
      <c r="L55" s="164"/>
      <c r="M55" s="153"/>
    </row>
    <row r="56" spans="2:13" ht="24" x14ac:dyDescent="0.3">
      <c r="B56" s="171" t="s">
        <v>308</v>
      </c>
    </row>
    <row r="58" spans="2:13" ht="17" thickBot="1" x14ac:dyDescent="0.25">
      <c r="B58" s="69">
        <v>1.0900000000000001</v>
      </c>
    </row>
    <row r="59" spans="2:13" x14ac:dyDescent="0.2">
      <c r="B59" s="69">
        <v>1.92</v>
      </c>
      <c r="D59" s="170" t="s">
        <v>306</v>
      </c>
      <c r="E59" s="165" t="s">
        <v>295</v>
      </c>
      <c r="F59" s="166">
        <f>+K61</f>
        <v>1.7742499999999999</v>
      </c>
      <c r="J59" s="160" t="s">
        <v>291</v>
      </c>
      <c r="K59" s="160"/>
    </row>
    <row r="60" spans="2:13" x14ac:dyDescent="0.2">
      <c r="B60" s="69">
        <v>2.31</v>
      </c>
      <c r="D60" s="170"/>
      <c r="E60" s="162" t="s">
        <v>296</v>
      </c>
      <c r="F60" s="167">
        <f>+K63</f>
        <v>1.77</v>
      </c>
    </row>
    <row r="61" spans="2:13" ht="17" thickBot="1" x14ac:dyDescent="0.25">
      <c r="B61" s="69">
        <v>1.79</v>
      </c>
      <c r="D61" s="170"/>
      <c r="E61" s="168" t="s">
        <v>300</v>
      </c>
      <c r="F61" s="169">
        <f>+K64</f>
        <v>1.79</v>
      </c>
      <c r="J61" t="s">
        <v>278</v>
      </c>
      <c r="K61">
        <v>1.7742499999999999</v>
      </c>
    </row>
    <row r="62" spans="2:13" ht="17" thickBot="1" x14ac:dyDescent="0.25">
      <c r="B62" s="69">
        <v>2.2799999999999998</v>
      </c>
      <c r="D62" s="170"/>
      <c r="J62" t="s">
        <v>279</v>
      </c>
      <c r="K62">
        <v>6.1736503248348354E-2</v>
      </c>
    </row>
    <row r="63" spans="2:13" x14ac:dyDescent="0.2">
      <c r="B63" s="69">
        <v>1.74</v>
      </c>
      <c r="D63" s="170" t="s">
        <v>307</v>
      </c>
      <c r="E63" s="165" t="s">
        <v>301</v>
      </c>
      <c r="F63" s="166">
        <f>+K65</f>
        <v>0.39045593007832918</v>
      </c>
      <c r="J63" t="s">
        <v>280</v>
      </c>
      <c r="K63">
        <v>1.77</v>
      </c>
    </row>
    <row r="64" spans="2:13" x14ac:dyDescent="0.2">
      <c r="B64" s="69">
        <v>1.47</v>
      </c>
      <c r="D64" s="170"/>
      <c r="E64" s="162" t="s">
        <v>245</v>
      </c>
      <c r="F64" s="167">
        <f>F59+(3*F63)</f>
        <v>2.9456177902349872</v>
      </c>
      <c r="J64" t="s">
        <v>281</v>
      </c>
      <c r="K64">
        <v>1.79</v>
      </c>
    </row>
    <row r="65" spans="2:11" ht="17" thickBot="1" x14ac:dyDescent="0.25">
      <c r="B65" s="69">
        <v>1.97</v>
      </c>
      <c r="D65" s="170"/>
      <c r="E65" s="168" t="s">
        <v>244</v>
      </c>
      <c r="F65" s="169">
        <f>F59-(3*F63)</f>
        <v>0.60288220976501239</v>
      </c>
      <c r="J65" t="s">
        <v>282</v>
      </c>
      <c r="K65">
        <v>0.39045593007832918</v>
      </c>
    </row>
    <row r="66" spans="2:11" x14ac:dyDescent="0.2">
      <c r="B66" s="69">
        <v>0.85</v>
      </c>
      <c r="D66" s="170"/>
      <c r="J66" t="s">
        <v>283</v>
      </c>
      <c r="K66">
        <v>0.1524558333333331</v>
      </c>
    </row>
    <row r="67" spans="2:11" x14ac:dyDescent="0.2">
      <c r="B67" s="69">
        <v>1.24</v>
      </c>
      <c r="D67" s="170" t="s">
        <v>304</v>
      </c>
      <c r="E67" t="s">
        <v>303</v>
      </c>
      <c r="J67" t="s">
        <v>284</v>
      </c>
      <c r="K67">
        <v>0.93479515037385985</v>
      </c>
    </row>
    <row r="68" spans="2:11" ht="17" thickBot="1" x14ac:dyDescent="0.25">
      <c r="B68" s="69">
        <v>1.58</v>
      </c>
      <c r="D68" s="170"/>
      <c r="J68" t="s">
        <v>285</v>
      </c>
      <c r="K68">
        <v>-0.51635004525657369</v>
      </c>
    </row>
    <row r="69" spans="2:11" x14ac:dyDescent="0.2">
      <c r="B69" s="69">
        <v>2.0299999999999998</v>
      </c>
      <c r="D69" s="170" t="s">
        <v>305</v>
      </c>
      <c r="E69" s="165" t="s">
        <v>284</v>
      </c>
      <c r="F69" s="172">
        <f>+K67</f>
        <v>0.93479515037385985</v>
      </c>
      <c r="G69" s="161" t="s">
        <v>309</v>
      </c>
      <c r="J69" t="s">
        <v>286</v>
      </c>
      <c r="K69">
        <v>1.8299999999999998</v>
      </c>
    </row>
    <row r="70" spans="2:11" ht="17" thickBot="1" x14ac:dyDescent="0.25">
      <c r="B70" s="69">
        <v>1.7</v>
      </c>
      <c r="E70" s="168" t="s">
        <v>293</v>
      </c>
      <c r="F70" s="173">
        <f>+K68</f>
        <v>-0.51635004525657369</v>
      </c>
      <c r="G70" s="159"/>
      <c r="J70" t="s">
        <v>287</v>
      </c>
      <c r="K70">
        <v>0.72</v>
      </c>
    </row>
    <row r="71" spans="2:11" x14ac:dyDescent="0.2">
      <c r="B71" s="69">
        <v>2.17</v>
      </c>
      <c r="J71" t="s">
        <v>288</v>
      </c>
      <c r="K71">
        <v>2.5499999999999998</v>
      </c>
    </row>
    <row r="72" spans="2:11" x14ac:dyDescent="0.2">
      <c r="B72" s="69">
        <v>2.5499999999999998</v>
      </c>
      <c r="J72" t="s">
        <v>289</v>
      </c>
      <c r="K72">
        <v>70.97</v>
      </c>
    </row>
    <row r="73" spans="2:11" ht="17" thickBot="1" x14ac:dyDescent="0.25">
      <c r="B73" s="69">
        <v>2.11</v>
      </c>
      <c r="J73" s="1" t="s">
        <v>290</v>
      </c>
      <c r="K73" s="1">
        <v>40</v>
      </c>
    </row>
    <row r="74" spans="2:11" x14ac:dyDescent="0.2">
      <c r="B74" s="69">
        <v>1.86</v>
      </c>
    </row>
    <row r="75" spans="2:11" x14ac:dyDescent="0.2">
      <c r="B75" s="69">
        <v>1.9</v>
      </c>
    </row>
    <row r="76" spans="2:11" x14ac:dyDescent="0.2">
      <c r="B76" s="69">
        <v>1.68</v>
      </c>
    </row>
    <row r="77" spans="2:11" x14ac:dyDescent="0.2">
      <c r="B77" s="69">
        <v>1.51</v>
      </c>
    </row>
    <row r="78" spans="2:11" x14ac:dyDescent="0.2">
      <c r="B78" s="69">
        <v>1.64</v>
      </c>
    </row>
    <row r="79" spans="2:11" x14ac:dyDescent="0.2">
      <c r="B79" s="69">
        <v>0.72</v>
      </c>
    </row>
    <row r="80" spans="2:11" x14ac:dyDescent="0.2">
      <c r="B80" s="69">
        <v>1.69</v>
      </c>
    </row>
    <row r="81" spans="2:2" x14ac:dyDescent="0.2">
      <c r="B81" s="69">
        <v>1.85</v>
      </c>
    </row>
    <row r="82" spans="2:2" x14ac:dyDescent="0.2">
      <c r="B82" s="69">
        <v>1.82</v>
      </c>
    </row>
    <row r="83" spans="2:2" x14ac:dyDescent="0.2">
      <c r="B83" s="69">
        <v>1.79</v>
      </c>
    </row>
    <row r="84" spans="2:2" x14ac:dyDescent="0.2">
      <c r="B84" s="69">
        <v>2.46</v>
      </c>
    </row>
    <row r="85" spans="2:2" x14ac:dyDescent="0.2">
      <c r="B85" s="69">
        <v>1.88</v>
      </c>
    </row>
    <row r="86" spans="2:2" x14ac:dyDescent="0.2">
      <c r="B86" s="69">
        <v>2.08</v>
      </c>
    </row>
    <row r="87" spans="2:2" x14ac:dyDescent="0.2">
      <c r="B87" s="69">
        <v>1.67</v>
      </c>
    </row>
    <row r="88" spans="2:2" x14ac:dyDescent="0.2">
      <c r="B88" s="69">
        <v>1.37</v>
      </c>
    </row>
    <row r="89" spans="2:2" x14ac:dyDescent="0.2">
      <c r="B89" s="69">
        <v>1.93</v>
      </c>
    </row>
    <row r="90" spans="2:2" x14ac:dyDescent="0.2">
      <c r="B90" s="69">
        <v>1.4</v>
      </c>
    </row>
    <row r="91" spans="2:2" x14ac:dyDescent="0.2">
      <c r="B91" s="69">
        <v>1.64</v>
      </c>
    </row>
    <row r="92" spans="2:2" x14ac:dyDescent="0.2">
      <c r="B92" s="69">
        <v>2.09</v>
      </c>
    </row>
    <row r="93" spans="2:2" x14ac:dyDescent="0.2">
      <c r="B93" s="69">
        <v>1.75</v>
      </c>
    </row>
    <row r="94" spans="2:2" x14ac:dyDescent="0.2">
      <c r="B94" s="69">
        <v>1.63</v>
      </c>
    </row>
    <row r="95" spans="2:2" x14ac:dyDescent="0.2">
      <c r="B95" s="69">
        <v>2.37</v>
      </c>
    </row>
    <row r="96" spans="2:2" x14ac:dyDescent="0.2">
      <c r="B96" s="69">
        <v>1.75</v>
      </c>
    </row>
    <row r="97" spans="2:2" x14ac:dyDescent="0.2">
      <c r="B97" s="69">
        <v>1.69</v>
      </c>
    </row>
  </sheetData>
  <mergeCells count="7">
    <mergeCell ref="F40:G40"/>
    <mergeCell ref="U17:W21"/>
    <mergeCell ref="F17:G17"/>
    <mergeCell ref="F25:G25"/>
    <mergeCell ref="H26:J28"/>
    <mergeCell ref="F30:G30"/>
    <mergeCell ref="H30:J38"/>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5BD48-E8B1-8845-AA2F-354E98EA3E87}">
  <dimension ref="B2:U131"/>
  <sheetViews>
    <sheetView workbookViewId="0">
      <selection activeCell="R26" sqref="R26"/>
    </sheetView>
  </sheetViews>
  <sheetFormatPr baseColWidth="10" defaultRowHeight="16" x14ac:dyDescent="0.2"/>
  <cols>
    <col min="1" max="1" width="3.83203125" customWidth="1"/>
    <col min="6" max="6" width="12.1640625" customWidth="1"/>
    <col min="7" max="7" width="13.1640625" customWidth="1"/>
    <col min="10" max="10" width="12.6640625" bestFit="1" customWidth="1"/>
    <col min="11" max="11" width="11.6640625" customWidth="1"/>
    <col min="18" max="18" width="19.5" customWidth="1"/>
    <col min="19" max="19" width="47.5" customWidth="1"/>
    <col min="2000" max="2000" width="2.5" customWidth="1"/>
  </cols>
  <sheetData>
    <row r="2" spans="2:19" x14ac:dyDescent="0.2">
      <c r="B2" s="69">
        <v>111</v>
      </c>
      <c r="C2" s="69">
        <v>98</v>
      </c>
      <c r="D2" s="69">
        <v>109</v>
      </c>
      <c r="E2" s="69">
        <v>89</v>
      </c>
      <c r="F2" s="69">
        <v>101</v>
      </c>
      <c r="G2" s="69">
        <v>91</v>
      </c>
      <c r="H2" s="69">
        <v>104</v>
      </c>
      <c r="I2" s="69">
        <v>96</v>
      </c>
      <c r="J2" s="69">
        <v>93</v>
      </c>
      <c r="K2" s="69">
        <v>107</v>
      </c>
      <c r="R2" t="s">
        <v>577</v>
      </c>
    </row>
    <row r="3" spans="2:19" x14ac:dyDescent="0.2">
      <c r="B3" s="69">
        <v>86</v>
      </c>
      <c r="C3" s="69">
        <v>106</v>
      </c>
      <c r="D3" s="69">
        <v>101</v>
      </c>
      <c r="E3" s="69">
        <v>99</v>
      </c>
      <c r="F3" s="69">
        <v>107</v>
      </c>
      <c r="G3" s="69">
        <v>99</v>
      </c>
      <c r="H3" s="69">
        <v>99</v>
      </c>
      <c r="I3" s="69">
        <v>118</v>
      </c>
      <c r="J3" s="69">
        <v>87</v>
      </c>
      <c r="K3" s="69">
        <v>91</v>
      </c>
      <c r="R3" s="243" t="s">
        <v>579</v>
      </c>
      <c r="S3" s="236" t="s">
        <v>625</v>
      </c>
    </row>
    <row r="4" spans="2:19" x14ac:dyDescent="0.2">
      <c r="B4" s="69">
        <v>96</v>
      </c>
      <c r="C4" s="69">
        <v>99</v>
      </c>
      <c r="D4" s="69">
        <v>91</v>
      </c>
      <c r="E4" s="69">
        <v>83</v>
      </c>
      <c r="F4" s="69">
        <v>98</v>
      </c>
      <c r="G4" s="69">
        <v>102</v>
      </c>
      <c r="H4" s="69">
        <v>88</v>
      </c>
      <c r="I4" s="69">
        <v>97</v>
      </c>
      <c r="J4" s="69">
        <v>103</v>
      </c>
      <c r="K4" s="69">
        <v>96</v>
      </c>
      <c r="R4" s="243" t="s">
        <v>580</v>
      </c>
      <c r="S4" s="236" t="s">
        <v>626</v>
      </c>
    </row>
    <row r="5" spans="2:19" x14ac:dyDescent="0.2">
      <c r="B5" s="69">
        <v>106</v>
      </c>
      <c r="C5" s="69">
        <v>96</v>
      </c>
      <c r="D5" s="69">
        <v>99</v>
      </c>
      <c r="E5" s="69">
        <v>98</v>
      </c>
      <c r="F5" s="69">
        <v>92</v>
      </c>
      <c r="G5" s="69">
        <v>94</v>
      </c>
      <c r="H5" s="69">
        <v>98</v>
      </c>
      <c r="I5" s="69">
        <v>93</v>
      </c>
      <c r="J5" s="69">
        <v>98</v>
      </c>
      <c r="K5" s="69">
        <v>112</v>
      </c>
      <c r="R5" s="243" t="s">
        <v>596</v>
      </c>
      <c r="S5" s="236" t="s">
        <v>627</v>
      </c>
    </row>
    <row r="6" spans="2:19" x14ac:dyDescent="0.2">
      <c r="B6" s="69">
        <v>91</v>
      </c>
      <c r="C6" s="69">
        <v>84</v>
      </c>
      <c r="D6" s="69">
        <v>92</v>
      </c>
      <c r="E6" s="69">
        <v>108</v>
      </c>
      <c r="F6" s="69">
        <v>97</v>
      </c>
      <c r="G6" s="69">
        <v>113</v>
      </c>
      <c r="H6" s="69">
        <v>108</v>
      </c>
      <c r="I6" s="69">
        <v>98</v>
      </c>
      <c r="J6" s="69">
        <v>84</v>
      </c>
      <c r="K6" s="69">
        <v>97</v>
      </c>
      <c r="R6" s="245" t="s">
        <v>578</v>
      </c>
    </row>
    <row r="7" spans="2:19" x14ac:dyDescent="0.2">
      <c r="B7" s="69">
        <v>97</v>
      </c>
      <c r="C7" s="69">
        <v>104</v>
      </c>
      <c r="D7" s="69">
        <v>98</v>
      </c>
      <c r="E7" s="69">
        <v>103</v>
      </c>
      <c r="F7" s="69">
        <v>96</v>
      </c>
      <c r="G7" s="69">
        <v>96</v>
      </c>
      <c r="H7" s="69">
        <v>97</v>
      </c>
      <c r="I7" s="69">
        <v>102</v>
      </c>
      <c r="J7" s="69">
        <v>99</v>
      </c>
      <c r="K7" s="69">
        <v>89</v>
      </c>
      <c r="R7" s="243" t="s">
        <v>581</v>
      </c>
      <c r="S7" s="236" t="s">
        <v>628</v>
      </c>
    </row>
    <row r="8" spans="2:19" x14ac:dyDescent="0.2">
      <c r="B8" s="69">
        <v>101</v>
      </c>
      <c r="C8" s="69">
        <v>97</v>
      </c>
      <c r="D8" s="69">
        <v>94</v>
      </c>
      <c r="E8" s="69">
        <v>97</v>
      </c>
      <c r="F8" s="69">
        <v>87</v>
      </c>
      <c r="G8" s="69">
        <v>102</v>
      </c>
      <c r="H8" s="69">
        <v>93</v>
      </c>
      <c r="I8" s="69">
        <v>99</v>
      </c>
      <c r="J8" s="69">
        <v>101</v>
      </c>
      <c r="K8" s="69">
        <v>97</v>
      </c>
      <c r="R8" s="243" t="s">
        <v>582</v>
      </c>
      <c r="S8" s="236" t="s">
        <v>629</v>
      </c>
    </row>
    <row r="9" spans="2:19" x14ac:dyDescent="0.2">
      <c r="R9" s="243" t="s">
        <v>583</v>
      </c>
      <c r="S9" s="236" t="s">
        <v>630</v>
      </c>
    </row>
    <row r="10" spans="2:19" x14ac:dyDescent="0.2">
      <c r="B10" s="29" t="s">
        <v>238</v>
      </c>
      <c r="C10" s="29">
        <f>MAX(B2:K8)-MIN(B2:K8)</f>
        <v>35</v>
      </c>
      <c r="F10" s="29" t="s">
        <v>244</v>
      </c>
      <c r="G10" s="29" t="s">
        <v>245</v>
      </c>
      <c r="H10" s="29" t="s">
        <v>77</v>
      </c>
      <c r="I10" s="29" t="s">
        <v>263</v>
      </c>
      <c r="J10" s="29" t="s">
        <v>251</v>
      </c>
      <c r="K10" s="29" t="s">
        <v>254</v>
      </c>
      <c r="L10" s="29" t="s">
        <v>90</v>
      </c>
      <c r="M10" s="29" t="s">
        <v>255</v>
      </c>
      <c r="N10" s="29" t="s">
        <v>256</v>
      </c>
      <c r="R10" s="245" t="s">
        <v>584</v>
      </c>
    </row>
    <row r="11" spans="2:19" x14ac:dyDescent="0.2">
      <c r="B11" s="29" t="s">
        <v>239</v>
      </c>
      <c r="C11" s="31">
        <f>1+(3.3*LOG(C16))</f>
        <v>7.0888235320470478</v>
      </c>
      <c r="D11" s="2">
        <f>ROUNDUP(C11,0)</f>
        <v>8</v>
      </c>
      <c r="F11" s="31">
        <f>(MIN(B2:K8)-C15)</f>
        <v>82.5</v>
      </c>
      <c r="G11" s="31">
        <f>(F11+$D$12)+0.5</f>
        <v>87.5</v>
      </c>
      <c r="H11" s="29">
        <f>COUNTIFS(B2:K8,"&lt;87.5")</f>
        <v>6</v>
      </c>
      <c r="I11" s="33">
        <f>+H11/$C$16</f>
        <v>8.5714285714285715E-2</v>
      </c>
      <c r="J11" s="34">
        <f>+H11</f>
        <v>6</v>
      </c>
      <c r="K11" s="34">
        <f t="shared" ref="K11:K18" si="0">+(F11+G11)/2</f>
        <v>85</v>
      </c>
      <c r="L11" s="29">
        <v>-3</v>
      </c>
      <c r="M11" s="29">
        <f t="shared" ref="M11:M18" si="1">+H11*L11</f>
        <v>-18</v>
      </c>
      <c r="N11" s="29">
        <f t="shared" ref="N11:N18" si="2">H11*(L11^2)</f>
        <v>54</v>
      </c>
      <c r="R11" s="61" t="s">
        <v>585</v>
      </c>
      <c r="S11" s="240" t="s">
        <v>631</v>
      </c>
    </row>
    <row r="12" spans="2:19" x14ac:dyDescent="0.2">
      <c r="B12" s="29" t="s">
        <v>240</v>
      </c>
      <c r="C12" s="33">
        <f>+C10/D11</f>
        <v>4.375</v>
      </c>
      <c r="D12">
        <v>4.5</v>
      </c>
      <c r="F12" s="31">
        <f>+G11</f>
        <v>87.5</v>
      </c>
      <c r="G12" s="31">
        <f>(F12+$D$12)+0.5</f>
        <v>92.5</v>
      </c>
      <c r="H12" s="29">
        <f>COUNTIFS($B$2:$K$8,"&lt;92.5",$B$2:$K$8,"&gt;87.5")</f>
        <v>9</v>
      </c>
      <c r="I12" s="33">
        <f t="shared" ref="I12:I18" si="3">+H12/$C$16</f>
        <v>0.12857142857142856</v>
      </c>
      <c r="J12" s="34">
        <f>+J11+H12</f>
        <v>15</v>
      </c>
      <c r="K12" s="34">
        <f t="shared" si="0"/>
        <v>90</v>
      </c>
      <c r="L12" s="29">
        <v>-2</v>
      </c>
      <c r="M12" s="29">
        <f t="shared" si="1"/>
        <v>-18</v>
      </c>
      <c r="N12" s="29">
        <f t="shared" si="2"/>
        <v>36</v>
      </c>
      <c r="R12" s="245" t="s">
        <v>586</v>
      </c>
    </row>
    <row r="13" spans="2:19" x14ac:dyDescent="0.2">
      <c r="B13" s="29" t="s">
        <v>241</v>
      </c>
      <c r="C13" s="29">
        <f>+D12*D11</f>
        <v>36</v>
      </c>
      <c r="F13" s="31">
        <f t="shared" ref="F13:F18" si="4">+G12</f>
        <v>92.5</v>
      </c>
      <c r="G13" s="31">
        <f t="shared" ref="G13:G18" si="5">(F13+$D$12)+0.5</f>
        <v>97.5</v>
      </c>
      <c r="H13" s="29">
        <f>COUNTIFS($B$2:$K$8,"&lt;97.5",$B$2:$K$8,"&gt;92.5")</f>
        <v>19</v>
      </c>
      <c r="I13" s="33">
        <f t="shared" si="3"/>
        <v>0.27142857142857141</v>
      </c>
      <c r="J13" s="34">
        <f t="shared" ref="J13:J18" si="6">+J12+H13</f>
        <v>34</v>
      </c>
      <c r="K13" s="34">
        <f t="shared" si="0"/>
        <v>95</v>
      </c>
      <c r="L13" s="29">
        <v>-1</v>
      </c>
      <c r="M13" s="29">
        <f t="shared" si="1"/>
        <v>-19</v>
      </c>
      <c r="N13" s="29">
        <f t="shared" si="2"/>
        <v>19</v>
      </c>
      <c r="R13" s="243" t="s">
        <v>587</v>
      </c>
      <c r="S13" s="236" t="s">
        <v>632</v>
      </c>
    </row>
    <row r="14" spans="2:19" x14ac:dyDescent="0.2">
      <c r="B14" s="29" t="s">
        <v>242</v>
      </c>
      <c r="C14" s="29">
        <f>+C13-C10</f>
        <v>1</v>
      </c>
      <c r="F14" s="31">
        <f t="shared" si="4"/>
        <v>97.5</v>
      </c>
      <c r="G14" s="31">
        <f t="shared" si="5"/>
        <v>102.5</v>
      </c>
      <c r="H14" s="29">
        <f>COUNTIFS($B$2:$K$8,"&lt;102.5",$B$2:$K$8,"&gt;97.5")</f>
        <v>21</v>
      </c>
      <c r="I14" s="33">
        <f t="shared" si="3"/>
        <v>0.3</v>
      </c>
      <c r="J14" s="34">
        <f t="shared" si="6"/>
        <v>55</v>
      </c>
      <c r="K14" s="34">
        <f t="shared" si="0"/>
        <v>100</v>
      </c>
      <c r="L14" s="29">
        <v>0</v>
      </c>
      <c r="M14" s="29">
        <f t="shared" si="1"/>
        <v>0</v>
      </c>
      <c r="N14" s="29">
        <f t="shared" si="2"/>
        <v>0</v>
      </c>
      <c r="R14" s="61" t="s">
        <v>589</v>
      </c>
      <c r="S14" s="240" t="s">
        <v>605</v>
      </c>
    </row>
    <row r="15" spans="2:19" x14ac:dyDescent="0.2">
      <c r="B15" s="29" t="s">
        <v>243</v>
      </c>
      <c r="C15" s="29">
        <f>+C14/2</f>
        <v>0.5</v>
      </c>
      <c r="F15" s="31">
        <f t="shared" si="4"/>
        <v>102.5</v>
      </c>
      <c r="G15" s="31">
        <f t="shared" si="5"/>
        <v>107.5</v>
      </c>
      <c r="H15" s="29">
        <f>COUNTIFS($B$2:$K$8,"&lt;107.5",$B$2:$K$8,"&gt;102.5")</f>
        <v>8</v>
      </c>
      <c r="I15" s="33">
        <f t="shared" si="3"/>
        <v>0.11428571428571428</v>
      </c>
      <c r="J15" s="34">
        <f t="shared" si="6"/>
        <v>63</v>
      </c>
      <c r="K15" s="34">
        <f>+(F15+G15)/2</f>
        <v>105</v>
      </c>
      <c r="L15" s="29">
        <v>1</v>
      </c>
      <c r="M15" s="29">
        <f t="shared" si="1"/>
        <v>8</v>
      </c>
      <c r="N15" s="29">
        <f t="shared" si="2"/>
        <v>8</v>
      </c>
      <c r="R15" s="243" t="s">
        <v>588</v>
      </c>
      <c r="S15" s="236" t="s">
        <v>633</v>
      </c>
    </row>
    <row r="16" spans="2:19" x14ac:dyDescent="0.2">
      <c r="B16" s="29" t="s">
        <v>250</v>
      </c>
      <c r="C16" s="29">
        <f>COUNT(B2:K8)</f>
        <v>70</v>
      </c>
      <c r="F16" s="31">
        <f t="shared" si="4"/>
        <v>107.5</v>
      </c>
      <c r="G16" s="31">
        <f t="shared" si="5"/>
        <v>112.5</v>
      </c>
      <c r="H16" s="29">
        <f>COUNTIFS($B$2:$K$8,"&lt;112.5",$B$2:$K$8,"&gt;107.5")</f>
        <v>5</v>
      </c>
      <c r="I16" s="33">
        <f t="shared" si="3"/>
        <v>7.1428571428571425E-2</v>
      </c>
      <c r="J16" s="34">
        <f t="shared" si="6"/>
        <v>68</v>
      </c>
      <c r="K16" s="34">
        <f t="shared" si="0"/>
        <v>110</v>
      </c>
      <c r="L16" s="29">
        <v>2</v>
      </c>
      <c r="M16" s="29">
        <f t="shared" si="1"/>
        <v>10</v>
      </c>
      <c r="N16" s="29">
        <f t="shared" si="2"/>
        <v>20</v>
      </c>
      <c r="R16" s="61" t="s">
        <v>590</v>
      </c>
      <c r="S16" s="240" t="s">
        <v>634</v>
      </c>
    </row>
    <row r="17" spans="5:21" x14ac:dyDescent="0.2">
      <c r="F17" s="31">
        <f t="shared" si="4"/>
        <v>112.5</v>
      </c>
      <c r="G17" s="31">
        <f t="shared" si="5"/>
        <v>117.5</v>
      </c>
      <c r="H17" s="29">
        <f>COUNTIFS($B$2:$K$8,"&lt;117.5",$B$2:$K$8,"&gt;112.5")</f>
        <v>1</v>
      </c>
      <c r="I17" s="33">
        <f t="shared" si="3"/>
        <v>1.4285714285714285E-2</v>
      </c>
      <c r="J17" s="34">
        <f t="shared" si="6"/>
        <v>69</v>
      </c>
      <c r="K17" s="34">
        <f t="shared" si="0"/>
        <v>115</v>
      </c>
      <c r="L17" s="29">
        <v>3</v>
      </c>
      <c r="M17" s="29">
        <f t="shared" si="1"/>
        <v>3</v>
      </c>
      <c r="N17" s="29">
        <f t="shared" si="2"/>
        <v>9</v>
      </c>
    </row>
    <row r="18" spans="5:21" x14ac:dyDescent="0.2">
      <c r="F18" s="31">
        <f t="shared" si="4"/>
        <v>117.5</v>
      </c>
      <c r="G18" s="31">
        <f t="shared" si="5"/>
        <v>122.5</v>
      </c>
      <c r="H18" s="29">
        <f>COUNTIFS($B$2:$K$8,"&lt;122.5",$B$2:$K$8,"&gt;117.5")</f>
        <v>1</v>
      </c>
      <c r="I18" s="33">
        <f t="shared" si="3"/>
        <v>1.4285714285714285E-2</v>
      </c>
      <c r="J18" s="34">
        <f t="shared" si="6"/>
        <v>70</v>
      </c>
      <c r="K18" s="34">
        <f t="shared" si="0"/>
        <v>120</v>
      </c>
      <c r="L18" s="29">
        <v>4</v>
      </c>
      <c r="M18" s="29">
        <f t="shared" si="1"/>
        <v>4</v>
      </c>
      <c r="N18" s="29">
        <f t="shared" si="2"/>
        <v>16</v>
      </c>
    </row>
    <row r="19" spans="5:21" ht="17" thickBot="1" x14ac:dyDescent="0.25">
      <c r="H19" s="29">
        <f>SUM(H11:H18)</f>
        <v>70</v>
      </c>
      <c r="M19" s="29">
        <f>SUM(M11:M18)</f>
        <v>-30</v>
      </c>
      <c r="N19" s="29">
        <f>SUM(N11:N18)</f>
        <v>162</v>
      </c>
    </row>
    <row r="20" spans="5:21" x14ac:dyDescent="0.2">
      <c r="E20" s="46" t="s">
        <v>577</v>
      </c>
      <c r="F20" s="307" t="s">
        <v>246</v>
      </c>
      <c r="G20" s="309"/>
    </row>
    <row r="21" spans="5:21" x14ac:dyDescent="0.2">
      <c r="F21" s="149" t="s">
        <v>247</v>
      </c>
      <c r="G21" s="150">
        <f>+H14-H13</f>
        <v>2</v>
      </c>
    </row>
    <row r="22" spans="5:21" x14ac:dyDescent="0.2">
      <c r="F22" s="149" t="s">
        <v>248</v>
      </c>
      <c r="G22" s="150">
        <f>+H14-H15</f>
        <v>13</v>
      </c>
      <c r="S22" s="306" t="s">
        <v>329</v>
      </c>
      <c r="T22" s="306"/>
      <c r="U22" s="306"/>
    </row>
    <row r="23" spans="5:21" x14ac:dyDescent="0.2">
      <c r="F23" s="149" t="s">
        <v>249</v>
      </c>
      <c r="G23" s="151">
        <f>+F14+((G21/(G21+G22))*D12)</f>
        <v>98.1</v>
      </c>
      <c r="S23" s="306"/>
      <c r="T23" s="306"/>
      <c r="U23" s="306"/>
    </row>
    <row r="24" spans="5:21" x14ac:dyDescent="0.2">
      <c r="F24" s="149" t="s">
        <v>253</v>
      </c>
      <c r="G24" s="150">
        <f>(C16+1)/2</f>
        <v>35.5</v>
      </c>
      <c r="S24" s="306"/>
      <c r="T24" s="306"/>
      <c r="U24" s="306"/>
    </row>
    <row r="25" spans="5:21" x14ac:dyDescent="0.2">
      <c r="F25" s="149" t="s">
        <v>252</v>
      </c>
      <c r="G25" s="151">
        <f>F14+((((C16/2)-J13)/H14)*D12)</f>
        <v>97.714285714285708</v>
      </c>
      <c r="S25" s="306"/>
      <c r="T25" s="306"/>
      <c r="U25" s="306"/>
    </row>
    <row r="26" spans="5:21" ht="17" thickBot="1" x14ac:dyDescent="0.25">
      <c r="F26" s="152" t="s">
        <v>257</v>
      </c>
      <c r="G26" s="153">
        <f>+K14+((M19*D12)/C16)</f>
        <v>98.071428571428569</v>
      </c>
      <c r="S26" s="306"/>
      <c r="T26" s="306"/>
      <c r="U26" s="306"/>
    </row>
    <row r="27" spans="5:21" ht="17" thickBot="1" x14ac:dyDescent="0.25"/>
    <row r="28" spans="5:21" x14ac:dyDescent="0.2">
      <c r="E28" s="46" t="s">
        <v>578</v>
      </c>
      <c r="F28" s="307" t="s">
        <v>246</v>
      </c>
      <c r="G28" s="308"/>
      <c r="H28" s="154"/>
      <c r="I28" s="154"/>
      <c r="J28" s="155"/>
    </row>
    <row r="29" spans="5:21" x14ac:dyDescent="0.2">
      <c r="F29" s="149" t="s">
        <v>302</v>
      </c>
      <c r="G29" s="31">
        <f>D12*SQRT((N19/C16)-((M19^2)/(C16^2)))</f>
        <v>6.5684775982858987</v>
      </c>
      <c r="H29" s="310" t="s">
        <v>331</v>
      </c>
      <c r="I29" s="310"/>
      <c r="J29" s="311"/>
    </row>
    <row r="30" spans="5:21" x14ac:dyDescent="0.2">
      <c r="F30" s="149" t="s">
        <v>260</v>
      </c>
      <c r="G30" s="31">
        <f>G26+(3*G29)</f>
        <v>117.77686136628627</v>
      </c>
      <c r="H30" s="310"/>
      <c r="I30" s="310"/>
      <c r="J30" s="311"/>
    </row>
    <row r="31" spans="5:21" ht="17" thickBot="1" x14ac:dyDescent="0.25">
      <c r="F31" s="152" t="s">
        <v>261</v>
      </c>
      <c r="G31" s="156">
        <f>+G26-(3*G29)</f>
        <v>78.36599577657087</v>
      </c>
      <c r="H31" s="312"/>
      <c r="I31" s="312"/>
      <c r="J31" s="313"/>
    </row>
    <row r="32" spans="5:21" ht="17" thickBot="1" x14ac:dyDescent="0.25"/>
    <row r="33" spans="5:13" x14ac:dyDescent="0.2">
      <c r="E33" s="46" t="s">
        <v>584</v>
      </c>
      <c r="F33" s="307" t="s">
        <v>341</v>
      </c>
      <c r="G33" s="308"/>
      <c r="H33" s="154"/>
      <c r="I33" s="154"/>
      <c r="J33" s="155"/>
    </row>
    <row r="34" spans="5:13" ht="16" customHeight="1" x14ac:dyDescent="0.2">
      <c r="F34" s="149" t="s">
        <v>264</v>
      </c>
      <c r="G34" s="29" t="s">
        <v>77</v>
      </c>
      <c r="H34" s="310" t="s">
        <v>342</v>
      </c>
      <c r="I34" s="310"/>
      <c r="J34" s="311"/>
    </row>
    <row r="35" spans="5:13" x14ac:dyDescent="0.2">
      <c r="F35" s="149" t="s">
        <v>332</v>
      </c>
      <c r="G35" s="29">
        <f>COUNTIFS(A26:J32,"&lt;87.5")</f>
        <v>0</v>
      </c>
      <c r="H35" s="310"/>
      <c r="I35" s="310"/>
      <c r="J35" s="311"/>
    </row>
    <row r="36" spans="5:13" x14ac:dyDescent="0.2">
      <c r="F36" s="149" t="s">
        <v>333</v>
      </c>
      <c r="G36" s="29">
        <f>COUNTIFS($B$2:$K$8,"&lt;92.5",$B$2:$K$8,"&gt;87.5")</f>
        <v>9</v>
      </c>
      <c r="H36" s="310"/>
      <c r="I36" s="310"/>
      <c r="J36" s="311"/>
    </row>
    <row r="37" spans="5:13" x14ac:dyDescent="0.2">
      <c r="F37" s="149" t="s">
        <v>334</v>
      </c>
      <c r="G37" s="29">
        <f>COUNTIFS($B$2:$K$8,"&lt;97.5",$B$2:$K$8,"&gt;92.5")</f>
        <v>19</v>
      </c>
      <c r="H37" s="310"/>
      <c r="I37" s="310"/>
      <c r="J37" s="311"/>
    </row>
    <row r="38" spans="5:13" x14ac:dyDescent="0.2">
      <c r="F38" s="149" t="s">
        <v>335</v>
      </c>
      <c r="G38" s="29">
        <f>COUNTIFS($B$2:$K$8,"&lt;102.5",$B$2:$K$8,"&gt;97.5")</f>
        <v>21</v>
      </c>
      <c r="H38" s="310"/>
      <c r="I38" s="310"/>
      <c r="J38" s="311"/>
    </row>
    <row r="39" spans="5:13" x14ac:dyDescent="0.2">
      <c r="F39" s="149" t="s">
        <v>336</v>
      </c>
      <c r="G39" s="29">
        <f>COUNTIFS($B$2:$K$8,"&lt;107.5",$B$2:$K$8,"&gt;102.5")</f>
        <v>8</v>
      </c>
      <c r="H39" s="310"/>
      <c r="I39" s="310"/>
      <c r="J39" s="311"/>
    </row>
    <row r="40" spans="5:13" x14ac:dyDescent="0.2">
      <c r="F40" s="149" t="s">
        <v>337</v>
      </c>
      <c r="G40" s="29">
        <f>COUNTIFS($B$2:$K$8,"&lt;112.5",$B$2:$K$8,"&gt;107.5")</f>
        <v>5</v>
      </c>
      <c r="H40" s="310"/>
      <c r="I40" s="310"/>
      <c r="J40" s="311"/>
    </row>
    <row r="41" spans="5:13" x14ac:dyDescent="0.2">
      <c r="F41" s="149" t="s">
        <v>338</v>
      </c>
      <c r="G41" s="29">
        <f>COUNTIFS($B$2:$K$8,"&lt;117.5",$B$2:$K$8,"&gt;112.5")</f>
        <v>1</v>
      </c>
      <c r="H41" s="310"/>
      <c r="I41" s="310"/>
      <c r="J41" s="311"/>
    </row>
    <row r="42" spans="5:13" ht="17" thickBot="1" x14ac:dyDescent="0.25">
      <c r="F42" s="152" t="s">
        <v>339</v>
      </c>
      <c r="G42" s="158">
        <f>COUNTIFS($B$2:$K$8,"&lt;122.5",$B$2:$K$8,"&gt;117.5")</f>
        <v>1</v>
      </c>
      <c r="H42" s="312"/>
      <c r="I42" s="312"/>
      <c r="J42" s="313"/>
    </row>
    <row r="43" spans="5:13" ht="17" thickBot="1" x14ac:dyDescent="0.25"/>
    <row r="44" spans="5:13" x14ac:dyDescent="0.2">
      <c r="E44" s="46" t="s">
        <v>586</v>
      </c>
      <c r="F44" s="307" t="s">
        <v>246</v>
      </c>
      <c r="G44" s="308"/>
      <c r="H44" s="94"/>
      <c r="I44" s="94"/>
      <c r="J44" s="94"/>
      <c r="K44" s="94"/>
      <c r="L44" s="94"/>
      <c r="M44" s="161"/>
    </row>
    <row r="45" spans="5:13" x14ac:dyDescent="0.2">
      <c r="F45" s="149" t="s">
        <v>292</v>
      </c>
      <c r="G45" s="33">
        <f>((1/C16)*K59)/(G29^4)</f>
        <v>4.9758125178920043</v>
      </c>
      <c r="H45" t="s">
        <v>309</v>
      </c>
      <c r="M45" s="157"/>
    </row>
    <row r="46" spans="5:13" x14ac:dyDescent="0.2">
      <c r="F46" s="149" t="s">
        <v>293</v>
      </c>
      <c r="G46" s="33">
        <f>(1/C16)*(M59/(G29^3))</f>
        <v>0.40380282387582639</v>
      </c>
      <c r="H46" t="s">
        <v>343</v>
      </c>
      <c r="M46" s="157"/>
    </row>
    <row r="47" spans="5:13" x14ac:dyDescent="0.2">
      <c r="F47" s="162"/>
      <c r="M47" s="157"/>
    </row>
    <row r="48" spans="5:13" x14ac:dyDescent="0.2">
      <c r="F48" s="162"/>
      <c r="M48" s="157"/>
    </row>
    <row r="49" spans="2:13" x14ac:dyDescent="0.2">
      <c r="F49" s="162"/>
      <c r="M49" s="157"/>
    </row>
    <row r="50" spans="2:13" x14ac:dyDescent="0.2">
      <c r="F50" s="149" t="str">
        <f>+K10</f>
        <v>Punto medio</v>
      </c>
      <c r="G50" s="29" t="str">
        <f>+H10</f>
        <v>Fo</v>
      </c>
      <c r="H50" s="29" t="s">
        <v>294</v>
      </c>
      <c r="I50" s="29" t="s">
        <v>297</v>
      </c>
      <c r="J50" s="29" t="s">
        <v>298</v>
      </c>
      <c r="K50" s="29"/>
      <c r="L50" s="29" t="s">
        <v>299</v>
      </c>
      <c r="M50" s="157"/>
    </row>
    <row r="51" spans="2:13" x14ac:dyDescent="0.2">
      <c r="F51" s="149">
        <f t="shared" ref="F51:F58" si="7">+K11</f>
        <v>85</v>
      </c>
      <c r="G51" s="29">
        <f t="shared" ref="G51:G58" si="8">+H11</f>
        <v>6</v>
      </c>
      <c r="H51" s="29">
        <f>+F51*G51</f>
        <v>510</v>
      </c>
      <c r="I51" s="31">
        <f>+F51-$G$26</f>
        <v>-13.071428571428569</v>
      </c>
      <c r="J51" s="31">
        <f>I51^4</f>
        <v>29193.906731570161</v>
      </c>
      <c r="K51" s="31">
        <f>+J51*G51</f>
        <v>175163.44038942095</v>
      </c>
      <c r="L51" s="33">
        <f>I51^3</f>
        <v>-2233.4136297376081</v>
      </c>
      <c r="M51" s="163">
        <f>+L51*G51</f>
        <v>-13400.481778425648</v>
      </c>
    </row>
    <row r="52" spans="2:13" x14ac:dyDescent="0.2">
      <c r="F52" s="149">
        <f t="shared" si="7"/>
        <v>90</v>
      </c>
      <c r="G52" s="29">
        <f t="shared" si="8"/>
        <v>9</v>
      </c>
      <c r="H52" s="29">
        <f t="shared" ref="H52:H58" si="9">+F52*G52</f>
        <v>810</v>
      </c>
      <c r="I52" s="31">
        <f t="shared" ref="I52:I58" si="10">+F52-$G$26</f>
        <v>-8.0714285714285694</v>
      </c>
      <c r="J52" s="31">
        <f t="shared" ref="J52:J58" si="11">I52^4</f>
        <v>4244.2565857975796</v>
      </c>
      <c r="K52" s="31">
        <f t="shared" ref="K52:K58" si="12">+J52*G52</f>
        <v>38198.309272178216</v>
      </c>
      <c r="L52" s="33">
        <f t="shared" ref="L52:L58" si="13">I52^3</f>
        <v>-525.83709912536403</v>
      </c>
      <c r="M52" s="163">
        <f t="shared" ref="M52:M58" si="14">+L52*G52</f>
        <v>-4732.5338921282764</v>
      </c>
    </row>
    <row r="53" spans="2:13" x14ac:dyDescent="0.2">
      <c r="F53" s="149">
        <f t="shared" si="7"/>
        <v>95</v>
      </c>
      <c r="G53" s="29">
        <f t="shared" si="8"/>
        <v>19</v>
      </c>
      <c r="H53" s="29">
        <f t="shared" si="9"/>
        <v>1805</v>
      </c>
      <c r="I53" s="31">
        <f t="shared" si="10"/>
        <v>-3.0714285714285694</v>
      </c>
      <c r="J53" s="31">
        <f t="shared" si="11"/>
        <v>88.994195127030153</v>
      </c>
      <c r="K53" s="31">
        <f t="shared" si="12"/>
        <v>1690.889707413573</v>
      </c>
      <c r="L53" s="33">
        <f t="shared" si="13"/>
        <v>-28.974854227405189</v>
      </c>
      <c r="M53" s="163">
        <f t="shared" si="14"/>
        <v>-550.52223032069855</v>
      </c>
    </row>
    <row r="54" spans="2:13" x14ac:dyDescent="0.2">
      <c r="F54" s="149">
        <f t="shared" si="7"/>
        <v>100</v>
      </c>
      <c r="G54" s="29">
        <f t="shared" si="8"/>
        <v>21</v>
      </c>
      <c r="H54" s="29">
        <f t="shared" si="9"/>
        <v>2100</v>
      </c>
      <c r="I54" s="31">
        <f t="shared" si="10"/>
        <v>1.9285714285714306</v>
      </c>
      <c r="J54" s="31">
        <f t="shared" si="11"/>
        <v>13.833845272803057</v>
      </c>
      <c r="K54" s="31">
        <f t="shared" si="12"/>
        <v>290.5107507288642</v>
      </c>
      <c r="L54" s="33">
        <f t="shared" si="13"/>
        <v>7.1731049562682445</v>
      </c>
      <c r="M54" s="163">
        <f t="shared" si="14"/>
        <v>150.63520408163313</v>
      </c>
    </row>
    <row r="55" spans="2:13" x14ac:dyDescent="0.2">
      <c r="F55" s="149">
        <f t="shared" si="7"/>
        <v>105</v>
      </c>
      <c r="G55" s="29">
        <f t="shared" si="8"/>
        <v>8</v>
      </c>
      <c r="H55" s="29">
        <f t="shared" si="9"/>
        <v>840</v>
      </c>
      <c r="I55" s="31">
        <f t="shared" si="10"/>
        <v>6.9285714285714306</v>
      </c>
      <c r="J55" s="31">
        <f t="shared" si="11"/>
        <v>2304.4898219491906</v>
      </c>
      <c r="K55" s="31">
        <f t="shared" si="12"/>
        <v>18435.918575593525</v>
      </c>
      <c r="L55" s="33">
        <f t="shared" si="13"/>
        <v>332.60677842565627</v>
      </c>
      <c r="M55" s="163">
        <f t="shared" si="14"/>
        <v>2660.8542274052502</v>
      </c>
    </row>
    <row r="56" spans="2:13" x14ac:dyDescent="0.2">
      <c r="F56" s="149">
        <f t="shared" si="7"/>
        <v>110</v>
      </c>
      <c r="G56" s="29">
        <f t="shared" si="8"/>
        <v>5</v>
      </c>
      <c r="H56" s="29">
        <f t="shared" si="9"/>
        <v>550</v>
      </c>
      <c r="I56" s="31">
        <f t="shared" si="10"/>
        <v>11.928571428571431</v>
      </c>
      <c r="J56" s="31">
        <f t="shared" si="11"/>
        <v>20246.676410870485</v>
      </c>
      <c r="K56" s="31">
        <f t="shared" si="12"/>
        <v>101233.38205435242</v>
      </c>
      <c r="L56" s="33">
        <f t="shared" si="13"/>
        <v>1697.3261661807589</v>
      </c>
      <c r="M56" s="163">
        <f t="shared" si="14"/>
        <v>8486.630830903794</v>
      </c>
    </row>
    <row r="57" spans="2:13" x14ac:dyDescent="0.2">
      <c r="F57" s="149">
        <f t="shared" si="7"/>
        <v>115</v>
      </c>
      <c r="G57" s="29">
        <f t="shared" si="8"/>
        <v>1</v>
      </c>
      <c r="H57" s="29">
        <f t="shared" si="9"/>
        <v>115</v>
      </c>
      <c r="I57" s="31">
        <f t="shared" si="10"/>
        <v>16.928571428571431</v>
      </c>
      <c r="J57" s="31">
        <f t="shared" si="11"/>
        <v>82126.10789775099</v>
      </c>
      <c r="K57" s="31">
        <f t="shared" si="12"/>
        <v>82126.10789775099</v>
      </c>
      <c r="L57" s="33">
        <f t="shared" si="13"/>
        <v>4851.3312682215765</v>
      </c>
      <c r="M57" s="163">
        <f t="shared" si="14"/>
        <v>4851.3312682215765</v>
      </c>
    </row>
    <row r="58" spans="2:13" x14ac:dyDescent="0.2">
      <c r="F58" s="149">
        <f t="shared" si="7"/>
        <v>120</v>
      </c>
      <c r="G58" s="29">
        <f t="shared" si="8"/>
        <v>1</v>
      </c>
      <c r="H58" s="29">
        <f t="shared" si="9"/>
        <v>120</v>
      </c>
      <c r="I58" s="31">
        <f t="shared" si="10"/>
        <v>21.928571428571431</v>
      </c>
      <c r="J58" s="31">
        <f t="shared" si="11"/>
        <v>231228.49856830496</v>
      </c>
      <c r="K58" s="31">
        <f t="shared" si="12"/>
        <v>231228.49856830496</v>
      </c>
      <c r="L58" s="33">
        <f t="shared" si="13"/>
        <v>10544.622084548108</v>
      </c>
      <c r="M58" s="163">
        <f t="shared" si="14"/>
        <v>10544.622084548108</v>
      </c>
    </row>
    <row r="59" spans="2:13" ht="17" thickBot="1" x14ac:dyDescent="0.25">
      <c r="F59" s="152">
        <f>SUM(F51:F58)</f>
        <v>820</v>
      </c>
      <c r="G59" s="158">
        <f>SUM(G51:G58)</f>
        <v>70</v>
      </c>
      <c r="H59" s="158">
        <f>SUM(H51:H58)</f>
        <v>6850</v>
      </c>
      <c r="I59" s="158"/>
      <c r="J59" s="158"/>
      <c r="K59" s="156">
        <f>SUM(K51:K58)</f>
        <v>648367.05721574347</v>
      </c>
      <c r="L59" s="164"/>
      <c r="M59" s="153">
        <f>SUM(M51:M58)</f>
        <v>8010.5357142857392</v>
      </c>
    </row>
    <row r="60" spans="2:13" ht="24" x14ac:dyDescent="0.3">
      <c r="B60" s="171" t="s">
        <v>308</v>
      </c>
    </row>
    <row r="61" spans="2:13" ht="17" thickBot="1" x14ac:dyDescent="0.25"/>
    <row r="62" spans="2:13" x14ac:dyDescent="0.2">
      <c r="B62" s="69">
        <v>111</v>
      </c>
      <c r="D62" s="170" t="s">
        <v>306</v>
      </c>
      <c r="E62" s="165" t="s">
        <v>295</v>
      </c>
      <c r="F62" s="166">
        <f>+K64</f>
        <v>97.885714285714286</v>
      </c>
      <c r="J62" s="160" t="s">
        <v>291</v>
      </c>
      <c r="K62" s="160"/>
    </row>
    <row r="63" spans="2:13" x14ac:dyDescent="0.2">
      <c r="B63" s="69">
        <v>86</v>
      </c>
      <c r="D63" s="170"/>
      <c r="E63" s="162" t="s">
        <v>296</v>
      </c>
      <c r="F63" s="167">
        <f>+K66</f>
        <v>98</v>
      </c>
    </row>
    <row r="64" spans="2:13" ht="17" thickBot="1" x14ac:dyDescent="0.25">
      <c r="B64" s="69">
        <v>96</v>
      </c>
      <c r="D64" s="170"/>
      <c r="E64" s="168" t="s">
        <v>300</v>
      </c>
      <c r="F64" s="169">
        <f>+K67</f>
        <v>97</v>
      </c>
      <c r="J64" t="s">
        <v>278</v>
      </c>
      <c r="K64">
        <v>97.885714285714286</v>
      </c>
    </row>
    <row r="65" spans="2:11" ht="17" thickBot="1" x14ac:dyDescent="0.25">
      <c r="B65" s="69">
        <v>106</v>
      </c>
      <c r="D65" s="170"/>
      <c r="J65" t="s">
        <v>279</v>
      </c>
      <c r="K65">
        <v>0.84944089689997537</v>
      </c>
    </row>
    <row r="66" spans="2:11" x14ac:dyDescent="0.2">
      <c r="B66" s="69">
        <v>91</v>
      </c>
      <c r="D66" s="170" t="s">
        <v>307</v>
      </c>
      <c r="E66" s="165" t="s">
        <v>301</v>
      </c>
      <c r="F66" s="166">
        <f>+K68</f>
        <v>7.1069324333946238</v>
      </c>
      <c r="J66" t="s">
        <v>280</v>
      </c>
      <c r="K66">
        <v>98</v>
      </c>
    </row>
    <row r="67" spans="2:11" x14ac:dyDescent="0.2">
      <c r="B67" s="69">
        <v>97</v>
      </c>
      <c r="D67" s="170"/>
      <c r="E67" s="162" t="s">
        <v>245</v>
      </c>
      <c r="F67" s="167">
        <f>F62+(3*F66)</f>
        <v>119.20651158589816</v>
      </c>
      <c r="J67" t="s">
        <v>281</v>
      </c>
      <c r="K67">
        <v>97</v>
      </c>
    </row>
    <row r="68" spans="2:11" ht="17" thickBot="1" x14ac:dyDescent="0.25">
      <c r="B68" s="69">
        <v>101</v>
      </c>
      <c r="D68" s="170"/>
      <c r="E68" s="168" t="s">
        <v>244</v>
      </c>
      <c r="F68" s="169">
        <f>F62-(3*F66)</f>
        <v>76.564916985530417</v>
      </c>
      <c r="J68" t="s">
        <v>282</v>
      </c>
      <c r="K68">
        <v>7.1069324333946238</v>
      </c>
    </row>
    <row r="69" spans="2:11" x14ac:dyDescent="0.2">
      <c r="B69" s="69">
        <v>98</v>
      </c>
      <c r="D69" s="170"/>
      <c r="J69" t="s">
        <v>283</v>
      </c>
      <c r="K69">
        <v>50.50848861283643</v>
      </c>
    </row>
    <row r="70" spans="2:11" x14ac:dyDescent="0.2">
      <c r="B70" s="69">
        <v>106</v>
      </c>
      <c r="D70" s="170" t="s">
        <v>304</v>
      </c>
      <c r="E70" t="s">
        <v>303</v>
      </c>
      <c r="J70" t="s">
        <v>284</v>
      </c>
      <c r="K70">
        <v>0.31288807712006328</v>
      </c>
    </row>
    <row r="71" spans="2:11" ht="17" thickBot="1" x14ac:dyDescent="0.25">
      <c r="B71" s="69">
        <v>99</v>
      </c>
      <c r="D71" s="170"/>
      <c r="J71" t="s">
        <v>285</v>
      </c>
      <c r="K71">
        <v>0.25930317678341458</v>
      </c>
    </row>
    <row r="72" spans="2:11" x14ac:dyDescent="0.2">
      <c r="B72" s="69">
        <v>96</v>
      </c>
      <c r="D72" s="170" t="s">
        <v>305</v>
      </c>
      <c r="E72" s="165" t="s">
        <v>284</v>
      </c>
      <c r="F72" s="172">
        <f>+K70</f>
        <v>0.31288807712006328</v>
      </c>
      <c r="G72" s="161" t="s">
        <v>309</v>
      </c>
      <c r="J72" t="s">
        <v>286</v>
      </c>
      <c r="K72">
        <v>35</v>
      </c>
    </row>
    <row r="73" spans="2:11" ht="17" thickBot="1" x14ac:dyDescent="0.25">
      <c r="B73" s="69">
        <v>84</v>
      </c>
      <c r="E73" s="168" t="s">
        <v>293</v>
      </c>
      <c r="F73" s="173">
        <f>+K71</f>
        <v>0.25930317678341458</v>
      </c>
      <c r="G73" s="159"/>
      <c r="J73" t="s">
        <v>287</v>
      </c>
      <c r="K73">
        <v>83</v>
      </c>
    </row>
    <row r="74" spans="2:11" x14ac:dyDescent="0.2">
      <c r="B74" s="69">
        <v>104</v>
      </c>
      <c r="J74" t="s">
        <v>288</v>
      </c>
      <c r="K74">
        <v>118</v>
      </c>
    </row>
    <row r="75" spans="2:11" x14ac:dyDescent="0.2">
      <c r="B75" s="69">
        <v>97</v>
      </c>
      <c r="J75" t="s">
        <v>289</v>
      </c>
      <c r="K75">
        <v>6852</v>
      </c>
    </row>
    <row r="76" spans="2:11" ht="17" thickBot="1" x14ac:dyDescent="0.25">
      <c r="B76" s="69">
        <v>109</v>
      </c>
      <c r="J76" s="1" t="s">
        <v>290</v>
      </c>
      <c r="K76" s="1">
        <v>70</v>
      </c>
    </row>
    <row r="77" spans="2:11" x14ac:dyDescent="0.2">
      <c r="B77" s="69">
        <v>101</v>
      </c>
    </row>
    <row r="78" spans="2:11" x14ac:dyDescent="0.2">
      <c r="B78" s="69">
        <v>91</v>
      </c>
    </row>
    <row r="79" spans="2:11" x14ac:dyDescent="0.2">
      <c r="B79" s="69">
        <v>99</v>
      </c>
    </row>
    <row r="80" spans="2:11" x14ac:dyDescent="0.2">
      <c r="B80" s="69">
        <v>92</v>
      </c>
    </row>
    <row r="81" spans="2:2" x14ac:dyDescent="0.2">
      <c r="B81" s="69">
        <v>98</v>
      </c>
    </row>
    <row r="82" spans="2:2" x14ac:dyDescent="0.2">
      <c r="B82" s="69">
        <v>94</v>
      </c>
    </row>
    <row r="83" spans="2:2" x14ac:dyDescent="0.2">
      <c r="B83" s="69">
        <v>89</v>
      </c>
    </row>
    <row r="84" spans="2:2" x14ac:dyDescent="0.2">
      <c r="B84" s="69">
        <v>99</v>
      </c>
    </row>
    <row r="85" spans="2:2" x14ac:dyDescent="0.2">
      <c r="B85" s="69">
        <v>83</v>
      </c>
    </row>
    <row r="86" spans="2:2" x14ac:dyDescent="0.2">
      <c r="B86" s="69">
        <v>98</v>
      </c>
    </row>
    <row r="87" spans="2:2" x14ac:dyDescent="0.2">
      <c r="B87" s="69">
        <v>108</v>
      </c>
    </row>
    <row r="88" spans="2:2" x14ac:dyDescent="0.2">
      <c r="B88" s="69">
        <v>103</v>
      </c>
    </row>
    <row r="89" spans="2:2" x14ac:dyDescent="0.2">
      <c r="B89" s="69">
        <v>97</v>
      </c>
    </row>
    <row r="90" spans="2:2" x14ac:dyDescent="0.2">
      <c r="B90" s="69">
        <v>101</v>
      </c>
    </row>
    <row r="91" spans="2:2" x14ac:dyDescent="0.2">
      <c r="B91" s="69">
        <v>107</v>
      </c>
    </row>
    <row r="92" spans="2:2" x14ac:dyDescent="0.2">
      <c r="B92" s="69">
        <v>98</v>
      </c>
    </row>
    <row r="93" spans="2:2" x14ac:dyDescent="0.2">
      <c r="B93" s="69">
        <v>92</v>
      </c>
    </row>
    <row r="94" spans="2:2" x14ac:dyDescent="0.2">
      <c r="B94" s="69">
        <v>97</v>
      </c>
    </row>
    <row r="95" spans="2:2" x14ac:dyDescent="0.2">
      <c r="B95" s="69">
        <v>96</v>
      </c>
    </row>
    <row r="96" spans="2:2" x14ac:dyDescent="0.2">
      <c r="B96" s="69">
        <v>87</v>
      </c>
    </row>
    <row r="97" spans="2:2" x14ac:dyDescent="0.2">
      <c r="B97" s="69">
        <v>91</v>
      </c>
    </row>
    <row r="98" spans="2:2" x14ac:dyDescent="0.2">
      <c r="B98" s="69">
        <v>99</v>
      </c>
    </row>
    <row r="99" spans="2:2" x14ac:dyDescent="0.2">
      <c r="B99" s="69">
        <v>102</v>
      </c>
    </row>
    <row r="100" spans="2:2" x14ac:dyDescent="0.2">
      <c r="B100" s="69">
        <v>94</v>
      </c>
    </row>
    <row r="101" spans="2:2" x14ac:dyDescent="0.2">
      <c r="B101" s="69">
        <v>113</v>
      </c>
    </row>
    <row r="102" spans="2:2" x14ac:dyDescent="0.2">
      <c r="B102" s="69">
        <v>96</v>
      </c>
    </row>
    <row r="103" spans="2:2" x14ac:dyDescent="0.2">
      <c r="B103" s="69">
        <v>102</v>
      </c>
    </row>
    <row r="104" spans="2:2" x14ac:dyDescent="0.2">
      <c r="B104" s="69">
        <v>104</v>
      </c>
    </row>
    <row r="105" spans="2:2" x14ac:dyDescent="0.2">
      <c r="B105" s="69">
        <v>99</v>
      </c>
    </row>
    <row r="106" spans="2:2" x14ac:dyDescent="0.2">
      <c r="B106" s="69">
        <v>88</v>
      </c>
    </row>
    <row r="107" spans="2:2" x14ac:dyDescent="0.2">
      <c r="B107" s="69">
        <v>98</v>
      </c>
    </row>
    <row r="108" spans="2:2" x14ac:dyDescent="0.2">
      <c r="B108" s="69">
        <v>108</v>
      </c>
    </row>
    <row r="109" spans="2:2" x14ac:dyDescent="0.2">
      <c r="B109" s="69">
        <v>97</v>
      </c>
    </row>
    <row r="110" spans="2:2" x14ac:dyDescent="0.2">
      <c r="B110" s="69">
        <v>93</v>
      </c>
    </row>
    <row r="111" spans="2:2" x14ac:dyDescent="0.2">
      <c r="B111" s="69">
        <v>96</v>
      </c>
    </row>
    <row r="112" spans="2:2" x14ac:dyDescent="0.2">
      <c r="B112" s="69">
        <v>118</v>
      </c>
    </row>
    <row r="113" spans="2:2" x14ac:dyDescent="0.2">
      <c r="B113" s="69">
        <v>97</v>
      </c>
    </row>
    <row r="114" spans="2:2" x14ac:dyDescent="0.2">
      <c r="B114" s="69">
        <v>93</v>
      </c>
    </row>
    <row r="115" spans="2:2" x14ac:dyDescent="0.2">
      <c r="B115" s="69">
        <v>98</v>
      </c>
    </row>
    <row r="116" spans="2:2" x14ac:dyDescent="0.2">
      <c r="B116" s="69">
        <v>102</v>
      </c>
    </row>
    <row r="117" spans="2:2" x14ac:dyDescent="0.2">
      <c r="B117" s="69">
        <v>99</v>
      </c>
    </row>
    <row r="118" spans="2:2" x14ac:dyDescent="0.2">
      <c r="B118" s="69">
        <v>93</v>
      </c>
    </row>
    <row r="119" spans="2:2" x14ac:dyDescent="0.2">
      <c r="B119" s="69">
        <v>87</v>
      </c>
    </row>
    <row r="120" spans="2:2" x14ac:dyDescent="0.2">
      <c r="B120" s="69">
        <v>103</v>
      </c>
    </row>
    <row r="121" spans="2:2" x14ac:dyDescent="0.2">
      <c r="B121" s="69">
        <v>98</v>
      </c>
    </row>
    <row r="122" spans="2:2" x14ac:dyDescent="0.2">
      <c r="B122" s="69">
        <v>84</v>
      </c>
    </row>
    <row r="123" spans="2:2" x14ac:dyDescent="0.2">
      <c r="B123" s="69">
        <v>99</v>
      </c>
    </row>
    <row r="124" spans="2:2" x14ac:dyDescent="0.2">
      <c r="B124" s="69">
        <v>101</v>
      </c>
    </row>
    <row r="125" spans="2:2" x14ac:dyDescent="0.2">
      <c r="B125" s="69">
        <v>107</v>
      </c>
    </row>
    <row r="126" spans="2:2" x14ac:dyDescent="0.2">
      <c r="B126" s="69">
        <v>91</v>
      </c>
    </row>
    <row r="127" spans="2:2" x14ac:dyDescent="0.2">
      <c r="B127" s="69">
        <v>96</v>
      </c>
    </row>
    <row r="128" spans="2:2" x14ac:dyDescent="0.2">
      <c r="B128" s="69">
        <v>112</v>
      </c>
    </row>
    <row r="129" spans="2:2" x14ac:dyDescent="0.2">
      <c r="B129" s="69">
        <v>97</v>
      </c>
    </row>
    <row r="130" spans="2:2" x14ac:dyDescent="0.2">
      <c r="B130" s="69">
        <v>89</v>
      </c>
    </row>
    <row r="131" spans="2:2" x14ac:dyDescent="0.2">
      <c r="B131" s="69">
        <v>97</v>
      </c>
    </row>
  </sheetData>
  <mergeCells count="7">
    <mergeCell ref="H34:J42"/>
    <mergeCell ref="F44:G44"/>
    <mergeCell ref="S22:U26"/>
    <mergeCell ref="F20:G20"/>
    <mergeCell ref="F28:G28"/>
    <mergeCell ref="H29:J31"/>
    <mergeCell ref="F33:G33"/>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D6967-A442-614C-A933-EB250C78CD49}">
  <dimension ref="A2:AO143"/>
  <sheetViews>
    <sheetView workbookViewId="0">
      <selection activeCell="K21" sqref="K21"/>
    </sheetView>
  </sheetViews>
  <sheetFormatPr baseColWidth="10" defaultRowHeight="16" x14ac:dyDescent="0.2"/>
  <cols>
    <col min="6" max="6" width="13.1640625" customWidth="1"/>
    <col min="10" max="10" width="12.6640625" bestFit="1" customWidth="1"/>
    <col min="25" max="25" width="13.5" customWidth="1"/>
    <col min="28" max="28" width="13" customWidth="1"/>
    <col min="29" max="29" width="12.6640625" bestFit="1" customWidth="1"/>
  </cols>
  <sheetData>
    <row r="2" spans="1:33" ht="19" x14ac:dyDescent="0.2">
      <c r="B2" s="72">
        <v>26.1</v>
      </c>
      <c r="C2" s="72">
        <v>25.2</v>
      </c>
      <c r="D2" s="72">
        <v>25.6</v>
      </c>
      <c r="E2" s="72">
        <v>25.5</v>
      </c>
      <c r="F2" s="72">
        <v>25.2</v>
      </c>
      <c r="G2" s="72">
        <v>26.6</v>
      </c>
      <c r="H2" s="72">
        <v>27.6</v>
      </c>
      <c r="I2" s="72">
        <v>24.5</v>
      </c>
      <c r="J2" s="72">
        <v>24.1</v>
      </c>
      <c r="K2" s="72">
        <v>25.8</v>
      </c>
      <c r="U2" s="72">
        <v>26.1</v>
      </c>
      <c r="V2" s="72">
        <v>25.2</v>
      </c>
      <c r="W2" s="72">
        <v>25.6</v>
      </c>
      <c r="X2" s="72">
        <v>25.5</v>
      </c>
      <c r="Y2" s="72">
        <v>25.2</v>
      </c>
      <c r="Z2" s="72">
        <v>26.6</v>
      </c>
      <c r="AA2" s="72">
        <v>27.6</v>
      </c>
      <c r="AB2" s="72">
        <v>24.5</v>
      </c>
      <c r="AC2" s="72">
        <v>24.1</v>
      </c>
      <c r="AD2" s="72">
        <v>25.8</v>
      </c>
    </row>
    <row r="3" spans="1:33" ht="19" x14ac:dyDescent="0.2">
      <c r="B3" s="72">
        <v>24.4</v>
      </c>
      <c r="C3" s="72">
        <v>25.9</v>
      </c>
      <c r="D3" s="72">
        <v>24.5</v>
      </c>
      <c r="E3" s="72">
        <v>26.8</v>
      </c>
      <c r="F3" s="72">
        <v>25.2</v>
      </c>
      <c r="G3" s="72">
        <v>24.1</v>
      </c>
      <c r="H3" s="72">
        <v>26</v>
      </c>
      <c r="I3" s="72">
        <v>23.1</v>
      </c>
      <c r="J3" s="72">
        <v>25</v>
      </c>
      <c r="K3" s="72">
        <v>25.7</v>
      </c>
      <c r="U3" s="72">
        <v>24.4</v>
      </c>
      <c r="V3" s="72">
        <v>25.9</v>
      </c>
      <c r="W3" s="72">
        <v>24.5</v>
      </c>
      <c r="X3" s="72">
        <v>26.8</v>
      </c>
      <c r="Y3" s="72">
        <v>25.2</v>
      </c>
      <c r="Z3" s="72">
        <v>24.1</v>
      </c>
      <c r="AA3" s="72">
        <v>26</v>
      </c>
      <c r="AB3" s="72">
        <v>23.1</v>
      </c>
      <c r="AC3" s="72">
        <v>25</v>
      </c>
      <c r="AD3" s="72">
        <v>25.7</v>
      </c>
    </row>
    <row r="4" spans="1:33" ht="19" x14ac:dyDescent="0.2">
      <c r="B4" s="72">
        <v>25.6</v>
      </c>
      <c r="C4" s="72">
        <v>25.2</v>
      </c>
      <c r="D4" s="72">
        <v>25.7</v>
      </c>
      <c r="E4" s="72">
        <v>25.1</v>
      </c>
      <c r="F4" s="72">
        <v>26.3</v>
      </c>
      <c r="G4" s="72">
        <v>25.5</v>
      </c>
      <c r="H4" s="72">
        <v>24.9</v>
      </c>
      <c r="I4" s="72">
        <v>23.9</v>
      </c>
      <c r="J4" s="72">
        <v>23.5</v>
      </c>
      <c r="K4" s="72">
        <v>24.3</v>
      </c>
      <c r="U4" s="72">
        <v>25.6</v>
      </c>
      <c r="V4" s="72">
        <v>25.2</v>
      </c>
      <c r="W4" s="72">
        <v>25.7</v>
      </c>
      <c r="X4" s="72">
        <v>25.1</v>
      </c>
      <c r="Y4" s="72">
        <v>26.3</v>
      </c>
      <c r="Z4" s="72">
        <v>25.5</v>
      </c>
      <c r="AA4" s="72">
        <v>24.9</v>
      </c>
      <c r="AB4" s="72">
        <v>23.9</v>
      </c>
      <c r="AC4" s="72">
        <v>23.5</v>
      </c>
      <c r="AD4" s="72">
        <v>24.3</v>
      </c>
    </row>
    <row r="5" spans="1:33" ht="19" x14ac:dyDescent="0.2">
      <c r="B5" s="72">
        <v>25.2</v>
      </c>
      <c r="C5" s="72">
        <v>24.8</v>
      </c>
      <c r="D5" s="72">
        <v>25.1</v>
      </c>
      <c r="E5" s="72">
        <v>25</v>
      </c>
      <c r="F5" s="72">
        <v>25.7</v>
      </c>
      <c r="G5" s="72">
        <v>24</v>
      </c>
      <c r="H5" s="72">
        <v>25.3</v>
      </c>
      <c r="I5" s="72">
        <v>24.7</v>
      </c>
      <c r="J5" s="72">
        <v>24.9</v>
      </c>
      <c r="K5" s="72">
        <v>27.3</v>
      </c>
      <c r="U5" s="72">
        <v>25.2</v>
      </c>
      <c r="V5" s="72">
        <v>24.8</v>
      </c>
      <c r="W5" s="72">
        <v>25.1</v>
      </c>
      <c r="X5" s="72">
        <v>25</v>
      </c>
      <c r="Y5" s="72">
        <v>25.7</v>
      </c>
      <c r="Z5" s="72">
        <v>24</v>
      </c>
      <c r="AA5" s="72">
        <v>25.3</v>
      </c>
      <c r="AB5" s="72">
        <v>24.7</v>
      </c>
      <c r="AC5" s="72">
        <v>24.9</v>
      </c>
      <c r="AD5" s="72">
        <v>27.3</v>
      </c>
    </row>
    <row r="6" spans="1:33" ht="21" x14ac:dyDescent="0.25">
      <c r="A6" s="178" t="s">
        <v>354</v>
      </c>
      <c r="B6" s="177">
        <v>11</v>
      </c>
      <c r="C6" s="177">
        <v>12</v>
      </c>
      <c r="D6" s="177">
        <v>13</v>
      </c>
      <c r="E6" s="177">
        <v>14</v>
      </c>
      <c r="F6" s="177">
        <v>15</v>
      </c>
      <c r="G6" s="177">
        <v>16</v>
      </c>
      <c r="H6" s="177">
        <v>17</v>
      </c>
      <c r="I6" s="177">
        <v>18</v>
      </c>
      <c r="J6" s="177">
        <v>19</v>
      </c>
      <c r="K6" s="177">
        <v>20</v>
      </c>
      <c r="U6" s="72">
        <v>22.5</v>
      </c>
      <c r="V6" s="72">
        <v>24.5</v>
      </c>
      <c r="W6" s="72">
        <v>24.4</v>
      </c>
      <c r="X6" s="72">
        <v>23.1</v>
      </c>
      <c r="Y6" s="72">
        <v>24.6</v>
      </c>
      <c r="Z6" s="72">
        <v>24.4</v>
      </c>
      <c r="AA6" s="72">
        <v>25.1</v>
      </c>
      <c r="AB6" s="72">
        <v>24.5</v>
      </c>
      <c r="AC6" s="72">
        <v>25.3</v>
      </c>
      <c r="AD6" s="72">
        <v>24.6</v>
      </c>
    </row>
    <row r="7" spans="1:33" ht="19" x14ac:dyDescent="0.2">
      <c r="B7" s="72">
        <v>22.5</v>
      </c>
      <c r="C7" s="72">
        <v>24.5</v>
      </c>
      <c r="D7" s="72">
        <v>24.4</v>
      </c>
      <c r="E7" s="72">
        <v>23.1</v>
      </c>
      <c r="F7" s="72">
        <v>24.6</v>
      </c>
      <c r="G7" s="72">
        <v>24.4</v>
      </c>
      <c r="H7" s="72">
        <v>25.1</v>
      </c>
      <c r="I7" s="72">
        <v>24.5</v>
      </c>
      <c r="J7" s="72">
        <v>25.3</v>
      </c>
      <c r="K7" s="72">
        <v>24.6</v>
      </c>
      <c r="U7" s="72">
        <v>23</v>
      </c>
      <c r="V7" s="72">
        <v>24.8</v>
      </c>
      <c r="W7" s="72">
        <v>24.5</v>
      </c>
      <c r="X7" s="72">
        <v>23.3</v>
      </c>
      <c r="Y7" s="72">
        <v>25.1</v>
      </c>
      <c r="Z7" s="72">
        <v>24.4</v>
      </c>
      <c r="AA7" s="72">
        <v>24.1</v>
      </c>
      <c r="AB7" s="72">
        <v>24.5</v>
      </c>
      <c r="AC7" s="72">
        <v>27.5</v>
      </c>
      <c r="AD7" s="72">
        <v>25.3</v>
      </c>
    </row>
    <row r="8" spans="1:33" ht="19" x14ac:dyDescent="0.2">
      <c r="B8" s="72">
        <v>23</v>
      </c>
      <c r="C8" s="72">
        <v>24.8</v>
      </c>
      <c r="D8" s="72">
        <v>24.5</v>
      </c>
      <c r="E8" s="72">
        <v>23.3</v>
      </c>
      <c r="F8" s="72">
        <v>25.1</v>
      </c>
      <c r="G8" s="72">
        <v>24.4</v>
      </c>
      <c r="H8" s="72">
        <v>24.1</v>
      </c>
      <c r="I8" s="72">
        <v>24.5</v>
      </c>
      <c r="J8" s="72">
        <v>27.5</v>
      </c>
      <c r="K8" s="72">
        <v>25.3</v>
      </c>
      <c r="U8" s="72">
        <v>23.7</v>
      </c>
      <c r="V8" s="72">
        <v>23.2</v>
      </c>
      <c r="W8" s="72">
        <v>25.9</v>
      </c>
      <c r="X8" s="72">
        <v>24.4</v>
      </c>
      <c r="Y8" s="72">
        <v>24</v>
      </c>
      <c r="Z8" s="72">
        <v>22.8</v>
      </c>
      <c r="AA8" s="72">
        <v>23.9</v>
      </c>
      <c r="AB8" s="72">
        <v>26</v>
      </c>
      <c r="AC8" s="72">
        <v>24.3</v>
      </c>
      <c r="AD8" s="72">
        <v>25.5</v>
      </c>
    </row>
    <row r="9" spans="1:33" ht="19" x14ac:dyDescent="0.2">
      <c r="B9" s="72">
        <v>23.7</v>
      </c>
      <c r="C9" s="72">
        <v>23.2</v>
      </c>
      <c r="D9" s="72">
        <v>25.9</v>
      </c>
      <c r="E9" s="72">
        <v>24.4</v>
      </c>
      <c r="F9" s="72">
        <v>24</v>
      </c>
      <c r="G9" s="72">
        <v>22.8</v>
      </c>
      <c r="H9" s="72">
        <v>23.9</v>
      </c>
      <c r="I9" s="72">
        <v>26</v>
      </c>
      <c r="J9" s="72">
        <v>24.3</v>
      </c>
      <c r="K9" s="72">
        <v>25.5</v>
      </c>
      <c r="U9" s="72">
        <v>24</v>
      </c>
      <c r="V9" s="72">
        <v>24.2</v>
      </c>
      <c r="W9" s="72">
        <v>25.5</v>
      </c>
      <c r="X9" s="72">
        <v>24.7</v>
      </c>
      <c r="Y9" s="72">
        <v>25.3</v>
      </c>
      <c r="Z9" s="72">
        <v>24.3</v>
      </c>
      <c r="AA9" s="72">
        <v>26.2</v>
      </c>
      <c r="AB9" s="72">
        <v>26.2</v>
      </c>
      <c r="AC9" s="72">
        <v>25.5</v>
      </c>
      <c r="AD9" s="72">
        <v>24.3</v>
      </c>
    </row>
    <row r="10" spans="1:33" ht="19" x14ac:dyDescent="0.2">
      <c r="B10" s="72">
        <v>24</v>
      </c>
      <c r="C10" s="72">
        <v>24.2</v>
      </c>
      <c r="D10" s="72">
        <v>25.5</v>
      </c>
      <c r="E10" s="72">
        <v>24.7</v>
      </c>
      <c r="F10" s="72">
        <v>25.3</v>
      </c>
      <c r="G10" s="72">
        <v>24.3</v>
      </c>
      <c r="H10" s="72">
        <v>26.2</v>
      </c>
      <c r="I10" s="72">
        <v>26.2</v>
      </c>
      <c r="J10" s="72">
        <v>25.5</v>
      </c>
      <c r="K10" s="72">
        <v>24.3</v>
      </c>
    </row>
    <row r="11" spans="1:33" x14ac:dyDescent="0.2">
      <c r="U11" s="29" t="s">
        <v>238</v>
      </c>
      <c r="V11" s="31">
        <f>MAX(U2:AD9)-MIN(U2:AD9)</f>
        <v>5.1000000000000014</v>
      </c>
      <c r="Y11" s="29" t="s">
        <v>244</v>
      </c>
      <c r="Z11" s="29" t="s">
        <v>245</v>
      </c>
      <c r="AA11" s="29" t="s">
        <v>77</v>
      </c>
      <c r="AB11" s="29" t="s">
        <v>263</v>
      </c>
      <c r="AC11" s="29" t="s">
        <v>251</v>
      </c>
      <c r="AD11" s="29" t="s">
        <v>254</v>
      </c>
      <c r="AE11" s="29" t="s">
        <v>90</v>
      </c>
      <c r="AF11" s="29" t="s">
        <v>255</v>
      </c>
      <c r="AG11" s="29" t="s">
        <v>256</v>
      </c>
    </row>
    <row r="12" spans="1:33" x14ac:dyDescent="0.2">
      <c r="B12" s="29" t="s">
        <v>238</v>
      </c>
      <c r="C12" s="31">
        <f>MAX(B2:K10)-MIN(B2:K10)</f>
        <v>16.600000000000001</v>
      </c>
      <c r="F12" s="29" t="s">
        <v>244</v>
      </c>
      <c r="G12" s="29" t="s">
        <v>245</v>
      </c>
      <c r="H12" s="29" t="s">
        <v>77</v>
      </c>
      <c r="I12" s="29" t="s">
        <v>263</v>
      </c>
      <c r="J12" s="29" t="s">
        <v>251</v>
      </c>
      <c r="K12" s="29" t="s">
        <v>254</v>
      </c>
      <c r="L12" s="29" t="s">
        <v>90</v>
      </c>
      <c r="M12" s="29" t="s">
        <v>255</v>
      </c>
      <c r="N12" s="29" t="s">
        <v>256</v>
      </c>
      <c r="U12" s="29" t="s">
        <v>239</v>
      </c>
      <c r="V12" s="31">
        <f>1+(3.3*LOG(V17))</f>
        <v>7.2801969570734135</v>
      </c>
      <c r="W12" s="2">
        <f>ROUNDUP(V12,0)</f>
        <v>8</v>
      </c>
      <c r="Y12" s="33">
        <f>(MIN(U2:AD9)-V16)-0.005</f>
        <v>22.245000000000001</v>
      </c>
      <c r="Z12" s="33">
        <f>(Y12+$W$13)+0.005</f>
        <v>22.95</v>
      </c>
      <c r="AA12" s="29">
        <f>COUNTIFS(U1:AD9,"&lt;22.95")</f>
        <v>2</v>
      </c>
      <c r="AB12" s="33">
        <f>+AA12/$C$18</f>
        <v>2.2222222222222223E-2</v>
      </c>
      <c r="AC12" s="34">
        <f>+AA12</f>
        <v>2</v>
      </c>
      <c r="AD12" s="33">
        <f t="shared" ref="AD12:AD15" si="0">+(Y12+Z12)/2</f>
        <v>22.5975</v>
      </c>
      <c r="AE12" s="29">
        <v>-4</v>
      </c>
      <c r="AF12" s="29">
        <f t="shared" ref="AF12:AF19" si="1">+AA12*AE12</f>
        <v>-8</v>
      </c>
      <c r="AG12" s="29">
        <f t="shared" ref="AG12:AG19" si="2">AA12*(AE12^2)</f>
        <v>32</v>
      </c>
    </row>
    <row r="13" spans="1:33" x14ac:dyDescent="0.2">
      <c r="B13" s="29" t="s">
        <v>239</v>
      </c>
      <c r="C13" s="31">
        <f>1+(3.3*LOG(C18))</f>
        <v>7.4490002811497718</v>
      </c>
      <c r="D13" s="2">
        <f>ROUNDUP(C13,0)</f>
        <v>8</v>
      </c>
      <c r="F13" s="33">
        <f>(MIN(B2:K10)-C17)-0.005</f>
        <v>7.2950000000000008</v>
      </c>
      <c r="G13" s="33">
        <f>(F13+$D$14)+0.005</f>
        <v>10.300000000000002</v>
      </c>
      <c r="H13" s="29">
        <f>COUNTIFS(B2:K10,"&lt;10.3")</f>
        <v>0</v>
      </c>
      <c r="I13" s="33">
        <f>+H13/$C$18</f>
        <v>0</v>
      </c>
      <c r="J13" s="34">
        <f>+H13</f>
        <v>0</v>
      </c>
      <c r="K13" s="34">
        <f t="shared" ref="K13:K20" si="3">+(F13+G13)/2</f>
        <v>8.7975000000000012</v>
      </c>
      <c r="L13" s="29">
        <v>-3</v>
      </c>
      <c r="M13" s="29">
        <f t="shared" ref="M13:M20" si="4">+H13*L13</f>
        <v>0</v>
      </c>
      <c r="N13" s="29">
        <f t="shared" ref="N13:N20" si="5">H13*(L13^2)</f>
        <v>0</v>
      </c>
      <c r="U13" s="29" t="s">
        <v>240</v>
      </c>
      <c r="V13" s="33">
        <f>+V11/W12</f>
        <v>0.63750000000000018</v>
      </c>
      <c r="W13">
        <v>0.7</v>
      </c>
      <c r="Y13" s="33">
        <f>+Z12</f>
        <v>22.95</v>
      </c>
      <c r="Z13" s="33">
        <f>(Y13+$W$13)+0.005</f>
        <v>23.654999999999998</v>
      </c>
      <c r="AA13" s="29">
        <f>COUNTIFS($B$2:$K$10,"&lt;23.655",$B$2:$K$10,"&gt;22.950")</f>
        <v>6</v>
      </c>
      <c r="AB13" s="33">
        <f t="shared" ref="AB13:AB19" si="6">+AA13/$C$18</f>
        <v>6.6666666666666666E-2</v>
      </c>
      <c r="AC13" s="34">
        <f>+AC12+AA13</f>
        <v>8</v>
      </c>
      <c r="AD13" s="33">
        <f t="shared" si="0"/>
        <v>23.302499999999998</v>
      </c>
      <c r="AE13" s="29">
        <v>-3</v>
      </c>
      <c r="AF13" s="29">
        <f t="shared" si="1"/>
        <v>-18</v>
      </c>
      <c r="AG13" s="29">
        <f t="shared" si="2"/>
        <v>54</v>
      </c>
    </row>
    <row r="14" spans="1:33" x14ac:dyDescent="0.2">
      <c r="B14" s="29" t="s">
        <v>240</v>
      </c>
      <c r="C14" s="33">
        <f>+C12/D13</f>
        <v>2.0750000000000002</v>
      </c>
      <c r="D14">
        <v>3</v>
      </c>
      <c r="F14" s="33">
        <f>+G13</f>
        <v>10.300000000000002</v>
      </c>
      <c r="G14" s="33">
        <f t="shared" ref="G14:G20" si="7">(F14+$D$14)+0.005</f>
        <v>13.305000000000003</v>
      </c>
      <c r="H14" s="29">
        <f>COUNTIFS($B$2:$K$10,"&lt;13.305",$B$2:$K$10,"&gt;10.3")</f>
        <v>3</v>
      </c>
      <c r="I14" s="33">
        <f t="shared" ref="I14:I20" si="8">+H14/$C$18</f>
        <v>3.3333333333333333E-2</v>
      </c>
      <c r="J14" s="34">
        <f>+J13+H14</f>
        <v>3</v>
      </c>
      <c r="K14" s="34">
        <f t="shared" si="3"/>
        <v>11.802500000000002</v>
      </c>
      <c r="L14" s="29">
        <v>-2</v>
      </c>
      <c r="M14" s="29">
        <f t="shared" si="4"/>
        <v>-6</v>
      </c>
      <c r="N14" s="29">
        <f t="shared" si="5"/>
        <v>12</v>
      </c>
      <c r="U14" s="29" t="s">
        <v>241</v>
      </c>
      <c r="V14" s="29">
        <f>+W13*W12</f>
        <v>5.6</v>
      </c>
      <c r="Y14" s="33">
        <f t="shared" ref="Y14:Y19" si="9">+Z13</f>
        <v>23.654999999999998</v>
      </c>
      <c r="Z14" s="33">
        <f t="shared" ref="Z14:Z19" si="10">(Y14+$W$13)+0.005</f>
        <v>24.359999999999996</v>
      </c>
      <c r="AA14" s="29">
        <f>COUNTIFS($B$2:$K$10,"&lt;24.360",$B$2:$K$10,"&gt;23.655")</f>
        <v>14</v>
      </c>
      <c r="AB14" s="33">
        <f t="shared" si="6"/>
        <v>0.15555555555555556</v>
      </c>
      <c r="AC14" s="34">
        <f t="shared" ref="AC14:AC19" si="11">+AC13+AA14</f>
        <v>22</v>
      </c>
      <c r="AD14" s="33">
        <f t="shared" si="0"/>
        <v>24.007499999999997</v>
      </c>
      <c r="AE14" s="29">
        <v>-2</v>
      </c>
      <c r="AF14" s="29">
        <f t="shared" si="1"/>
        <v>-28</v>
      </c>
      <c r="AG14" s="29">
        <f t="shared" si="2"/>
        <v>56</v>
      </c>
    </row>
    <row r="15" spans="1:33" x14ac:dyDescent="0.2">
      <c r="B15" s="29" t="s">
        <v>241</v>
      </c>
      <c r="C15" s="29">
        <f>+D14*D13</f>
        <v>24</v>
      </c>
      <c r="F15" s="33">
        <f t="shared" ref="F15:F20" si="12">+G14</f>
        <v>13.305000000000003</v>
      </c>
      <c r="G15" s="33">
        <f t="shared" si="7"/>
        <v>16.310000000000002</v>
      </c>
      <c r="H15" s="29">
        <f>COUNTIFS($B$2:$K$10,"&lt;16.310",$B$2:$K$10,"&gt;13.305")</f>
        <v>3</v>
      </c>
      <c r="I15" s="33">
        <f t="shared" si="8"/>
        <v>3.3333333333333333E-2</v>
      </c>
      <c r="J15" s="34">
        <f t="shared" ref="J15:J20" si="13">+J14+H15</f>
        <v>6</v>
      </c>
      <c r="K15" s="34">
        <f t="shared" si="3"/>
        <v>14.807500000000003</v>
      </c>
      <c r="L15" s="29">
        <v>-1</v>
      </c>
      <c r="M15" s="29">
        <f t="shared" si="4"/>
        <v>-3</v>
      </c>
      <c r="N15" s="29">
        <f t="shared" si="5"/>
        <v>3</v>
      </c>
      <c r="U15" s="29" t="s">
        <v>242</v>
      </c>
      <c r="V15" s="29">
        <f>+V14-V11</f>
        <v>0.49999999999999822</v>
      </c>
      <c r="Y15" s="33">
        <f t="shared" si="9"/>
        <v>24.359999999999996</v>
      </c>
      <c r="Z15" s="33">
        <f t="shared" si="10"/>
        <v>25.064999999999994</v>
      </c>
      <c r="AA15" s="29">
        <f>COUNTIFS($B$2:$K$10,"&lt;25.065",$B$2:$K$10,"&gt;24.360")</f>
        <v>21</v>
      </c>
      <c r="AB15" s="33">
        <f t="shared" si="6"/>
        <v>0.23333333333333334</v>
      </c>
      <c r="AC15" s="34">
        <f t="shared" si="11"/>
        <v>43</v>
      </c>
      <c r="AD15" s="33">
        <f t="shared" si="0"/>
        <v>24.712499999999995</v>
      </c>
      <c r="AE15" s="29">
        <v>-1</v>
      </c>
      <c r="AF15" s="29">
        <f t="shared" si="1"/>
        <v>-21</v>
      </c>
      <c r="AG15" s="29">
        <f t="shared" si="2"/>
        <v>21</v>
      </c>
    </row>
    <row r="16" spans="1:33" x14ac:dyDescent="0.2">
      <c r="B16" s="29" t="s">
        <v>242</v>
      </c>
      <c r="C16" s="29">
        <f>+C15-C12</f>
        <v>7.3999999999999986</v>
      </c>
      <c r="F16" s="33">
        <f t="shared" si="12"/>
        <v>16.310000000000002</v>
      </c>
      <c r="G16" s="33">
        <f t="shared" si="7"/>
        <v>19.315000000000001</v>
      </c>
      <c r="H16" s="29">
        <f>COUNTIFS($B$2:$K$10,"&lt;19.315",$B$2:$K$10,"&gt;16.310")</f>
        <v>3</v>
      </c>
      <c r="I16" s="33">
        <f t="shared" si="8"/>
        <v>3.3333333333333333E-2</v>
      </c>
      <c r="J16" s="34">
        <f t="shared" si="13"/>
        <v>9</v>
      </c>
      <c r="K16" s="34">
        <f t="shared" si="3"/>
        <v>17.8125</v>
      </c>
      <c r="L16" s="29">
        <v>0</v>
      </c>
      <c r="M16" s="29">
        <f t="shared" si="4"/>
        <v>0</v>
      </c>
      <c r="N16" s="29">
        <f t="shared" si="5"/>
        <v>0</v>
      </c>
      <c r="U16" s="29" t="s">
        <v>243</v>
      </c>
      <c r="V16" s="29">
        <f>+V15/2</f>
        <v>0.24999999999999911</v>
      </c>
      <c r="Y16" s="33">
        <f t="shared" si="9"/>
        <v>25.064999999999994</v>
      </c>
      <c r="Z16" s="33">
        <f t="shared" si="10"/>
        <v>25.769999999999992</v>
      </c>
      <c r="AA16" s="29">
        <f>COUNTIFS($B$2:$K$10,"&lt;25.770",$B$2:$K$10,"&gt;25.065")</f>
        <v>23</v>
      </c>
      <c r="AB16" s="33">
        <f t="shared" si="6"/>
        <v>0.25555555555555554</v>
      </c>
      <c r="AC16" s="34">
        <f t="shared" si="11"/>
        <v>66</v>
      </c>
      <c r="AD16" s="33">
        <f>+(Y16+Z16)/2</f>
        <v>25.417499999999993</v>
      </c>
      <c r="AE16" s="29">
        <v>0</v>
      </c>
      <c r="AF16" s="29">
        <f t="shared" si="1"/>
        <v>0</v>
      </c>
      <c r="AG16" s="29">
        <f t="shared" si="2"/>
        <v>0</v>
      </c>
    </row>
    <row r="17" spans="2:41" x14ac:dyDescent="0.2">
      <c r="B17" s="29" t="s">
        <v>243</v>
      </c>
      <c r="C17" s="29">
        <f>+C16/2</f>
        <v>3.6999999999999993</v>
      </c>
      <c r="F17" s="33">
        <f t="shared" si="12"/>
        <v>19.315000000000001</v>
      </c>
      <c r="G17" s="33">
        <f t="shared" si="7"/>
        <v>22.32</v>
      </c>
      <c r="H17" s="29">
        <f>COUNTIFS($B$2:$K$10,"&lt;22.320",$B$2:$K$10,"&gt;19.315")</f>
        <v>1</v>
      </c>
      <c r="I17" s="33">
        <f t="shared" si="8"/>
        <v>1.1111111111111112E-2</v>
      </c>
      <c r="J17" s="34">
        <f t="shared" si="13"/>
        <v>10</v>
      </c>
      <c r="K17" s="34">
        <f>+(F17+G17)/2</f>
        <v>20.817500000000003</v>
      </c>
      <c r="L17" s="29">
        <v>1</v>
      </c>
      <c r="M17" s="29">
        <f t="shared" si="4"/>
        <v>1</v>
      </c>
      <c r="N17" s="29">
        <f t="shared" si="5"/>
        <v>1</v>
      </c>
      <c r="U17" s="29" t="s">
        <v>250</v>
      </c>
      <c r="V17" s="29">
        <f>COUNT(U2:AD9)</f>
        <v>80</v>
      </c>
      <c r="Y17" s="33">
        <f t="shared" si="9"/>
        <v>25.769999999999992</v>
      </c>
      <c r="Z17" s="33">
        <f t="shared" si="10"/>
        <v>26.474999999999991</v>
      </c>
      <c r="AA17" s="29">
        <f>COUNTIFS($B$2:$K$10,"&lt;26.475",$B$2:$K$10,"&gt;25.770")</f>
        <v>9</v>
      </c>
      <c r="AB17" s="33">
        <f t="shared" si="6"/>
        <v>0.1</v>
      </c>
      <c r="AC17" s="34">
        <f t="shared" si="11"/>
        <v>75</v>
      </c>
      <c r="AD17" s="33">
        <f t="shared" ref="AD17:AD19" si="14">+(Y17+Z17)/2</f>
        <v>26.122499999999992</v>
      </c>
      <c r="AE17" s="29">
        <v>1</v>
      </c>
      <c r="AF17" s="29">
        <f t="shared" si="1"/>
        <v>9</v>
      </c>
      <c r="AG17" s="29">
        <f t="shared" si="2"/>
        <v>9</v>
      </c>
    </row>
    <row r="18" spans="2:41" x14ac:dyDescent="0.2">
      <c r="B18" s="29" t="s">
        <v>250</v>
      </c>
      <c r="C18" s="29">
        <f>COUNT(B2:K10)</f>
        <v>90</v>
      </c>
      <c r="F18" s="33">
        <f t="shared" si="12"/>
        <v>22.32</v>
      </c>
      <c r="G18" s="33">
        <f t="shared" si="7"/>
        <v>25.324999999999999</v>
      </c>
      <c r="H18" s="29">
        <f>COUNTIFS($B$2:$K$10,"&lt;25.325",$B$2:$K$10,"&gt;22.320")</f>
        <v>56</v>
      </c>
      <c r="I18" s="33">
        <f t="shared" si="8"/>
        <v>0.62222222222222223</v>
      </c>
      <c r="J18" s="34">
        <f t="shared" si="13"/>
        <v>66</v>
      </c>
      <c r="K18" s="34">
        <f t="shared" si="3"/>
        <v>23.822499999999998</v>
      </c>
      <c r="L18" s="29">
        <v>2</v>
      </c>
      <c r="M18" s="29">
        <f t="shared" si="4"/>
        <v>112</v>
      </c>
      <c r="N18" s="29">
        <f t="shared" si="5"/>
        <v>224</v>
      </c>
      <c r="Y18" s="33">
        <f t="shared" si="9"/>
        <v>26.474999999999991</v>
      </c>
      <c r="Z18" s="33">
        <f t="shared" si="10"/>
        <v>27.179999999999989</v>
      </c>
      <c r="AA18" s="29">
        <f>COUNTIFS($B$2:$K$10,"&lt;27.180",$B$2:$K$10,"&gt;26.475")</f>
        <v>2</v>
      </c>
      <c r="AB18" s="33">
        <f t="shared" si="6"/>
        <v>2.2222222222222223E-2</v>
      </c>
      <c r="AC18" s="34">
        <f t="shared" si="11"/>
        <v>77</v>
      </c>
      <c r="AD18" s="33">
        <f t="shared" si="14"/>
        <v>26.82749999999999</v>
      </c>
      <c r="AE18" s="29">
        <v>2</v>
      </c>
      <c r="AF18" s="29">
        <f t="shared" si="1"/>
        <v>4</v>
      </c>
      <c r="AG18" s="29">
        <f t="shared" si="2"/>
        <v>8</v>
      </c>
    </row>
    <row r="19" spans="2:41" x14ac:dyDescent="0.2">
      <c r="F19" s="33">
        <f t="shared" si="12"/>
        <v>25.324999999999999</v>
      </c>
      <c r="G19" s="33">
        <f t="shared" si="7"/>
        <v>28.33</v>
      </c>
      <c r="H19" s="29">
        <f>COUNTIFS($B$2:$K$10,"&lt;28.330",$B$2:$K$10,"&gt;25.325")</f>
        <v>24</v>
      </c>
      <c r="I19" s="33">
        <f t="shared" si="8"/>
        <v>0.26666666666666666</v>
      </c>
      <c r="J19" s="34">
        <f t="shared" si="13"/>
        <v>90</v>
      </c>
      <c r="K19" s="34">
        <f t="shared" si="3"/>
        <v>26.827500000000001</v>
      </c>
      <c r="L19" s="29">
        <v>3</v>
      </c>
      <c r="M19" s="29">
        <f t="shared" si="4"/>
        <v>72</v>
      </c>
      <c r="N19" s="29">
        <f t="shared" si="5"/>
        <v>216</v>
      </c>
      <c r="Y19" s="33">
        <f t="shared" si="9"/>
        <v>27.179999999999989</v>
      </c>
      <c r="Z19" s="33">
        <f t="shared" si="10"/>
        <v>27.884999999999987</v>
      </c>
      <c r="AA19" s="29">
        <f>COUNTIFS($B$2:$K$10,"&lt;27.885",$B$2:$K$10,"&gt;27.180")</f>
        <v>3</v>
      </c>
      <c r="AB19" s="33">
        <f t="shared" si="6"/>
        <v>3.3333333333333333E-2</v>
      </c>
      <c r="AC19" s="34">
        <f t="shared" si="11"/>
        <v>80</v>
      </c>
      <c r="AD19" s="33">
        <f t="shared" si="14"/>
        <v>27.532499999999988</v>
      </c>
      <c r="AE19" s="29">
        <v>3</v>
      </c>
      <c r="AF19" s="29">
        <f t="shared" si="1"/>
        <v>9</v>
      </c>
      <c r="AG19" s="29">
        <f t="shared" si="2"/>
        <v>27</v>
      </c>
    </row>
    <row r="20" spans="2:41" ht="17" thickBot="1" x14ac:dyDescent="0.25">
      <c r="F20" s="33">
        <f t="shared" si="12"/>
        <v>28.33</v>
      </c>
      <c r="G20" s="33">
        <f t="shared" si="7"/>
        <v>31.334999999999997</v>
      </c>
      <c r="H20" s="29">
        <f>COUNTIFS($B$2:$K$10,"&lt;31.335",$B$2:$K$10,"&gt;28.330")</f>
        <v>0</v>
      </c>
      <c r="I20" s="33">
        <f t="shared" si="8"/>
        <v>0</v>
      </c>
      <c r="J20" s="34">
        <f t="shared" si="13"/>
        <v>90</v>
      </c>
      <c r="K20" s="34">
        <f t="shared" si="3"/>
        <v>29.832499999999996</v>
      </c>
      <c r="L20" s="29">
        <v>4</v>
      </c>
      <c r="M20" s="29">
        <f t="shared" si="4"/>
        <v>0</v>
      </c>
      <c r="N20" s="29">
        <f t="shared" si="5"/>
        <v>0</v>
      </c>
      <c r="V20" s="2"/>
      <c r="AA20" s="29">
        <f>SUM(AA12:AA19)</f>
        <v>80</v>
      </c>
      <c r="AB20" s="30"/>
      <c r="AF20" s="29">
        <f>SUM(AF12:AF19)</f>
        <v>-53</v>
      </c>
      <c r="AG20" s="29">
        <f>SUM(AG12:AG19)</f>
        <v>207</v>
      </c>
    </row>
    <row r="21" spans="2:41" ht="17" thickBot="1" x14ac:dyDescent="0.25">
      <c r="H21" s="29">
        <f>SUM(H13:H20)</f>
        <v>90</v>
      </c>
      <c r="I21" s="30"/>
      <c r="M21" s="29">
        <f>SUM(M13:M20)</f>
        <v>176</v>
      </c>
      <c r="N21" s="29">
        <f>SUM(N13:N20)</f>
        <v>456</v>
      </c>
      <c r="V21" s="2"/>
      <c r="X21" s="46" t="s">
        <v>258</v>
      </c>
      <c r="Y21" s="307" t="s">
        <v>246</v>
      </c>
      <c r="Z21" s="309"/>
    </row>
    <row r="22" spans="2:41" x14ac:dyDescent="0.2">
      <c r="E22" s="46" t="s">
        <v>258</v>
      </c>
      <c r="F22" s="307" t="s">
        <v>246</v>
      </c>
      <c r="G22" s="309"/>
      <c r="V22" s="2"/>
      <c r="Y22" s="149" t="s">
        <v>247</v>
      </c>
      <c r="Z22" s="150">
        <f>+AA16-AA15</f>
        <v>2</v>
      </c>
    </row>
    <row r="23" spans="2:41" x14ac:dyDescent="0.2">
      <c r="F23" s="149" t="s">
        <v>247</v>
      </c>
      <c r="G23" s="150">
        <f>+H18-H17</f>
        <v>55</v>
      </c>
      <c r="V23" s="2"/>
      <c r="Y23" s="149" t="s">
        <v>248</v>
      </c>
      <c r="Z23" s="150">
        <f>+AA16-AA17</f>
        <v>14</v>
      </c>
    </row>
    <row r="24" spans="2:41" x14ac:dyDescent="0.2">
      <c r="F24" s="149" t="s">
        <v>248</v>
      </c>
      <c r="G24" s="150">
        <f>+H18-H19</f>
        <v>32</v>
      </c>
      <c r="Y24" s="149" t="s">
        <v>249</v>
      </c>
      <c r="Z24" s="151">
        <f>+Y15+((Z22/(Z22+Z23))*W13)</f>
        <v>24.447499999999994</v>
      </c>
    </row>
    <row r="25" spans="2:41" x14ac:dyDescent="0.2">
      <c r="F25" s="149" t="s">
        <v>249</v>
      </c>
      <c r="G25" s="151">
        <f>+F18+((G23/(G23+G24))*D14)</f>
        <v>24.216551724137933</v>
      </c>
      <c r="Y25" s="149" t="s">
        <v>253</v>
      </c>
      <c r="Z25" s="150">
        <f>(V17+1)/2</f>
        <v>40.5</v>
      </c>
      <c r="AM25" s="306" t="s">
        <v>329</v>
      </c>
      <c r="AN25" s="306"/>
      <c r="AO25" s="306"/>
    </row>
    <row r="26" spans="2:41" x14ac:dyDescent="0.2">
      <c r="F26" s="149" t="s">
        <v>253</v>
      </c>
      <c r="G26" s="150">
        <f>(C18+1)/2</f>
        <v>45.5</v>
      </c>
      <c r="Y26" s="149" t="s">
        <v>252</v>
      </c>
      <c r="Z26" s="151">
        <f>Y15+((((V17/2)-AC14)/AA15)*W13)</f>
        <v>24.959999999999997</v>
      </c>
      <c r="AM26" s="306"/>
      <c r="AN26" s="306"/>
      <c r="AO26" s="306"/>
    </row>
    <row r="27" spans="2:41" ht="17" thickBot="1" x14ac:dyDescent="0.25">
      <c r="F27" s="149" t="s">
        <v>252</v>
      </c>
      <c r="G27" s="151">
        <f>F18+((((C18/2)-J17)/H18)*D14)</f>
        <v>24.195</v>
      </c>
      <c r="Y27" s="152" t="s">
        <v>257</v>
      </c>
      <c r="Z27" s="153">
        <f>+AD15+((AF20*W13)/V17)</f>
        <v>24.248749999999994</v>
      </c>
      <c r="AM27" s="306"/>
      <c r="AN27" s="306"/>
      <c r="AO27" s="306"/>
    </row>
    <row r="28" spans="2:41" ht="17" thickBot="1" x14ac:dyDescent="0.25">
      <c r="F28" s="152" t="s">
        <v>257</v>
      </c>
      <c r="G28" s="153">
        <f>+K16+((M21*D14)/C18)</f>
        <v>23.679166666666667</v>
      </c>
      <c r="AM28" s="306"/>
      <c r="AN28" s="306"/>
      <c r="AO28" s="306"/>
    </row>
    <row r="29" spans="2:41" ht="17" thickBot="1" x14ac:dyDescent="0.25">
      <c r="X29" s="46" t="s">
        <v>259</v>
      </c>
      <c r="Y29" s="307" t="s">
        <v>246</v>
      </c>
      <c r="Z29" s="308"/>
      <c r="AA29" s="154"/>
      <c r="AB29" s="154"/>
      <c r="AC29" s="155"/>
      <c r="AM29" s="306"/>
      <c r="AN29" s="306"/>
      <c r="AO29" s="306"/>
    </row>
    <row r="30" spans="2:41" ht="16" customHeight="1" x14ac:dyDescent="0.2">
      <c r="E30" s="46" t="s">
        <v>259</v>
      </c>
      <c r="F30" s="307" t="s">
        <v>246</v>
      </c>
      <c r="G30" s="308"/>
      <c r="H30" s="154"/>
      <c r="I30" s="154"/>
      <c r="J30" s="155"/>
      <c r="Y30" s="149" t="s">
        <v>302</v>
      </c>
      <c r="Z30" s="31">
        <f>W13*SQRT((AG20/V17)-((AF20^2)/(V17^2)))</f>
        <v>1.026065756908396</v>
      </c>
      <c r="AA30" s="310" t="s">
        <v>331</v>
      </c>
      <c r="AB30" s="310"/>
      <c r="AC30" s="311"/>
    </row>
    <row r="31" spans="2:41" x14ac:dyDescent="0.2">
      <c r="F31" s="149" t="s">
        <v>302</v>
      </c>
      <c r="G31" s="31">
        <f>D14*SQRT((N21/C18)-((M21^2)/(C18^2)))</f>
        <v>3.3439829877291873</v>
      </c>
      <c r="H31" s="310" t="s">
        <v>331</v>
      </c>
      <c r="I31" s="310"/>
      <c r="J31" s="311"/>
      <c r="Y31" s="149" t="s">
        <v>260</v>
      </c>
      <c r="Z31" s="31">
        <f>Z27+(3*Z30)</f>
        <v>27.326947270725181</v>
      </c>
      <c r="AA31" s="310"/>
      <c r="AB31" s="310"/>
      <c r="AC31" s="311"/>
    </row>
    <row r="32" spans="2:41" ht="17" thickBot="1" x14ac:dyDescent="0.25">
      <c r="F32" s="149" t="s">
        <v>260</v>
      </c>
      <c r="G32" s="31">
        <f>G28+(3*G31)</f>
        <v>33.711115629854227</v>
      </c>
      <c r="H32" s="310"/>
      <c r="I32" s="310"/>
      <c r="J32" s="311"/>
      <c r="Y32" s="152" t="s">
        <v>261</v>
      </c>
      <c r="Z32" s="156">
        <f>+Z27-(3*Z30)</f>
        <v>21.170552729274807</v>
      </c>
      <c r="AA32" s="312"/>
      <c r="AB32" s="312"/>
      <c r="AC32" s="313"/>
    </row>
    <row r="33" spans="5:32" ht="17" thickBot="1" x14ac:dyDescent="0.25">
      <c r="F33" s="152" t="s">
        <v>261</v>
      </c>
      <c r="G33" s="156">
        <f>+G28-(3*G31)</f>
        <v>13.647217703479106</v>
      </c>
      <c r="H33" s="312"/>
      <c r="I33" s="312"/>
      <c r="J33" s="313"/>
    </row>
    <row r="34" spans="5:32" ht="17" thickBot="1" x14ac:dyDescent="0.25">
      <c r="X34" s="46" t="s">
        <v>262</v>
      </c>
      <c r="Y34" s="307" t="s">
        <v>341</v>
      </c>
      <c r="Z34" s="308"/>
      <c r="AA34" s="154"/>
      <c r="AB34" s="154"/>
      <c r="AC34" s="155"/>
    </row>
    <row r="35" spans="5:32" ht="16" customHeight="1" x14ac:dyDescent="0.2">
      <c r="E35" s="46" t="s">
        <v>262</v>
      </c>
      <c r="F35" s="307" t="s">
        <v>353</v>
      </c>
      <c r="G35" s="308"/>
      <c r="H35" s="154"/>
      <c r="I35" s="154"/>
      <c r="J35" s="155"/>
      <c r="Y35" s="149" t="s">
        <v>264</v>
      </c>
      <c r="Z35" s="29" t="s">
        <v>77</v>
      </c>
      <c r="AA35" s="310" t="s">
        <v>342</v>
      </c>
      <c r="AB35" s="310"/>
      <c r="AC35" s="311"/>
    </row>
    <row r="36" spans="5:32" x14ac:dyDescent="0.2">
      <c r="F36" s="149" t="s">
        <v>264</v>
      </c>
      <c r="G36" s="29" t="s">
        <v>77</v>
      </c>
      <c r="H36" s="310" t="s">
        <v>356</v>
      </c>
      <c r="I36" s="310"/>
      <c r="J36" s="311"/>
      <c r="Y36" s="149" t="s">
        <v>357</v>
      </c>
      <c r="Z36" s="29">
        <f>+AA12</f>
        <v>2</v>
      </c>
      <c r="AA36" s="310"/>
      <c r="AB36" s="310"/>
      <c r="AC36" s="311"/>
    </row>
    <row r="37" spans="5:32" x14ac:dyDescent="0.2">
      <c r="F37" s="149" t="s">
        <v>345</v>
      </c>
      <c r="G37" s="29">
        <f>+H13</f>
        <v>0</v>
      </c>
      <c r="H37" s="310"/>
      <c r="I37" s="310"/>
      <c r="J37" s="311"/>
      <c r="Y37" s="149" t="s">
        <v>358</v>
      </c>
      <c r="Z37" s="29">
        <f t="shared" ref="Z37:Z43" si="15">+AA13</f>
        <v>6</v>
      </c>
      <c r="AA37" s="310"/>
      <c r="AB37" s="310"/>
      <c r="AC37" s="311"/>
    </row>
    <row r="38" spans="5:32" x14ac:dyDescent="0.2">
      <c r="F38" s="149" t="s">
        <v>346</v>
      </c>
      <c r="G38" s="29">
        <f t="shared" ref="G38:G44" si="16">+H14</f>
        <v>3</v>
      </c>
      <c r="H38" s="310"/>
      <c r="I38" s="310"/>
      <c r="J38" s="311"/>
      <c r="Y38" s="149" t="s">
        <v>359</v>
      </c>
      <c r="Z38" s="29">
        <f t="shared" si="15"/>
        <v>14</v>
      </c>
      <c r="AA38" s="310"/>
      <c r="AB38" s="310"/>
      <c r="AC38" s="311"/>
    </row>
    <row r="39" spans="5:32" x14ac:dyDescent="0.2">
      <c r="F39" s="149" t="s">
        <v>347</v>
      </c>
      <c r="G39" s="29">
        <f t="shared" si="16"/>
        <v>3</v>
      </c>
      <c r="H39" s="310"/>
      <c r="I39" s="310"/>
      <c r="J39" s="311"/>
      <c r="Y39" s="149" t="s">
        <v>360</v>
      </c>
      <c r="Z39" s="29">
        <f t="shared" si="15"/>
        <v>21</v>
      </c>
      <c r="AA39" s="310"/>
      <c r="AB39" s="310"/>
      <c r="AC39" s="311"/>
    </row>
    <row r="40" spans="5:32" x14ac:dyDescent="0.2">
      <c r="F40" s="149" t="s">
        <v>348</v>
      </c>
      <c r="G40" s="29">
        <f t="shared" si="16"/>
        <v>3</v>
      </c>
      <c r="H40" s="310"/>
      <c r="I40" s="310"/>
      <c r="J40" s="311"/>
      <c r="Y40" s="149" t="s">
        <v>361</v>
      </c>
      <c r="Z40" s="29">
        <f t="shared" si="15"/>
        <v>23</v>
      </c>
      <c r="AA40" s="310"/>
      <c r="AB40" s="310"/>
      <c r="AC40" s="311"/>
    </row>
    <row r="41" spans="5:32" x14ac:dyDescent="0.2">
      <c r="F41" s="149" t="s">
        <v>349</v>
      </c>
      <c r="G41" s="29">
        <f t="shared" si="16"/>
        <v>1</v>
      </c>
      <c r="H41" s="310"/>
      <c r="I41" s="310"/>
      <c r="J41" s="311"/>
      <c r="Y41" s="149" t="s">
        <v>362</v>
      </c>
      <c r="Z41" s="29">
        <f t="shared" si="15"/>
        <v>9</v>
      </c>
      <c r="AA41" s="310"/>
      <c r="AB41" s="310"/>
      <c r="AC41" s="311"/>
    </row>
    <row r="42" spans="5:32" x14ac:dyDescent="0.2">
      <c r="F42" s="149" t="s">
        <v>350</v>
      </c>
      <c r="G42" s="29">
        <f t="shared" si="16"/>
        <v>56</v>
      </c>
      <c r="H42" s="310"/>
      <c r="I42" s="310"/>
      <c r="J42" s="311"/>
      <c r="Y42" s="149" t="s">
        <v>363</v>
      </c>
      <c r="Z42" s="29">
        <f t="shared" si="15"/>
        <v>2</v>
      </c>
      <c r="AA42" s="310"/>
      <c r="AB42" s="310"/>
      <c r="AC42" s="311"/>
    </row>
    <row r="43" spans="5:32" ht="17" thickBot="1" x14ac:dyDescent="0.25">
      <c r="F43" s="149" t="s">
        <v>351</v>
      </c>
      <c r="G43" s="29">
        <f t="shared" si="16"/>
        <v>24</v>
      </c>
      <c r="H43" s="310"/>
      <c r="I43" s="310"/>
      <c r="J43" s="311"/>
      <c r="Y43" s="152" t="s">
        <v>364</v>
      </c>
      <c r="Z43" s="158">
        <f t="shared" si="15"/>
        <v>3</v>
      </c>
      <c r="AA43" s="312"/>
      <c r="AB43" s="312"/>
      <c r="AC43" s="313"/>
    </row>
    <row r="44" spans="5:32" ht="17" thickBot="1" x14ac:dyDescent="0.25">
      <c r="F44" s="152" t="s">
        <v>352</v>
      </c>
      <c r="G44" s="158">
        <f t="shared" si="16"/>
        <v>0</v>
      </c>
      <c r="H44" s="312"/>
      <c r="I44" s="312"/>
      <c r="J44" s="313"/>
    </row>
    <row r="45" spans="5:32" x14ac:dyDescent="0.2">
      <c r="X45" s="46" t="s">
        <v>277</v>
      </c>
      <c r="Y45" s="307" t="s">
        <v>246</v>
      </c>
      <c r="Z45" s="308"/>
      <c r="AA45" s="94"/>
      <c r="AB45" s="94"/>
      <c r="AC45" s="94"/>
      <c r="AD45" s="94"/>
      <c r="AE45" s="94"/>
      <c r="AF45" s="161"/>
    </row>
    <row r="46" spans="5:32" ht="17" thickBot="1" x14ac:dyDescent="0.25">
      <c r="Y46" s="149" t="s">
        <v>292</v>
      </c>
      <c r="Z46" s="33">
        <f>((1/V17)*AD60)/(Z30^4)</f>
        <v>6.8997167455549073</v>
      </c>
      <c r="AA46" t="s">
        <v>309</v>
      </c>
      <c r="AF46" s="157"/>
    </row>
    <row r="47" spans="5:32" ht="17" thickBot="1" x14ac:dyDescent="0.25">
      <c r="H47" s="316" t="s">
        <v>355</v>
      </c>
      <c r="I47" s="317"/>
      <c r="Y47" s="149" t="s">
        <v>293</v>
      </c>
      <c r="Z47" s="33">
        <f>(1/V17)*(AF60/(Z30^3))</f>
        <v>2.5949895543526007</v>
      </c>
      <c r="AA47" t="s">
        <v>343</v>
      </c>
      <c r="AF47" s="157"/>
    </row>
    <row r="48" spans="5:32" x14ac:dyDescent="0.2">
      <c r="Y48" s="162"/>
      <c r="AF48" s="157"/>
    </row>
    <row r="49" spans="23:32" x14ac:dyDescent="0.2">
      <c r="Y49" s="162"/>
      <c r="AF49" s="157"/>
    </row>
    <row r="50" spans="23:32" x14ac:dyDescent="0.2">
      <c r="Y50" s="162"/>
      <c r="AF50" s="157"/>
    </row>
    <row r="51" spans="23:32" x14ac:dyDescent="0.2">
      <c r="Y51" s="149" t="str">
        <f>+AD11</f>
        <v>Punto medio</v>
      </c>
      <c r="Z51" s="29" t="str">
        <f>+AA11</f>
        <v>Fo</v>
      </c>
      <c r="AA51" s="29" t="s">
        <v>294</v>
      </c>
      <c r="AB51" s="29" t="s">
        <v>297</v>
      </c>
      <c r="AC51" s="29" t="s">
        <v>298</v>
      </c>
      <c r="AD51" s="29"/>
      <c r="AE51" s="29" t="s">
        <v>299</v>
      </c>
      <c r="AF51" s="157"/>
    </row>
    <row r="52" spans="23:32" x14ac:dyDescent="0.2">
      <c r="Y52" s="179">
        <f t="shared" ref="Y52:Y59" si="17">+AD12</f>
        <v>22.5975</v>
      </c>
      <c r="Z52" s="29">
        <f t="shared" ref="Z52:Z59" si="18">+AA12</f>
        <v>2</v>
      </c>
      <c r="AA52" s="29">
        <f>+Y52*Z52</f>
        <v>45.195</v>
      </c>
      <c r="AB52" s="31">
        <f>+Y52-$Z$27</f>
        <v>-1.6512499999999939</v>
      </c>
      <c r="AC52" s="31">
        <f>AB52^4</f>
        <v>7.4344924113304574</v>
      </c>
      <c r="AD52" s="31">
        <f>+AC52*Z52</f>
        <v>14.868984822660915</v>
      </c>
      <c r="AE52" s="33">
        <f>AB52^3</f>
        <v>-4.5023421113280753</v>
      </c>
      <c r="AF52" s="163">
        <f>+AE52*Z52</f>
        <v>-9.0046842226561505</v>
      </c>
    </row>
    <row r="53" spans="23:32" x14ac:dyDescent="0.2">
      <c r="Y53" s="179">
        <f t="shared" si="17"/>
        <v>23.302499999999998</v>
      </c>
      <c r="Z53" s="29">
        <f t="shared" si="18"/>
        <v>6</v>
      </c>
      <c r="AA53" s="29">
        <f t="shared" ref="AA53:AA59" si="19">+Y53*Z53</f>
        <v>139.815</v>
      </c>
      <c r="AB53" s="31">
        <f t="shared" ref="AB53:AB59" si="20">+Y53-$Z$27</f>
        <v>-0.94624999999999559</v>
      </c>
      <c r="AC53" s="31">
        <f t="shared" ref="AC53:AC59" si="21">AB53^4</f>
        <v>0.80172157324461391</v>
      </c>
      <c r="AD53" s="31">
        <f t="shared" ref="AD53:AD59" si="22">+AC53*Z53</f>
        <v>4.810329439467683</v>
      </c>
      <c r="AE53" s="33">
        <f t="shared" ref="AE53:AE59" si="23">AB53^3</f>
        <v>-0.84726190039061311</v>
      </c>
      <c r="AF53" s="163">
        <f t="shared" ref="AF53:AF59" si="24">+AE53*Z53</f>
        <v>-5.0835714023436784</v>
      </c>
    </row>
    <row r="54" spans="23:32" x14ac:dyDescent="0.2">
      <c r="Y54" s="179">
        <f t="shared" si="17"/>
        <v>24.007499999999997</v>
      </c>
      <c r="Z54" s="29">
        <f t="shared" si="18"/>
        <v>14</v>
      </c>
      <c r="AA54" s="29">
        <f t="shared" si="19"/>
        <v>336.10499999999996</v>
      </c>
      <c r="AB54" s="31">
        <f t="shared" si="20"/>
        <v>-0.2412499999999973</v>
      </c>
      <c r="AC54" s="31">
        <f t="shared" si="21"/>
        <v>3.3874218774412549E-3</v>
      </c>
      <c r="AD54" s="31">
        <f t="shared" si="22"/>
        <v>4.7423906284177572E-2</v>
      </c>
      <c r="AE54" s="33">
        <f t="shared" si="23"/>
        <v>-1.404112695312453E-2</v>
      </c>
      <c r="AF54" s="163">
        <f t="shared" si="24"/>
        <v>-0.19657577734374343</v>
      </c>
    </row>
    <row r="55" spans="23:32" x14ac:dyDescent="0.2">
      <c r="Y55" s="179">
        <f t="shared" si="17"/>
        <v>24.712499999999995</v>
      </c>
      <c r="Z55" s="29">
        <f t="shared" si="18"/>
        <v>21</v>
      </c>
      <c r="AA55" s="29">
        <f t="shared" si="19"/>
        <v>518.96249999999986</v>
      </c>
      <c r="AB55" s="31">
        <f t="shared" si="20"/>
        <v>0.46375000000000099</v>
      </c>
      <c r="AC55" s="31">
        <f t="shared" si="21"/>
        <v>4.6252550979004305E-2</v>
      </c>
      <c r="AD55" s="31">
        <f t="shared" si="22"/>
        <v>0.97130357055909045</v>
      </c>
      <c r="AE55" s="33">
        <f t="shared" si="23"/>
        <v>9.973595898437565E-2</v>
      </c>
      <c r="AF55" s="163">
        <f t="shared" si="24"/>
        <v>2.0944551386718886</v>
      </c>
    </row>
    <row r="56" spans="23:32" x14ac:dyDescent="0.2">
      <c r="Y56" s="179">
        <f t="shared" si="17"/>
        <v>25.417499999999993</v>
      </c>
      <c r="Z56" s="29">
        <f t="shared" si="18"/>
        <v>23</v>
      </c>
      <c r="AA56" s="29">
        <f t="shared" si="19"/>
        <v>584.60249999999985</v>
      </c>
      <c r="AB56" s="31">
        <f t="shared" si="20"/>
        <v>1.1687499999999993</v>
      </c>
      <c r="AC56" s="31">
        <f t="shared" si="21"/>
        <v>1.8658919692993121</v>
      </c>
      <c r="AD56" s="31">
        <f t="shared" si="22"/>
        <v>42.915515293884177</v>
      </c>
      <c r="AE56" s="33">
        <f t="shared" si="23"/>
        <v>1.5964851074218722</v>
      </c>
      <c r="AF56" s="163">
        <f t="shared" si="24"/>
        <v>36.71915747070306</v>
      </c>
    </row>
    <row r="57" spans="23:32" x14ac:dyDescent="0.2">
      <c r="Y57" s="179">
        <f t="shared" si="17"/>
        <v>26.122499999999992</v>
      </c>
      <c r="Z57" s="29">
        <f t="shared" si="18"/>
        <v>9</v>
      </c>
      <c r="AA57" s="29">
        <f t="shared" si="19"/>
        <v>235.10249999999994</v>
      </c>
      <c r="AB57" s="31">
        <f t="shared" si="20"/>
        <v>1.8737499999999976</v>
      </c>
      <c r="AC57" s="31">
        <f t="shared" si="21"/>
        <v>12.326693100588315</v>
      </c>
      <c r="AD57" s="31">
        <f t="shared" si="22"/>
        <v>110.94023790529484</v>
      </c>
      <c r="AE57" s="33">
        <f t="shared" si="23"/>
        <v>6.5786220683593495</v>
      </c>
      <c r="AF57" s="163">
        <f t="shared" si="24"/>
        <v>59.207598615234147</v>
      </c>
    </row>
    <row r="58" spans="23:32" x14ac:dyDescent="0.2">
      <c r="Y58" s="179">
        <f t="shared" si="17"/>
        <v>26.82749999999999</v>
      </c>
      <c r="Z58" s="29">
        <f t="shared" si="18"/>
        <v>2</v>
      </c>
      <c r="AA58" s="29">
        <f t="shared" si="19"/>
        <v>53.65499999999998</v>
      </c>
      <c r="AB58" s="31">
        <f t="shared" si="20"/>
        <v>2.5787499999999959</v>
      </c>
      <c r="AC58" s="31">
        <f t="shared" si="21"/>
        <v>44.221855783595906</v>
      </c>
      <c r="AD58" s="31">
        <f t="shared" si="22"/>
        <v>88.443711567191812</v>
      </c>
      <c r="AE58" s="33">
        <f t="shared" si="23"/>
        <v>17.148562591796793</v>
      </c>
      <c r="AF58" s="163">
        <f t="shared" si="24"/>
        <v>34.297125183593586</v>
      </c>
    </row>
    <row r="59" spans="23:32" x14ac:dyDescent="0.2">
      <c r="Y59" s="179">
        <f t="shared" si="17"/>
        <v>27.532499999999988</v>
      </c>
      <c r="Z59" s="29">
        <f t="shared" si="18"/>
        <v>3</v>
      </c>
      <c r="AA59" s="29">
        <f t="shared" si="19"/>
        <v>82.597499999999968</v>
      </c>
      <c r="AB59" s="31">
        <f t="shared" si="20"/>
        <v>3.2837499999999942</v>
      </c>
      <c r="AC59" s="31">
        <f t="shared" si="21"/>
        <v>116.27339227207194</v>
      </c>
      <c r="AD59" s="31">
        <f t="shared" si="22"/>
        <v>348.82017681621585</v>
      </c>
      <c r="AE59" s="33">
        <f t="shared" si="23"/>
        <v>35.40872242773419</v>
      </c>
      <c r="AF59" s="163">
        <f t="shared" si="24"/>
        <v>106.22616728320257</v>
      </c>
    </row>
    <row r="60" spans="23:32" ht="17" thickBot="1" x14ac:dyDescent="0.25">
      <c r="Y60" s="152">
        <f>SUM(Y52:Y59)</f>
        <v>200.51999999999995</v>
      </c>
      <c r="Z60" s="158">
        <f>SUM(Z52:Z59)</f>
        <v>80</v>
      </c>
      <c r="AA60" s="158">
        <f>SUM(AA52:AA59)</f>
        <v>1996.0349999999999</v>
      </c>
      <c r="AB60" s="158"/>
      <c r="AC60" s="158"/>
      <c r="AD60" s="156">
        <f>SUM(AD52:AD59)</f>
        <v>611.81768332155855</v>
      </c>
      <c r="AE60" s="164"/>
      <c r="AF60" s="153">
        <f>SUM(AF52:AF59)</f>
        <v>224.25967228906165</v>
      </c>
    </row>
    <row r="62" spans="23:32" ht="24" x14ac:dyDescent="0.3">
      <c r="W62" s="171" t="s">
        <v>308</v>
      </c>
    </row>
    <row r="63" spans="23:32" ht="17" thickBot="1" x14ac:dyDescent="0.25"/>
    <row r="64" spans="23:32" ht="19" x14ac:dyDescent="0.2">
      <c r="W64" s="72">
        <v>26.1</v>
      </c>
      <c r="Y64" s="170" t="s">
        <v>306</v>
      </c>
      <c r="Z64" s="165" t="s">
        <v>295</v>
      </c>
      <c r="AA64" s="166">
        <f>+AF66</f>
        <v>24.903749999999995</v>
      </c>
      <c r="AE64" s="160" t="s">
        <v>291</v>
      </c>
      <c r="AF64" s="160"/>
    </row>
    <row r="65" spans="23:32" ht="19" x14ac:dyDescent="0.2">
      <c r="W65" s="72">
        <v>24.4</v>
      </c>
      <c r="Y65" s="170"/>
      <c r="Z65" s="162" t="s">
        <v>296</v>
      </c>
      <c r="AA65" s="167">
        <f>+AF68</f>
        <v>24.9</v>
      </c>
    </row>
    <row r="66" spans="23:32" ht="20" thickBot="1" x14ac:dyDescent="0.25">
      <c r="W66" s="72">
        <v>25.6</v>
      </c>
      <c r="Y66" s="170"/>
      <c r="Z66" s="168" t="s">
        <v>300</v>
      </c>
      <c r="AA66" s="169">
        <f>+AF69</f>
        <v>24.5</v>
      </c>
      <c r="AE66" t="s">
        <v>278</v>
      </c>
      <c r="AF66">
        <v>24.903749999999995</v>
      </c>
    </row>
    <row r="67" spans="23:32" ht="20" thickBot="1" x14ac:dyDescent="0.25">
      <c r="W67" s="72">
        <v>25.2</v>
      </c>
      <c r="Y67" s="170"/>
      <c r="AE67" t="s">
        <v>279</v>
      </c>
      <c r="AF67">
        <v>0.1154030327519794</v>
      </c>
    </row>
    <row r="68" spans="23:32" ht="19" x14ac:dyDescent="0.2">
      <c r="W68" s="72">
        <v>22.5</v>
      </c>
      <c r="Y68" s="170" t="s">
        <v>307</v>
      </c>
      <c r="Z68" s="165" t="s">
        <v>301</v>
      </c>
      <c r="AA68" s="166">
        <f>+AF70</f>
        <v>1.0321961041722423</v>
      </c>
      <c r="AE68" t="s">
        <v>280</v>
      </c>
      <c r="AF68">
        <v>24.9</v>
      </c>
    </row>
    <row r="69" spans="23:32" ht="19" x14ac:dyDescent="0.2">
      <c r="W69" s="72">
        <v>23</v>
      </c>
      <c r="Y69" s="170"/>
      <c r="Z69" s="162" t="s">
        <v>245</v>
      </c>
      <c r="AA69" s="167">
        <f>AA64+(3*AA68)</f>
        <v>28.000338312516721</v>
      </c>
      <c r="AE69" t="s">
        <v>281</v>
      </c>
      <c r="AF69">
        <v>24.5</v>
      </c>
    </row>
    <row r="70" spans="23:32" ht="20" thickBot="1" x14ac:dyDescent="0.25">
      <c r="W70" s="72">
        <v>23.7</v>
      </c>
      <c r="Y70" s="170"/>
      <c r="Z70" s="168" t="s">
        <v>244</v>
      </c>
      <c r="AA70" s="169">
        <f>AA64-(3*AA68)</f>
        <v>21.807161687483269</v>
      </c>
      <c r="AE70" t="s">
        <v>282</v>
      </c>
      <c r="AF70">
        <v>1.0321961041722423</v>
      </c>
    </row>
    <row r="71" spans="23:32" ht="19" x14ac:dyDescent="0.2">
      <c r="W71" s="72">
        <v>24</v>
      </c>
      <c r="Y71" s="170"/>
      <c r="AE71" t="s">
        <v>283</v>
      </c>
      <c r="AF71">
        <v>1.0654287974683545</v>
      </c>
    </row>
    <row r="72" spans="23:32" ht="19" x14ac:dyDescent="0.2">
      <c r="W72" s="72">
        <v>25.2</v>
      </c>
      <c r="Y72" s="170" t="s">
        <v>304</v>
      </c>
      <c r="Z72" t="s">
        <v>303</v>
      </c>
      <c r="AE72" t="s">
        <v>284</v>
      </c>
      <c r="AF72">
        <v>0.33293781526652344</v>
      </c>
    </row>
    <row r="73" spans="23:32" ht="20" thickBot="1" x14ac:dyDescent="0.25">
      <c r="W73" s="72">
        <v>25.9</v>
      </c>
      <c r="Y73" s="170"/>
      <c r="AE73" t="s">
        <v>285</v>
      </c>
      <c r="AF73">
        <v>0.19823783822777777</v>
      </c>
    </row>
    <row r="74" spans="23:32" ht="19" x14ac:dyDescent="0.2">
      <c r="W74" s="72">
        <v>25.2</v>
      </c>
      <c r="Y74" s="170" t="s">
        <v>305</v>
      </c>
      <c r="Z74" s="165" t="s">
        <v>284</v>
      </c>
      <c r="AA74" s="172">
        <f>+AF72</f>
        <v>0.33293781526652344</v>
      </c>
      <c r="AB74" s="161" t="s">
        <v>309</v>
      </c>
      <c r="AE74" t="s">
        <v>286</v>
      </c>
      <c r="AF74">
        <v>5.1000000000000014</v>
      </c>
    </row>
    <row r="75" spans="23:32" ht="20" thickBot="1" x14ac:dyDescent="0.25">
      <c r="W75" s="72">
        <v>24.8</v>
      </c>
      <c r="Z75" s="168" t="s">
        <v>293</v>
      </c>
      <c r="AA75" s="173">
        <f>+AF73</f>
        <v>0.19823783822777777</v>
      </c>
      <c r="AB75" s="159"/>
      <c r="AE75" t="s">
        <v>287</v>
      </c>
      <c r="AF75">
        <v>22.5</v>
      </c>
    </row>
    <row r="76" spans="23:32" ht="19" x14ac:dyDescent="0.2">
      <c r="W76" s="72">
        <v>24.5</v>
      </c>
      <c r="AE76" t="s">
        <v>288</v>
      </c>
      <c r="AF76">
        <v>27.6</v>
      </c>
    </row>
    <row r="77" spans="23:32" ht="19" x14ac:dyDescent="0.2">
      <c r="W77" s="72">
        <v>24.8</v>
      </c>
      <c r="AE77" t="s">
        <v>289</v>
      </c>
      <c r="AF77">
        <v>1992.2999999999997</v>
      </c>
    </row>
    <row r="78" spans="23:32" ht="20" thickBot="1" x14ac:dyDescent="0.25">
      <c r="W78" s="72">
        <v>23.2</v>
      </c>
      <c r="AE78" s="1" t="s">
        <v>290</v>
      </c>
      <c r="AF78" s="1">
        <v>80</v>
      </c>
    </row>
    <row r="79" spans="23:32" ht="19" x14ac:dyDescent="0.2">
      <c r="W79" s="72">
        <v>24.2</v>
      </c>
    </row>
    <row r="80" spans="23:32" ht="19" x14ac:dyDescent="0.2">
      <c r="W80" s="72">
        <v>25.6</v>
      </c>
    </row>
    <row r="81" spans="23:23" ht="19" x14ac:dyDescent="0.2">
      <c r="W81" s="72">
        <v>24.5</v>
      </c>
    </row>
    <row r="82" spans="23:23" ht="19" x14ac:dyDescent="0.2">
      <c r="W82" s="72">
        <v>25.7</v>
      </c>
    </row>
    <row r="83" spans="23:23" ht="19" x14ac:dyDescent="0.2">
      <c r="W83" s="72">
        <v>25.1</v>
      </c>
    </row>
    <row r="84" spans="23:23" ht="19" x14ac:dyDescent="0.2">
      <c r="W84" s="72">
        <v>24.4</v>
      </c>
    </row>
    <row r="85" spans="23:23" ht="19" x14ac:dyDescent="0.2">
      <c r="W85" s="72">
        <v>24.5</v>
      </c>
    </row>
    <row r="86" spans="23:23" ht="19" x14ac:dyDescent="0.2">
      <c r="W86" s="72">
        <v>25.9</v>
      </c>
    </row>
    <row r="87" spans="23:23" ht="19" x14ac:dyDescent="0.2">
      <c r="W87" s="72">
        <v>25.5</v>
      </c>
    </row>
    <row r="88" spans="23:23" ht="19" x14ac:dyDescent="0.2">
      <c r="W88" s="72">
        <v>25.5</v>
      </c>
    </row>
    <row r="89" spans="23:23" ht="19" x14ac:dyDescent="0.2">
      <c r="W89" s="72">
        <v>26.8</v>
      </c>
    </row>
    <row r="90" spans="23:23" ht="19" x14ac:dyDescent="0.2">
      <c r="W90" s="72">
        <v>25.1</v>
      </c>
    </row>
    <row r="91" spans="23:23" ht="19" x14ac:dyDescent="0.2">
      <c r="W91" s="72">
        <v>25</v>
      </c>
    </row>
    <row r="92" spans="23:23" ht="19" x14ac:dyDescent="0.2">
      <c r="W92" s="72">
        <v>23.1</v>
      </c>
    </row>
    <row r="93" spans="23:23" ht="19" x14ac:dyDescent="0.2">
      <c r="W93" s="72">
        <v>23.3</v>
      </c>
    </row>
    <row r="94" spans="23:23" ht="19" x14ac:dyDescent="0.2">
      <c r="W94" s="72">
        <v>24.4</v>
      </c>
    </row>
    <row r="95" spans="23:23" ht="19" x14ac:dyDescent="0.2">
      <c r="W95" s="72">
        <v>24.7</v>
      </c>
    </row>
    <row r="96" spans="23:23" ht="19" x14ac:dyDescent="0.2">
      <c r="W96" s="72">
        <v>25.2</v>
      </c>
    </row>
    <row r="97" spans="23:23" ht="19" x14ac:dyDescent="0.2">
      <c r="W97" s="72">
        <v>25.2</v>
      </c>
    </row>
    <row r="98" spans="23:23" ht="19" x14ac:dyDescent="0.2">
      <c r="W98" s="72">
        <v>26.3</v>
      </c>
    </row>
    <row r="99" spans="23:23" ht="19" x14ac:dyDescent="0.2">
      <c r="W99" s="72">
        <v>25.7</v>
      </c>
    </row>
    <row r="100" spans="23:23" ht="19" x14ac:dyDescent="0.2">
      <c r="W100" s="72">
        <v>24.6</v>
      </c>
    </row>
    <row r="101" spans="23:23" ht="19" x14ac:dyDescent="0.2">
      <c r="W101" s="72">
        <v>25.1</v>
      </c>
    </row>
    <row r="102" spans="23:23" ht="19" x14ac:dyDescent="0.2">
      <c r="W102" s="72">
        <v>24</v>
      </c>
    </row>
    <row r="103" spans="23:23" ht="19" x14ac:dyDescent="0.2">
      <c r="W103" s="72">
        <v>25.3</v>
      </c>
    </row>
    <row r="104" spans="23:23" ht="19" x14ac:dyDescent="0.2">
      <c r="W104" s="72">
        <v>26.6</v>
      </c>
    </row>
    <row r="105" spans="23:23" ht="19" x14ac:dyDescent="0.2">
      <c r="W105" s="72">
        <v>24.1</v>
      </c>
    </row>
    <row r="106" spans="23:23" ht="19" x14ac:dyDescent="0.2">
      <c r="W106" s="72">
        <v>25.5</v>
      </c>
    </row>
    <row r="107" spans="23:23" ht="19" x14ac:dyDescent="0.2">
      <c r="W107" s="72">
        <v>24</v>
      </c>
    </row>
    <row r="108" spans="23:23" ht="19" x14ac:dyDescent="0.2">
      <c r="W108" s="72">
        <v>24.4</v>
      </c>
    </row>
    <row r="109" spans="23:23" ht="19" x14ac:dyDescent="0.2">
      <c r="W109" s="72">
        <v>24.4</v>
      </c>
    </row>
    <row r="110" spans="23:23" ht="19" x14ac:dyDescent="0.2">
      <c r="W110" s="72">
        <v>22.8</v>
      </c>
    </row>
    <row r="111" spans="23:23" ht="19" x14ac:dyDescent="0.2">
      <c r="W111" s="72">
        <v>24.3</v>
      </c>
    </row>
    <row r="112" spans="23:23" ht="19" x14ac:dyDescent="0.2">
      <c r="W112" s="72">
        <v>27.6</v>
      </c>
    </row>
    <row r="113" spans="23:23" ht="19" x14ac:dyDescent="0.2">
      <c r="W113" s="72">
        <v>26</v>
      </c>
    </row>
    <row r="114" spans="23:23" ht="19" x14ac:dyDescent="0.2">
      <c r="W114" s="72">
        <v>24.9</v>
      </c>
    </row>
    <row r="115" spans="23:23" ht="19" x14ac:dyDescent="0.2">
      <c r="W115" s="72">
        <v>25.3</v>
      </c>
    </row>
    <row r="116" spans="23:23" ht="19" x14ac:dyDescent="0.2">
      <c r="W116" s="72">
        <v>25.1</v>
      </c>
    </row>
    <row r="117" spans="23:23" ht="19" x14ac:dyDescent="0.2">
      <c r="W117" s="72">
        <v>24.1</v>
      </c>
    </row>
    <row r="118" spans="23:23" ht="19" x14ac:dyDescent="0.2">
      <c r="W118" s="72">
        <v>23.9</v>
      </c>
    </row>
    <row r="119" spans="23:23" ht="19" x14ac:dyDescent="0.2">
      <c r="W119" s="72">
        <v>26.2</v>
      </c>
    </row>
    <row r="120" spans="23:23" ht="19" x14ac:dyDescent="0.2">
      <c r="W120" s="72">
        <v>24.5</v>
      </c>
    </row>
    <row r="121" spans="23:23" ht="19" x14ac:dyDescent="0.2">
      <c r="W121" s="72">
        <v>23.1</v>
      </c>
    </row>
    <row r="122" spans="23:23" ht="19" x14ac:dyDescent="0.2">
      <c r="W122" s="72">
        <v>23.9</v>
      </c>
    </row>
    <row r="123" spans="23:23" ht="19" x14ac:dyDescent="0.2">
      <c r="W123" s="72">
        <v>24.7</v>
      </c>
    </row>
    <row r="124" spans="23:23" ht="19" x14ac:dyDescent="0.2">
      <c r="W124" s="72">
        <v>24.5</v>
      </c>
    </row>
    <row r="125" spans="23:23" ht="19" x14ac:dyDescent="0.2">
      <c r="W125" s="72">
        <v>24.5</v>
      </c>
    </row>
    <row r="126" spans="23:23" ht="19" x14ac:dyDescent="0.2">
      <c r="W126" s="72">
        <v>26</v>
      </c>
    </row>
    <row r="127" spans="23:23" ht="19" x14ac:dyDescent="0.2">
      <c r="W127" s="72">
        <v>26.2</v>
      </c>
    </row>
    <row r="128" spans="23:23" ht="19" x14ac:dyDescent="0.2">
      <c r="W128" s="72">
        <v>24.1</v>
      </c>
    </row>
    <row r="129" spans="23:23" ht="19" x14ac:dyDescent="0.2">
      <c r="W129" s="72">
        <v>25</v>
      </c>
    </row>
    <row r="130" spans="23:23" ht="19" x14ac:dyDescent="0.2">
      <c r="W130" s="72">
        <v>23.5</v>
      </c>
    </row>
    <row r="131" spans="23:23" ht="19" x14ac:dyDescent="0.2">
      <c r="W131" s="72">
        <v>24.9</v>
      </c>
    </row>
    <row r="132" spans="23:23" ht="19" x14ac:dyDescent="0.2">
      <c r="W132" s="72">
        <v>25.3</v>
      </c>
    </row>
    <row r="133" spans="23:23" ht="19" x14ac:dyDescent="0.2">
      <c r="W133" s="72">
        <v>27.5</v>
      </c>
    </row>
    <row r="134" spans="23:23" ht="19" x14ac:dyDescent="0.2">
      <c r="W134" s="72">
        <v>24.3</v>
      </c>
    </row>
    <row r="135" spans="23:23" ht="19" x14ac:dyDescent="0.2">
      <c r="W135" s="72">
        <v>25.5</v>
      </c>
    </row>
    <row r="136" spans="23:23" ht="19" x14ac:dyDescent="0.2">
      <c r="W136" s="72">
        <v>25.8</v>
      </c>
    </row>
    <row r="137" spans="23:23" ht="19" x14ac:dyDescent="0.2">
      <c r="W137" s="72">
        <v>25.7</v>
      </c>
    </row>
    <row r="138" spans="23:23" ht="19" x14ac:dyDescent="0.2">
      <c r="W138" s="72">
        <v>24.3</v>
      </c>
    </row>
    <row r="139" spans="23:23" ht="19" x14ac:dyDescent="0.2">
      <c r="W139" s="72">
        <v>27.3</v>
      </c>
    </row>
    <row r="140" spans="23:23" ht="19" x14ac:dyDescent="0.2">
      <c r="W140" s="72">
        <v>24.6</v>
      </c>
    </row>
    <row r="141" spans="23:23" ht="19" x14ac:dyDescent="0.2">
      <c r="W141" s="72">
        <v>25.3</v>
      </c>
    </row>
    <row r="142" spans="23:23" ht="19" x14ac:dyDescent="0.2">
      <c r="W142" s="72">
        <v>25.5</v>
      </c>
    </row>
    <row r="143" spans="23:23" ht="19" x14ac:dyDescent="0.2">
      <c r="W143" s="72">
        <v>24.3</v>
      </c>
    </row>
  </sheetData>
  <mergeCells count="13">
    <mergeCell ref="Y21:Z21"/>
    <mergeCell ref="Y29:Z29"/>
    <mergeCell ref="AA30:AC32"/>
    <mergeCell ref="Y34:Z34"/>
    <mergeCell ref="AA35:AC43"/>
    <mergeCell ref="H47:I47"/>
    <mergeCell ref="AM25:AO29"/>
    <mergeCell ref="Y45:Z45"/>
    <mergeCell ref="F22:G22"/>
    <mergeCell ref="F30:G30"/>
    <mergeCell ref="H31:J33"/>
    <mergeCell ref="F35:G35"/>
    <mergeCell ref="H36:J4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7087F-80EA-1E49-BD41-8C7DE70BAFCB}">
  <dimension ref="B2:U143"/>
  <sheetViews>
    <sheetView zoomScale="130" zoomScaleNormal="130" workbookViewId="0">
      <selection activeCell="I74" sqref="I74"/>
    </sheetView>
  </sheetViews>
  <sheetFormatPr baseColWidth="10" defaultRowHeight="16" x14ac:dyDescent="0.2"/>
  <cols>
    <col min="6" max="6" width="14.1640625" customWidth="1"/>
    <col min="9" max="9" width="13.83203125" customWidth="1"/>
    <col min="10" max="10" width="12.6640625" bestFit="1" customWidth="1"/>
    <col min="2000" max="2000" width="2.5" customWidth="1"/>
  </cols>
  <sheetData>
    <row r="2" spans="2:14" ht="19" x14ac:dyDescent="0.2">
      <c r="B2" s="180">
        <v>2.13</v>
      </c>
      <c r="C2" s="180">
        <v>2.08</v>
      </c>
      <c r="D2" s="180">
        <v>1.93</v>
      </c>
      <c r="E2" s="180">
        <v>2.0099999999999998</v>
      </c>
      <c r="F2" s="180">
        <v>2</v>
      </c>
      <c r="G2" s="180">
        <v>1.92</v>
      </c>
      <c r="H2" s="180">
        <v>2</v>
      </c>
      <c r="I2" s="180">
        <v>1.93</v>
      </c>
      <c r="J2" s="180">
        <v>1.87</v>
      </c>
      <c r="K2" s="180">
        <v>1.89</v>
      </c>
      <c r="N2" s="2"/>
    </row>
    <row r="3" spans="2:14" ht="19" x14ac:dyDescent="0.2">
      <c r="B3" s="180">
        <v>2.08</v>
      </c>
      <c r="C3" s="180">
        <v>2.1</v>
      </c>
      <c r="D3" s="180">
        <v>1.98</v>
      </c>
      <c r="E3" s="180">
        <v>1.94</v>
      </c>
      <c r="F3" s="180">
        <v>1.9</v>
      </c>
      <c r="G3" s="180">
        <v>1.95</v>
      </c>
      <c r="H3" s="180">
        <v>1.94</v>
      </c>
      <c r="I3" s="180">
        <v>2.02</v>
      </c>
      <c r="J3" s="180">
        <v>2.13</v>
      </c>
      <c r="K3" s="180">
        <v>2.14</v>
      </c>
    </row>
    <row r="4" spans="2:14" ht="19" x14ac:dyDescent="0.2">
      <c r="B4" s="180">
        <v>2.0499999999999998</v>
      </c>
      <c r="C4" s="180">
        <v>2.02</v>
      </c>
      <c r="D4" s="180">
        <v>2.0299999999999998</v>
      </c>
      <c r="E4" s="180">
        <v>1.91</v>
      </c>
      <c r="F4" s="180">
        <v>2.14</v>
      </c>
      <c r="G4" s="180">
        <v>2.02</v>
      </c>
      <c r="H4" s="180">
        <v>2</v>
      </c>
      <c r="I4" s="180">
        <v>2.04</v>
      </c>
      <c r="J4" s="180">
        <v>1.9</v>
      </c>
      <c r="K4" s="180">
        <v>2.16</v>
      </c>
    </row>
    <row r="5" spans="2:14" ht="19" x14ac:dyDescent="0.2">
      <c r="B5" s="180">
        <v>1.96</v>
      </c>
      <c r="C5" s="180">
        <v>2.2000000000000002</v>
      </c>
      <c r="D5" s="180">
        <v>2.06</v>
      </c>
      <c r="E5" s="180">
        <v>1.99</v>
      </c>
      <c r="F5" s="180">
        <v>2.04</v>
      </c>
      <c r="G5" s="180">
        <v>2.0499999999999998</v>
      </c>
      <c r="H5" s="180">
        <v>1.9</v>
      </c>
      <c r="I5" s="180">
        <v>2.09</v>
      </c>
      <c r="J5" s="180">
        <v>1.92</v>
      </c>
      <c r="K5" s="180">
        <v>2.1</v>
      </c>
    </row>
    <row r="6" spans="2:14" ht="19" x14ac:dyDescent="0.2">
      <c r="B6" s="180">
        <v>1.93</v>
      </c>
      <c r="C6" s="180">
        <v>1.86</v>
      </c>
      <c r="D6" s="180">
        <v>2.04</v>
      </c>
      <c r="E6" s="180">
        <v>2.15</v>
      </c>
      <c r="F6" s="180">
        <v>1.96</v>
      </c>
      <c r="G6" s="180">
        <v>2.0299999999999998</v>
      </c>
      <c r="H6" s="180">
        <v>1.95</v>
      </c>
      <c r="I6" s="180">
        <v>2.0499999999999998</v>
      </c>
      <c r="J6" s="180">
        <v>2.12</v>
      </c>
      <c r="K6" s="180">
        <v>2.0299999999999998</v>
      </c>
    </row>
    <row r="7" spans="2:14" ht="19" x14ac:dyDescent="0.2">
      <c r="B7" s="180">
        <v>1.87</v>
      </c>
      <c r="C7" s="180">
        <v>1.89</v>
      </c>
      <c r="D7" s="180">
        <v>2.09</v>
      </c>
      <c r="E7" s="180">
        <v>2.02</v>
      </c>
      <c r="F7" s="180">
        <v>1.99</v>
      </c>
      <c r="G7" s="180">
        <v>2.06</v>
      </c>
      <c r="H7" s="180">
        <v>1.99</v>
      </c>
      <c r="I7" s="180">
        <v>2.0299999999999998</v>
      </c>
      <c r="J7" s="180">
        <v>2.02</v>
      </c>
      <c r="K7" s="180">
        <v>2.0099999999999998</v>
      </c>
    </row>
    <row r="8" spans="2:14" ht="19" x14ac:dyDescent="0.2">
      <c r="B8" s="180">
        <v>1.94</v>
      </c>
      <c r="C8" s="180">
        <v>2.0699999999999998</v>
      </c>
      <c r="D8" s="180">
        <v>2.0299999999999998</v>
      </c>
      <c r="E8" s="180">
        <v>2.11</v>
      </c>
      <c r="F8" s="180">
        <v>1.94</v>
      </c>
      <c r="G8" s="180">
        <v>2.09</v>
      </c>
      <c r="H8" s="180">
        <v>1.87</v>
      </c>
      <c r="I8" s="180">
        <v>2.06</v>
      </c>
      <c r="J8" s="180">
        <v>1.97</v>
      </c>
      <c r="K8" s="180">
        <v>2.04</v>
      </c>
    </row>
    <row r="9" spans="2:14" ht="19" x14ac:dyDescent="0.2">
      <c r="B9" s="180">
        <v>1.99</v>
      </c>
      <c r="C9" s="180">
        <v>2.06</v>
      </c>
      <c r="D9" s="180">
        <v>2.09</v>
      </c>
      <c r="E9" s="180">
        <v>2.04</v>
      </c>
      <c r="F9" s="180">
        <v>1.98</v>
      </c>
      <c r="G9" s="180">
        <v>2.02</v>
      </c>
      <c r="H9" s="180">
        <v>1.92</v>
      </c>
      <c r="I9" s="180">
        <v>2.04</v>
      </c>
      <c r="J9" s="180">
        <v>1.95</v>
      </c>
      <c r="K9" s="180">
        <v>2.02</v>
      </c>
    </row>
    <row r="11" spans="2:14" x14ac:dyDescent="0.2">
      <c r="B11" s="29" t="s">
        <v>238</v>
      </c>
      <c r="C11" s="31">
        <f>MAX(B2:K9)-MIN(B2:K9)</f>
        <v>0.34000000000000008</v>
      </c>
      <c r="F11" s="29" t="s">
        <v>244</v>
      </c>
      <c r="G11" s="29" t="s">
        <v>245</v>
      </c>
      <c r="H11" s="29" t="s">
        <v>77</v>
      </c>
      <c r="I11" s="29" t="s">
        <v>263</v>
      </c>
      <c r="J11" s="29" t="s">
        <v>251</v>
      </c>
      <c r="K11" s="29" t="s">
        <v>254</v>
      </c>
      <c r="L11" s="29" t="s">
        <v>90</v>
      </c>
      <c r="M11" s="29" t="s">
        <v>255</v>
      </c>
      <c r="N11" s="29" t="s">
        <v>256</v>
      </c>
    </row>
    <row r="12" spans="2:14" x14ac:dyDescent="0.2">
      <c r="B12" s="29" t="s">
        <v>239</v>
      </c>
      <c r="C12" s="31">
        <f>1+(3.3*LOG(C17))</f>
        <v>7.2801969570734135</v>
      </c>
      <c r="D12" s="2">
        <f>ROUNDUP(C12,0)</f>
        <v>8</v>
      </c>
      <c r="F12" s="33">
        <f>(MIN(B2:K9)-C16)-0.005</f>
        <v>1.8250000000000002</v>
      </c>
      <c r="G12" s="33">
        <f>(F12+$D$13)+0.005+0.005</f>
        <v>1.885</v>
      </c>
      <c r="H12" s="29">
        <f>COUNTIFS(B2:K9,"&lt;1.885")</f>
        <v>4</v>
      </c>
      <c r="I12" s="33">
        <f>+H12/$H$20</f>
        <v>0.05</v>
      </c>
      <c r="J12" s="29">
        <f>+H12</f>
        <v>4</v>
      </c>
      <c r="K12" s="33">
        <f t="shared" ref="K12:K19" si="0">+(F12+G12)/2</f>
        <v>1.855</v>
      </c>
      <c r="L12" s="29">
        <v>-3</v>
      </c>
      <c r="M12" s="29">
        <f t="shared" ref="M12:M19" si="1">+H12*L12</f>
        <v>-12</v>
      </c>
      <c r="N12" s="29">
        <f t="shared" ref="N12:N19" si="2">H12*(L12^2)</f>
        <v>36</v>
      </c>
    </row>
    <row r="13" spans="2:14" x14ac:dyDescent="0.2">
      <c r="B13" s="29" t="s">
        <v>240</v>
      </c>
      <c r="C13" s="33">
        <f>+C11/D12</f>
        <v>4.250000000000001E-2</v>
      </c>
      <c r="D13" s="30">
        <v>0.05</v>
      </c>
      <c r="F13" s="33">
        <f>+G12</f>
        <v>1.885</v>
      </c>
      <c r="G13" s="33">
        <f>(F13+$D$13)</f>
        <v>1.9350000000000001</v>
      </c>
      <c r="H13" s="29">
        <f>COUNTIFS($B$2:$K$9,"&lt;1.935",$B$2:$K$9,"&gt;1.885")</f>
        <v>12</v>
      </c>
      <c r="I13" s="33">
        <f t="shared" ref="I13:I19" si="3">+H13/$H$20</f>
        <v>0.15</v>
      </c>
      <c r="J13" s="29">
        <f t="shared" ref="J13:J19" si="4">+J12+H13</f>
        <v>16</v>
      </c>
      <c r="K13" s="33">
        <f t="shared" si="0"/>
        <v>1.9100000000000001</v>
      </c>
      <c r="L13" s="29">
        <v>-2</v>
      </c>
      <c r="M13" s="29">
        <f t="shared" si="1"/>
        <v>-24</v>
      </c>
      <c r="N13" s="29">
        <f t="shared" si="2"/>
        <v>48</v>
      </c>
    </row>
    <row r="14" spans="2:14" x14ac:dyDescent="0.2">
      <c r="B14" s="29" t="s">
        <v>241</v>
      </c>
      <c r="C14" s="29">
        <f>+D13*D12</f>
        <v>0.4</v>
      </c>
      <c r="F14" s="33">
        <f t="shared" ref="F14:F18" si="5">+G13</f>
        <v>1.9350000000000001</v>
      </c>
      <c r="G14" s="33">
        <f t="shared" ref="G14:G19" si="6">(F14+$D$13)</f>
        <v>1.9850000000000001</v>
      </c>
      <c r="H14" s="29">
        <f>COUNTIFS($B$2:$K$9,"&lt;1.985",$B$2:$K$9,"&gt;1.935")</f>
        <v>12</v>
      </c>
      <c r="I14" s="33">
        <f t="shared" si="3"/>
        <v>0.15</v>
      </c>
      <c r="J14" s="29">
        <f t="shared" si="4"/>
        <v>28</v>
      </c>
      <c r="K14" s="33">
        <f t="shared" si="0"/>
        <v>1.96</v>
      </c>
      <c r="L14" s="29">
        <v>-1</v>
      </c>
      <c r="M14" s="29">
        <f t="shared" si="1"/>
        <v>-12</v>
      </c>
      <c r="N14" s="29">
        <f t="shared" si="2"/>
        <v>12</v>
      </c>
    </row>
    <row r="15" spans="2:14" x14ac:dyDescent="0.2">
      <c r="B15" s="29" t="s">
        <v>242</v>
      </c>
      <c r="C15" s="33">
        <f>+C14-C11</f>
        <v>5.9999999999999942E-2</v>
      </c>
      <c r="F15" s="33">
        <f t="shared" si="5"/>
        <v>1.9850000000000001</v>
      </c>
      <c r="G15" s="33">
        <f t="shared" si="6"/>
        <v>2.0350000000000001</v>
      </c>
      <c r="H15" s="29">
        <f>COUNTIFS($B$2:$K$9,"&lt;2.035",$B$2:$K$9,"&gt;1.985")</f>
        <v>21</v>
      </c>
      <c r="I15" s="33">
        <f t="shared" si="3"/>
        <v>0.26250000000000001</v>
      </c>
      <c r="J15" s="29">
        <f t="shared" si="4"/>
        <v>49</v>
      </c>
      <c r="K15" s="33">
        <f t="shared" si="0"/>
        <v>2.0100000000000002</v>
      </c>
      <c r="L15" s="29">
        <v>0</v>
      </c>
      <c r="M15" s="29">
        <f t="shared" si="1"/>
        <v>0</v>
      </c>
      <c r="N15" s="29">
        <f t="shared" si="2"/>
        <v>0</v>
      </c>
    </row>
    <row r="16" spans="2:14" x14ac:dyDescent="0.2">
      <c r="B16" s="29" t="s">
        <v>243</v>
      </c>
      <c r="C16" s="33">
        <f>+C15/2</f>
        <v>2.9999999999999971E-2</v>
      </c>
      <c r="F16" s="33">
        <f t="shared" si="5"/>
        <v>2.0350000000000001</v>
      </c>
      <c r="G16" s="33">
        <f t="shared" si="6"/>
        <v>2.085</v>
      </c>
      <c r="H16" s="29">
        <f>COUNTIFS($B$2:$K$9,"&lt;2.085",$B$2:$K$9,"&gt;2.035")</f>
        <v>16</v>
      </c>
      <c r="I16" s="33">
        <f t="shared" si="3"/>
        <v>0.2</v>
      </c>
      <c r="J16" s="29">
        <f t="shared" si="4"/>
        <v>65</v>
      </c>
      <c r="K16" s="33">
        <f>+(F16+G16)/2</f>
        <v>2.06</v>
      </c>
      <c r="L16" s="29">
        <v>1</v>
      </c>
      <c r="M16" s="29">
        <f t="shared" si="1"/>
        <v>16</v>
      </c>
      <c r="N16" s="29">
        <f t="shared" si="2"/>
        <v>16</v>
      </c>
    </row>
    <row r="17" spans="2:21" x14ac:dyDescent="0.2">
      <c r="B17" s="29" t="s">
        <v>250</v>
      </c>
      <c r="C17" s="29">
        <f>COUNT(B2:K9)</f>
        <v>80</v>
      </c>
      <c r="F17" s="33">
        <f t="shared" si="5"/>
        <v>2.085</v>
      </c>
      <c r="G17" s="33">
        <f t="shared" si="6"/>
        <v>2.1349999999999998</v>
      </c>
      <c r="H17" s="29">
        <f>COUNTIFS($B$2:$K$9,"&lt;2.135",$B$2:$K$9,"&gt;2.085")</f>
        <v>10</v>
      </c>
      <c r="I17" s="33">
        <f t="shared" si="3"/>
        <v>0.125</v>
      </c>
      <c r="J17" s="29">
        <f t="shared" si="4"/>
        <v>75</v>
      </c>
      <c r="K17" s="33">
        <f t="shared" si="0"/>
        <v>2.11</v>
      </c>
      <c r="L17" s="29">
        <v>2</v>
      </c>
      <c r="M17" s="29">
        <f t="shared" si="1"/>
        <v>20</v>
      </c>
      <c r="N17" s="29">
        <f t="shared" si="2"/>
        <v>40</v>
      </c>
    </row>
    <row r="18" spans="2:21" x14ac:dyDescent="0.2">
      <c r="F18" s="33">
        <f t="shared" si="5"/>
        <v>2.1349999999999998</v>
      </c>
      <c r="G18" s="33">
        <f t="shared" si="6"/>
        <v>2.1849999999999996</v>
      </c>
      <c r="H18" s="29">
        <f>COUNTIFS($B$2:$K$9,"&lt;2.185",$B$2:$K$9,"&gt;2.135")</f>
        <v>4</v>
      </c>
      <c r="I18" s="33">
        <f t="shared" si="3"/>
        <v>0.05</v>
      </c>
      <c r="J18" s="29">
        <f t="shared" si="4"/>
        <v>79</v>
      </c>
      <c r="K18" s="33">
        <f t="shared" si="0"/>
        <v>2.1599999999999997</v>
      </c>
      <c r="L18" s="29">
        <v>3</v>
      </c>
      <c r="M18" s="29">
        <f t="shared" si="1"/>
        <v>12</v>
      </c>
      <c r="N18" s="29">
        <f t="shared" si="2"/>
        <v>36</v>
      </c>
    </row>
    <row r="19" spans="2:21" x14ac:dyDescent="0.2">
      <c r="F19" s="33">
        <f>G18</f>
        <v>2.1849999999999996</v>
      </c>
      <c r="G19" s="29">
        <f t="shared" si="6"/>
        <v>2.2349999999999994</v>
      </c>
      <c r="H19" s="29">
        <f>COUNTIFS($B$2:$K$9,"&lt;2.235",$B$2:$K$9,"&gt;2.185")</f>
        <v>1</v>
      </c>
      <c r="I19" s="33">
        <f t="shared" si="3"/>
        <v>1.2500000000000001E-2</v>
      </c>
      <c r="J19" s="29">
        <f t="shared" si="4"/>
        <v>80</v>
      </c>
      <c r="K19" s="33">
        <f t="shared" si="0"/>
        <v>2.2099999999999995</v>
      </c>
      <c r="L19" s="29">
        <v>4</v>
      </c>
      <c r="M19" s="29">
        <f t="shared" si="1"/>
        <v>4</v>
      </c>
      <c r="N19" s="29">
        <f t="shared" si="2"/>
        <v>16</v>
      </c>
    </row>
    <row r="20" spans="2:21" ht="17" thickBot="1" x14ac:dyDescent="0.25">
      <c r="H20" s="29">
        <f>SUM(H12:H19)</f>
        <v>80</v>
      </c>
      <c r="I20" s="30"/>
      <c r="M20" s="29">
        <f>SUM(M12:M19)</f>
        <v>4</v>
      </c>
      <c r="N20" s="29">
        <f>SUM(N12:N19)</f>
        <v>204</v>
      </c>
    </row>
    <row r="21" spans="2:21" x14ac:dyDescent="0.2">
      <c r="E21" s="46" t="s">
        <v>258</v>
      </c>
      <c r="F21" s="307" t="s">
        <v>246</v>
      </c>
      <c r="G21" s="309"/>
    </row>
    <row r="22" spans="2:21" x14ac:dyDescent="0.2">
      <c r="F22" s="149" t="s">
        <v>247</v>
      </c>
      <c r="G22" s="150">
        <f>+H15-H14</f>
        <v>9</v>
      </c>
    </row>
    <row r="23" spans="2:21" x14ac:dyDescent="0.2">
      <c r="F23" s="149" t="s">
        <v>248</v>
      </c>
      <c r="G23" s="150">
        <f>+H15-H16</f>
        <v>5</v>
      </c>
      <c r="L23" s="2"/>
    </row>
    <row r="24" spans="2:21" x14ac:dyDescent="0.2">
      <c r="F24" s="149" t="s">
        <v>249</v>
      </c>
      <c r="G24" s="175">
        <f>+F15+((G22/(G22+G23))*D13)</f>
        <v>2.0171428571428573</v>
      </c>
      <c r="L24" s="2"/>
      <c r="S24" s="306" t="s">
        <v>329</v>
      </c>
      <c r="T24" s="306"/>
      <c r="U24" s="306"/>
    </row>
    <row r="25" spans="2:21" x14ac:dyDescent="0.2">
      <c r="F25" s="149" t="s">
        <v>253</v>
      </c>
      <c r="G25" s="150">
        <f>(C17+1)/2</f>
        <v>40.5</v>
      </c>
      <c r="S25" s="306"/>
      <c r="T25" s="306"/>
      <c r="U25" s="306"/>
    </row>
    <row r="26" spans="2:21" x14ac:dyDescent="0.2">
      <c r="F26" s="149" t="s">
        <v>252</v>
      </c>
      <c r="G26" s="175">
        <f>F15+((((C17/2)-J14)/H15)*D13)</f>
        <v>2.0135714285714288</v>
      </c>
      <c r="S26" s="306"/>
      <c r="T26" s="306"/>
      <c r="U26" s="306"/>
    </row>
    <row r="27" spans="2:21" ht="17" thickBot="1" x14ac:dyDescent="0.25">
      <c r="F27" s="152" t="s">
        <v>257</v>
      </c>
      <c r="G27" s="176">
        <f>+K15+((M20*D13)/C17)</f>
        <v>2.0125000000000002</v>
      </c>
      <c r="S27" s="306"/>
      <c r="T27" s="306"/>
      <c r="U27" s="306"/>
    </row>
    <row r="28" spans="2:21" ht="17" thickBot="1" x14ac:dyDescent="0.25">
      <c r="S28" s="306"/>
      <c r="T28" s="306"/>
      <c r="U28" s="306"/>
    </row>
    <row r="29" spans="2:21" x14ac:dyDescent="0.2">
      <c r="E29" s="46" t="s">
        <v>259</v>
      </c>
      <c r="F29" s="307" t="s">
        <v>246</v>
      </c>
      <c r="G29" s="308"/>
      <c r="H29" s="154"/>
      <c r="I29" s="154"/>
      <c r="J29" s="155"/>
    </row>
    <row r="30" spans="2:21" x14ac:dyDescent="0.2">
      <c r="F30" s="149" t="s">
        <v>302</v>
      </c>
      <c r="G30" s="31">
        <f>D13*SQRT((N20/C17)-((M20^2)/(C17^2)))</f>
        <v>7.9804448497561853E-2</v>
      </c>
      <c r="H30" s="310" t="s">
        <v>331</v>
      </c>
      <c r="I30" s="310"/>
      <c r="J30" s="311"/>
    </row>
    <row r="31" spans="2:21" x14ac:dyDescent="0.2">
      <c r="F31" s="149" t="s">
        <v>260</v>
      </c>
      <c r="G31" s="31">
        <f>G27+(3*G30)</f>
        <v>2.2519133454926856</v>
      </c>
      <c r="H31" s="310"/>
      <c r="I31" s="310"/>
      <c r="J31" s="311"/>
    </row>
    <row r="32" spans="2:21" ht="17" thickBot="1" x14ac:dyDescent="0.25">
      <c r="F32" s="152" t="s">
        <v>261</v>
      </c>
      <c r="G32" s="156">
        <f>+G27-(3*G30)</f>
        <v>1.7730866545073147</v>
      </c>
      <c r="H32" s="312"/>
      <c r="I32" s="312"/>
      <c r="J32" s="313"/>
    </row>
    <row r="33" spans="5:13" ht="17" thickBot="1" x14ac:dyDescent="0.25"/>
    <row r="34" spans="5:13" x14ac:dyDescent="0.2">
      <c r="E34" s="46" t="s">
        <v>262</v>
      </c>
      <c r="F34" s="307" t="s">
        <v>373</v>
      </c>
      <c r="G34" s="308"/>
      <c r="H34" s="154"/>
      <c r="I34" s="154"/>
      <c r="J34" s="155"/>
    </row>
    <row r="35" spans="5:13" ht="16" customHeight="1" x14ac:dyDescent="0.2">
      <c r="F35" s="149" t="s">
        <v>264</v>
      </c>
      <c r="G35" s="29" t="s">
        <v>77</v>
      </c>
      <c r="H35" s="310" t="s">
        <v>374</v>
      </c>
      <c r="I35" s="310"/>
      <c r="J35" s="311"/>
    </row>
    <row r="36" spans="5:13" x14ac:dyDescent="0.2">
      <c r="F36" s="149" t="s">
        <v>365</v>
      </c>
      <c r="G36" s="29">
        <f>+H12</f>
        <v>4</v>
      </c>
      <c r="H36" s="310"/>
      <c r="I36" s="310"/>
      <c r="J36" s="311"/>
    </row>
    <row r="37" spans="5:13" x14ac:dyDescent="0.2">
      <c r="F37" s="149" t="s">
        <v>366</v>
      </c>
      <c r="G37" s="29">
        <f t="shared" ref="G37:G43" si="7">+H13</f>
        <v>12</v>
      </c>
      <c r="H37" s="310"/>
      <c r="I37" s="310"/>
      <c r="J37" s="311"/>
    </row>
    <row r="38" spans="5:13" ht="16" customHeight="1" x14ac:dyDescent="0.2">
      <c r="F38" s="149" t="s">
        <v>367</v>
      </c>
      <c r="G38" s="29">
        <f t="shared" si="7"/>
        <v>12</v>
      </c>
      <c r="H38" s="310"/>
      <c r="I38" s="310"/>
      <c r="J38" s="311"/>
    </row>
    <row r="39" spans="5:13" x14ac:dyDescent="0.2">
      <c r="F39" s="149" t="s">
        <v>368</v>
      </c>
      <c r="G39" s="29">
        <f t="shared" si="7"/>
        <v>21</v>
      </c>
      <c r="H39" s="310"/>
      <c r="I39" s="310"/>
      <c r="J39" s="311"/>
    </row>
    <row r="40" spans="5:13" x14ac:dyDescent="0.2">
      <c r="F40" s="149" t="s">
        <v>369</v>
      </c>
      <c r="G40" s="29">
        <f t="shared" si="7"/>
        <v>16</v>
      </c>
      <c r="H40" s="310"/>
      <c r="I40" s="310"/>
      <c r="J40" s="311"/>
    </row>
    <row r="41" spans="5:13" ht="16" customHeight="1" x14ac:dyDescent="0.2">
      <c r="F41" s="149" t="s">
        <v>370</v>
      </c>
      <c r="G41" s="29">
        <f t="shared" si="7"/>
        <v>10</v>
      </c>
      <c r="H41" s="310"/>
      <c r="I41" s="310"/>
      <c r="J41" s="311"/>
    </row>
    <row r="42" spans="5:13" x14ac:dyDescent="0.2">
      <c r="F42" s="149" t="s">
        <v>371</v>
      </c>
      <c r="G42" s="29">
        <f t="shared" si="7"/>
        <v>4</v>
      </c>
      <c r="H42" s="310"/>
      <c r="I42" s="310"/>
      <c r="J42" s="311"/>
    </row>
    <row r="43" spans="5:13" ht="17" thickBot="1" x14ac:dyDescent="0.25">
      <c r="F43" s="152" t="s">
        <v>372</v>
      </c>
      <c r="G43" s="158">
        <f t="shared" si="7"/>
        <v>1</v>
      </c>
      <c r="H43" s="312"/>
      <c r="I43" s="312"/>
      <c r="J43" s="313"/>
    </row>
    <row r="44" spans="5:13" ht="17" thickBot="1" x14ac:dyDescent="0.25"/>
    <row r="45" spans="5:13" x14ac:dyDescent="0.2">
      <c r="E45" s="46" t="s">
        <v>277</v>
      </c>
      <c r="F45" s="307" t="s">
        <v>246</v>
      </c>
      <c r="G45" s="308"/>
      <c r="H45" s="94"/>
      <c r="I45" s="94"/>
      <c r="J45" s="94"/>
      <c r="K45" s="94"/>
      <c r="L45" s="94"/>
      <c r="M45" s="161"/>
    </row>
    <row r="46" spans="5:13" x14ac:dyDescent="0.2">
      <c r="F46" s="149" t="s">
        <v>292</v>
      </c>
      <c r="G46" s="33">
        <f>((1/C17)*K60)/(G30^4)</f>
        <v>2.5508209572585887</v>
      </c>
      <c r="H46" t="s">
        <v>375</v>
      </c>
      <c r="M46" s="157"/>
    </row>
    <row r="47" spans="5:13" x14ac:dyDescent="0.2">
      <c r="F47" s="149" t="s">
        <v>293</v>
      </c>
      <c r="G47" s="33">
        <f>(1/C17)*(M60/(G30^3))</f>
        <v>3.0395077715559229E-2</v>
      </c>
      <c r="H47" t="s">
        <v>320</v>
      </c>
      <c r="M47" s="157"/>
    </row>
    <row r="48" spans="5:13" x14ac:dyDescent="0.2">
      <c r="F48" s="162"/>
      <c r="M48" s="157"/>
    </row>
    <row r="49" spans="4:13" x14ac:dyDescent="0.2">
      <c r="F49" s="162"/>
      <c r="M49" s="157"/>
    </row>
    <row r="50" spans="4:13" x14ac:dyDescent="0.2">
      <c r="F50" s="162"/>
      <c r="M50" s="157"/>
    </row>
    <row r="51" spans="4:13" x14ac:dyDescent="0.2">
      <c r="F51" s="149" t="str">
        <f>+K11</f>
        <v>Punto medio</v>
      </c>
      <c r="G51" s="29" t="str">
        <f>+H11</f>
        <v>Fo</v>
      </c>
      <c r="H51" s="29" t="s">
        <v>294</v>
      </c>
      <c r="I51" s="29" t="s">
        <v>297</v>
      </c>
      <c r="J51" s="29" t="s">
        <v>298</v>
      </c>
      <c r="K51" s="29"/>
      <c r="L51" s="29" t="s">
        <v>299</v>
      </c>
      <c r="M51" s="157"/>
    </row>
    <row r="52" spans="4:13" x14ac:dyDescent="0.2">
      <c r="F52" s="149">
        <f t="shared" ref="F52:F59" si="8">+K12</f>
        <v>1.855</v>
      </c>
      <c r="G52" s="29">
        <f t="shared" ref="G52:G59" si="9">+H12</f>
        <v>4</v>
      </c>
      <c r="H52" s="29">
        <f>+F52*G52</f>
        <v>7.42</v>
      </c>
      <c r="I52" s="31">
        <f>+F52-$G$27</f>
        <v>-0.1575000000000002</v>
      </c>
      <c r="J52" s="181">
        <f>I52^4</f>
        <v>6.1535003906250298E-4</v>
      </c>
      <c r="K52" s="31">
        <f>+J52*G52</f>
        <v>2.4614001562500119E-3</v>
      </c>
      <c r="L52" s="181">
        <f>I52^3</f>
        <v>-3.9069843750000142E-3</v>
      </c>
      <c r="M52" s="163">
        <f>+L52*G52</f>
        <v>-1.5627937500000057E-2</v>
      </c>
    </row>
    <row r="53" spans="4:13" x14ac:dyDescent="0.2">
      <c r="F53" s="149">
        <f t="shared" si="8"/>
        <v>1.9100000000000001</v>
      </c>
      <c r="G53" s="29">
        <f t="shared" si="9"/>
        <v>12</v>
      </c>
      <c r="H53" s="29">
        <f t="shared" ref="H53:H59" si="10">+F53*G53</f>
        <v>22.92</v>
      </c>
      <c r="I53" s="31">
        <f t="shared" ref="I53:I59" si="11">+F53-$G$27</f>
        <v>-0.10250000000000004</v>
      </c>
      <c r="J53" s="181">
        <f t="shared" ref="J53:J59" si="12">I53^4</f>
        <v>1.1038128906250015E-4</v>
      </c>
      <c r="K53" s="31">
        <f t="shared" ref="K53:K59" si="13">+J53*G53</f>
        <v>1.3245754687500016E-3</v>
      </c>
      <c r="L53" s="181">
        <f t="shared" ref="L53:L59" si="14">I53^3</f>
        <v>-1.076890625000001E-3</v>
      </c>
      <c r="M53" s="163">
        <f t="shared" ref="M53:M59" si="15">+L53*G53</f>
        <v>-1.2922687500000012E-2</v>
      </c>
    </row>
    <row r="54" spans="4:13" x14ac:dyDescent="0.2">
      <c r="F54" s="149">
        <f t="shared" si="8"/>
        <v>1.96</v>
      </c>
      <c r="G54" s="29">
        <f t="shared" si="9"/>
        <v>12</v>
      </c>
      <c r="H54" s="29">
        <f t="shared" si="10"/>
        <v>23.52</v>
      </c>
      <c r="I54" s="31">
        <f t="shared" si="11"/>
        <v>-5.2500000000000213E-2</v>
      </c>
      <c r="J54" s="181">
        <f t="shared" si="12"/>
        <v>7.5969140625001243E-6</v>
      </c>
      <c r="K54" s="31">
        <f t="shared" si="13"/>
        <v>9.1162968750001488E-5</v>
      </c>
      <c r="L54" s="181">
        <f t="shared" si="14"/>
        <v>-1.4470312500000176E-4</v>
      </c>
      <c r="M54" s="163">
        <f t="shared" si="15"/>
        <v>-1.7364375000000212E-3</v>
      </c>
    </row>
    <row r="55" spans="4:13" x14ac:dyDescent="0.2">
      <c r="F55" s="149">
        <f t="shared" si="8"/>
        <v>2.0100000000000002</v>
      </c>
      <c r="G55" s="29">
        <f t="shared" si="9"/>
        <v>21</v>
      </c>
      <c r="H55" s="29">
        <f t="shared" si="10"/>
        <v>42.210000000000008</v>
      </c>
      <c r="I55" s="31">
        <f t="shared" si="11"/>
        <v>-2.4999999999999467E-3</v>
      </c>
      <c r="J55" s="181">
        <f t="shared" si="12"/>
        <v>3.9062499999996666E-11</v>
      </c>
      <c r="K55" s="31">
        <f t="shared" si="13"/>
        <v>8.2031249999993E-10</v>
      </c>
      <c r="L55" s="181">
        <f t="shared" si="14"/>
        <v>-1.5624999999999E-8</v>
      </c>
      <c r="M55" s="163">
        <f t="shared" si="15"/>
        <v>-3.2812499999997902E-7</v>
      </c>
    </row>
    <row r="56" spans="4:13" x14ac:dyDescent="0.2">
      <c r="F56" s="149">
        <f t="shared" si="8"/>
        <v>2.06</v>
      </c>
      <c r="G56" s="29">
        <f t="shared" si="9"/>
        <v>16</v>
      </c>
      <c r="H56" s="29">
        <f t="shared" si="10"/>
        <v>32.96</v>
      </c>
      <c r="I56" s="31">
        <f t="shared" si="11"/>
        <v>4.7499999999999876E-2</v>
      </c>
      <c r="J56" s="181">
        <f t="shared" si="12"/>
        <v>5.0906640624999473E-6</v>
      </c>
      <c r="K56" s="31">
        <f t="shared" si="13"/>
        <v>8.1450624999999157E-5</v>
      </c>
      <c r="L56" s="181">
        <f t="shared" si="14"/>
        <v>1.0717187499999917E-4</v>
      </c>
      <c r="M56" s="163">
        <f t="shared" si="15"/>
        <v>1.7147499999999867E-3</v>
      </c>
    </row>
    <row r="57" spans="4:13" x14ac:dyDescent="0.2">
      <c r="F57" s="149">
        <f t="shared" si="8"/>
        <v>2.11</v>
      </c>
      <c r="G57" s="29">
        <f t="shared" si="9"/>
        <v>10</v>
      </c>
      <c r="H57" s="29">
        <f t="shared" si="10"/>
        <v>21.099999999999998</v>
      </c>
      <c r="I57" s="31">
        <f t="shared" si="11"/>
        <v>9.7499999999999698E-2</v>
      </c>
      <c r="J57" s="181">
        <f t="shared" si="12"/>
        <v>9.0368789062498893E-5</v>
      </c>
      <c r="K57" s="31">
        <f t="shared" si="13"/>
        <v>9.0368789062498893E-4</v>
      </c>
      <c r="L57" s="181">
        <f t="shared" si="14"/>
        <v>9.2685937499999149E-4</v>
      </c>
      <c r="M57" s="163">
        <f t="shared" si="15"/>
        <v>9.2685937499999149E-3</v>
      </c>
    </row>
    <row r="58" spans="4:13" x14ac:dyDescent="0.2">
      <c r="F58" s="149">
        <f t="shared" si="8"/>
        <v>2.1599999999999997</v>
      </c>
      <c r="G58" s="29">
        <f t="shared" si="9"/>
        <v>4</v>
      </c>
      <c r="H58" s="29">
        <f t="shared" si="10"/>
        <v>8.6399999999999988</v>
      </c>
      <c r="I58" s="31">
        <f t="shared" si="11"/>
        <v>0.14749999999999952</v>
      </c>
      <c r="J58" s="181">
        <f t="shared" si="12"/>
        <v>4.7333441406249388E-4</v>
      </c>
      <c r="K58" s="31">
        <f t="shared" si="13"/>
        <v>1.8933376562499755E-3</v>
      </c>
      <c r="L58" s="181">
        <f t="shared" si="14"/>
        <v>3.2090468749999689E-3</v>
      </c>
      <c r="M58" s="163">
        <f t="shared" si="15"/>
        <v>1.2836187499999875E-2</v>
      </c>
    </row>
    <row r="59" spans="4:13" x14ac:dyDescent="0.2">
      <c r="F59" s="149">
        <f t="shared" si="8"/>
        <v>2.2099999999999995</v>
      </c>
      <c r="G59" s="29">
        <f t="shared" si="9"/>
        <v>1</v>
      </c>
      <c r="H59" s="29">
        <f t="shared" si="10"/>
        <v>2.2099999999999995</v>
      </c>
      <c r="I59" s="31">
        <f t="shared" si="11"/>
        <v>0.19749999999999934</v>
      </c>
      <c r="J59" s="181">
        <f t="shared" si="12"/>
        <v>1.52148753906248E-3</v>
      </c>
      <c r="K59" s="31">
        <f t="shared" si="13"/>
        <v>1.52148753906248E-3</v>
      </c>
      <c r="L59" s="181">
        <f t="shared" si="14"/>
        <v>7.7037343749999238E-3</v>
      </c>
      <c r="M59" s="163">
        <f t="shared" si="15"/>
        <v>7.7037343749999238E-3</v>
      </c>
    </row>
    <row r="60" spans="4:13" ht="17" thickBot="1" x14ac:dyDescent="0.25">
      <c r="F60" s="152">
        <f>SUM(F52:F59)</f>
        <v>16.274999999999999</v>
      </c>
      <c r="G60" s="158">
        <f>SUM(G52:G59)</f>
        <v>80</v>
      </c>
      <c r="H60" s="158">
        <f>SUM(H52:H59)</f>
        <v>160.97999999999999</v>
      </c>
      <c r="I60" s="158"/>
      <c r="J60" s="158"/>
      <c r="K60" s="156">
        <f>SUM(K52:K59)</f>
        <v>8.2771031249999592E-3</v>
      </c>
      <c r="L60" s="164"/>
      <c r="M60" s="153">
        <f>SUM(M52:M59)</f>
        <v>1.2358749999996105E-3</v>
      </c>
    </row>
    <row r="62" spans="4:13" ht="24" x14ac:dyDescent="0.3">
      <c r="D62" s="171" t="s">
        <v>308</v>
      </c>
    </row>
    <row r="63" spans="4:13" ht="17" thickBot="1" x14ac:dyDescent="0.25"/>
    <row r="64" spans="4:13" ht="19" x14ac:dyDescent="0.2">
      <c r="D64" s="180">
        <v>2.13</v>
      </c>
      <c r="F64" s="170" t="s">
        <v>306</v>
      </c>
      <c r="G64" s="165" t="s">
        <v>295</v>
      </c>
      <c r="H64" s="182">
        <f>+M66</f>
        <v>2.0104999999999995</v>
      </c>
      <c r="L64" s="160" t="s">
        <v>291</v>
      </c>
      <c r="M64" s="160"/>
    </row>
    <row r="65" spans="4:13" ht="19" x14ac:dyDescent="0.2">
      <c r="D65" s="180">
        <v>2.08</v>
      </c>
      <c r="F65" s="170"/>
      <c r="G65" s="162" t="s">
        <v>296</v>
      </c>
      <c r="H65" s="163">
        <f>+M68</f>
        <v>2.02</v>
      </c>
    </row>
    <row r="66" spans="4:13" ht="20" thickBot="1" x14ac:dyDescent="0.25">
      <c r="D66" s="180">
        <v>2.0499999999999998</v>
      </c>
      <c r="F66" s="170"/>
      <c r="G66" s="168" t="s">
        <v>300</v>
      </c>
      <c r="H66" s="183">
        <f>+M69</f>
        <v>2.02</v>
      </c>
      <c r="L66" t="s">
        <v>278</v>
      </c>
      <c r="M66">
        <v>2.0104999999999995</v>
      </c>
    </row>
    <row r="67" spans="4:13" ht="20" thickBot="1" x14ac:dyDescent="0.25">
      <c r="D67" s="180">
        <v>1.96</v>
      </c>
      <c r="F67" s="170"/>
      <c r="H67" s="30"/>
      <c r="L67" t="s">
        <v>279</v>
      </c>
      <c r="M67">
        <v>8.7292248847539479E-3</v>
      </c>
    </row>
    <row r="68" spans="4:13" ht="19" x14ac:dyDescent="0.2">
      <c r="D68" s="180">
        <v>1.93</v>
      </c>
      <c r="F68" s="170" t="s">
        <v>307</v>
      </c>
      <c r="G68" s="165" t="s">
        <v>301</v>
      </c>
      <c r="H68" s="182">
        <f>+M70</f>
        <v>7.8076560932770378E-2</v>
      </c>
      <c r="L68" t="s">
        <v>280</v>
      </c>
      <c r="M68">
        <v>2.02</v>
      </c>
    </row>
    <row r="69" spans="4:13" ht="19" x14ac:dyDescent="0.2">
      <c r="D69" s="180">
        <v>1.87</v>
      </c>
      <c r="F69" s="170"/>
      <c r="G69" s="162" t="s">
        <v>245</v>
      </c>
      <c r="H69" s="163">
        <f>H64+(3*H68)</f>
        <v>2.2447296827983108</v>
      </c>
      <c r="L69" t="s">
        <v>281</v>
      </c>
      <c r="M69">
        <v>2.02</v>
      </c>
    </row>
    <row r="70" spans="4:13" ht="20" thickBot="1" x14ac:dyDescent="0.25">
      <c r="D70" s="180">
        <v>1.94</v>
      </c>
      <c r="F70" s="170"/>
      <c r="G70" s="168" t="s">
        <v>244</v>
      </c>
      <c r="H70" s="183">
        <f>H64-(3*H68)</f>
        <v>1.7762703172016883</v>
      </c>
      <c r="L70" t="s">
        <v>282</v>
      </c>
      <c r="M70">
        <v>7.8076560932770378E-2</v>
      </c>
    </row>
    <row r="71" spans="4:13" ht="19" x14ac:dyDescent="0.2">
      <c r="D71" s="180">
        <v>1.99</v>
      </c>
      <c r="F71" s="170"/>
      <c r="L71" t="s">
        <v>283</v>
      </c>
      <c r="M71">
        <v>6.0959493670886067E-3</v>
      </c>
    </row>
    <row r="72" spans="4:13" ht="19" x14ac:dyDescent="0.2">
      <c r="D72" s="180">
        <v>2.08</v>
      </c>
      <c r="F72" s="170" t="s">
        <v>304</v>
      </c>
      <c r="G72" t="s">
        <v>303</v>
      </c>
      <c r="L72" t="s">
        <v>284</v>
      </c>
      <c r="M72">
        <v>-0.58103411073410483</v>
      </c>
    </row>
    <row r="73" spans="4:13" ht="20" thickBot="1" x14ac:dyDescent="0.25">
      <c r="D73" s="180">
        <v>2.1</v>
      </c>
      <c r="F73" s="170"/>
      <c r="L73" t="s">
        <v>285</v>
      </c>
      <c r="M73">
        <v>4.2106259555885511E-2</v>
      </c>
    </row>
    <row r="74" spans="4:13" ht="19" x14ac:dyDescent="0.2">
      <c r="D74" s="180">
        <v>2.02</v>
      </c>
      <c r="F74" s="170" t="s">
        <v>305</v>
      </c>
      <c r="G74" s="165" t="s">
        <v>284</v>
      </c>
      <c r="H74" s="172">
        <f>+M72</f>
        <v>-0.58103411073410483</v>
      </c>
      <c r="I74" s="161" t="s">
        <v>375</v>
      </c>
      <c r="L74" t="s">
        <v>286</v>
      </c>
      <c r="M74">
        <v>0.34000000000000008</v>
      </c>
    </row>
    <row r="75" spans="4:13" ht="20" thickBot="1" x14ac:dyDescent="0.25">
      <c r="D75" s="180">
        <v>2.2000000000000002</v>
      </c>
      <c r="G75" s="168" t="s">
        <v>293</v>
      </c>
      <c r="H75" s="173">
        <f>+M73</f>
        <v>4.2106259555885511E-2</v>
      </c>
      <c r="I75" s="159"/>
      <c r="L75" t="s">
        <v>287</v>
      </c>
      <c r="M75">
        <v>1.86</v>
      </c>
    </row>
    <row r="76" spans="4:13" ht="19" x14ac:dyDescent="0.2">
      <c r="D76" s="180">
        <v>1.86</v>
      </c>
      <c r="L76" t="s">
        <v>288</v>
      </c>
      <c r="M76">
        <v>2.2000000000000002</v>
      </c>
    </row>
    <row r="77" spans="4:13" ht="19" x14ac:dyDescent="0.2">
      <c r="D77" s="180">
        <v>1.89</v>
      </c>
      <c r="L77" t="s">
        <v>289</v>
      </c>
      <c r="M77">
        <v>160.83999999999997</v>
      </c>
    </row>
    <row r="78" spans="4:13" ht="20" thickBot="1" x14ac:dyDescent="0.25">
      <c r="D78" s="180">
        <v>2.0699999999999998</v>
      </c>
      <c r="L78" s="1" t="s">
        <v>290</v>
      </c>
      <c r="M78" s="1">
        <v>80</v>
      </c>
    </row>
    <row r="79" spans="4:13" ht="19" x14ac:dyDescent="0.2">
      <c r="D79" s="180">
        <v>2.06</v>
      </c>
    </row>
    <row r="80" spans="4:13" ht="19" x14ac:dyDescent="0.2">
      <c r="D80" s="180">
        <v>1.93</v>
      </c>
    </row>
    <row r="81" spans="4:4" ht="19" x14ac:dyDescent="0.2">
      <c r="D81" s="180">
        <v>1.98</v>
      </c>
    </row>
    <row r="82" spans="4:4" ht="19" x14ac:dyDescent="0.2">
      <c r="D82" s="180">
        <v>2.0299999999999998</v>
      </c>
    </row>
    <row r="83" spans="4:4" ht="19" x14ac:dyDescent="0.2">
      <c r="D83" s="180">
        <v>2.06</v>
      </c>
    </row>
    <row r="84" spans="4:4" ht="19" x14ac:dyDescent="0.2">
      <c r="D84" s="180">
        <v>2.04</v>
      </c>
    </row>
    <row r="85" spans="4:4" ht="19" x14ac:dyDescent="0.2">
      <c r="D85" s="180">
        <v>2.09</v>
      </c>
    </row>
    <row r="86" spans="4:4" ht="19" x14ac:dyDescent="0.2">
      <c r="D86" s="180">
        <v>2.0299999999999998</v>
      </c>
    </row>
    <row r="87" spans="4:4" ht="19" x14ac:dyDescent="0.2">
      <c r="D87" s="180">
        <v>2.09</v>
      </c>
    </row>
    <row r="88" spans="4:4" ht="19" x14ac:dyDescent="0.2">
      <c r="D88" s="180">
        <v>2.0099999999999998</v>
      </c>
    </row>
    <row r="89" spans="4:4" ht="19" x14ac:dyDescent="0.2">
      <c r="D89" s="180">
        <v>1.94</v>
      </c>
    </row>
    <row r="90" spans="4:4" ht="19" x14ac:dyDescent="0.2">
      <c r="D90" s="180">
        <v>1.91</v>
      </c>
    </row>
    <row r="91" spans="4:4" ht="19" x14ac:dyDescent="0.2">
      <c r="D91" s="180">
        <v>1.99</v>
      </c>
    </row>
    <row r="92" spans="4:4" ht="19" x14ac:dyDescent="0.2">
      <c r="D92" s="180">
        <v>2.15</v>
      </c>
    </row>
    <row r="93" spans="4:4" ht="19" x14ac:dyDescent="0.2">
      <c r="D93" s="180">
        <v>2.02</v>
      </c>
    </row>
    <row r="94" spans="4:4" ht="19" x14ac:dyDescent="0.2">
      <c r="D94" s="180">
        <v>2.11</v>
      </c>
    </row>
    <row r="95" spans="4:4" ht="19" x14ac:dyDescent="0.2">
      <c r="D95" s="180">
        <v>2.04</v>
      </c>
    </row>
    <row r="96" spans="4:4" ht="19" x14ac:dyDescent="0.2">
      <c r="D96" s="180">
        <v>2</v>
      </c>
    </row>
    <row r="97" spans="4:4" ht="19" x14ac:dyDescent="0.2">
      <c r="D97" s="180">
        <v>1.9</v>
      </c>
    </row>
    <row r="98" spans="4:4" ht="19" x14ac:dyDescent="0.2">
      <c r="D98" s="180">
        <v>2.14</v>
      </c>
    </row>
    <row r="99" spans="4:4" ht="19" x14ac:dyDescent="0.2">
      <c r="D99" s="180">
        <v>2.04</v>
      </c>
    </row>
    <row r="100" spans="4:4" ht="19" x14ac:dyDescent="0.2">
      <c r="D100" s="180">
        <v>1.96</v>
      </c>
    </row>
    <row r="101" spans="4:4" ht="19" x14ac:dyDescent="0.2">
      <c r="D101" s="180">
        <v>1.99</v>
      </c>
    </row>
    <row r="102" spans="4:4" ht="19" x14ac:dyDescent="0.2">
      <c r="D102" s="180">
        <v>1.94</v>
      </c>
    </row>
    <row r="103" spans="4:4" ht="19" x14ac:dyDescent="0.2">
      <c r="D103" s="180">
        <v>1.98</v>
      </c>
    </row>
    <row r="104" spans="4:4" ht="19" x14ac:dyDescent="0.2">
      <c r="D104" s="180">
        <v>1.92</v>
      </c>
    </row>
    <row r="105" spans="4:4" ht="19" x14ac:dyDescent="0.2">
      <c r="D105" s="180">
        <v>1.95</v>
      </c>
    </row>
    <row r="106" spans="4:4" ht="19" x14ac:dyDescent="0.2">
      <c r="D106" s="180">
        <v>2.02</v>
      </c>
    </row>
    <row r="107" spans="4:4" ht="19" x14ac:dyDescent="0.2">
      <c r="D107" s="180">
        <v>2.0499999999999998</v>
      </c>
    </row>
    <row r="108" spans="4:4" ht="19" x14ac:dyDescent="0.2">
      <c r="D108" s="180">
        <v>2.0299999999999998</v>
      </c>
    </row>
    <row r="109" spans="4:4" ht="19" x14ac:dyDescent="0.2">
      <c r="D109" s="180">
        <v>2.06</v>
      </c>
    </row>
    <row r="110" spans="4:4" ht="19" x14ac:dyDescent="0.2">
      <c r="D110" s="180">
        <v>2.09</v>
      </c>
    </row>
    <row r="111" spans="4:4" ht="19" x14ac:dyDescent="0.2">
      <c r="D111" s="180">
        <v>2.02</v>
      </c>
    </row>
    <row r="112" spans="4:4" ht="19" x14ac:dyDescent="0.2">
      <c r="D112" s="180">
        <v>2</v>
      </c>
    </row>
    <row r="113" spans="4:4" ht="19" x14ac:dyDescent="0.2">
      <c r="D113" s="180">
        <v>1.94</v>
      </c>
    </row>
    <row r="114" spans="4:4" ht="19" x14ac:dyDescent="0.2">
      <c r="D114" s="180">
        <v>2</v>
      </c>
    </row>
    <row r="115" spans="4:4" ht="19" x14ac:dyDescent="0.2">
      <c r="D115" s="180">
        <v>1.9</v>
      </c>
    </row>
    <row r="116" spans="4:4" ht="19" x14ac:dyDescent="0.2">
      <c r="D116" s="180">
        <v>1.95</v>
      </c>
    </row>
    <row r="117" spans="4:4" ht="19" x14ac:dyDescent="0.2">
      <c r="D117" s="180">
        <v>1.99</v>
      </c>
    </row>
    <row r="118" spans="4:4" ht="19" x14ac:dyDescent="0.2">
      <c r="D118" s="180">
        <v>1.87</v>
      </c>
    </row>
    <row r="119" spans="4:4" ht="19" x14ac:dyDescent="0.2">
      <c r="D119" s="180">
        <v>1.92</v>
      </c>
    </row>
    <row r="120" spans="4:4" ht="19" x14ac:dyDescent="0.2">
      <c r="D120" s="180">
        <v>1.93</v>
      </c>
    </row>
    <row r="121" spans="4:4" ht="19" x14ac:dyDescent="0.2">
      <c r="D121" s="180">
        <v>2.02</v>
      </c>
    </row>
    <row r="122" spans="4:4" ht="19" x14ac:dyDescent="0.2">
      <c r="D122" s="180">
        <v>2.04</v>
      </c>
    </row>
    <row r="123" spans="4:4" ht="19" x14ac:dyDescent="0.2">
      <c r="D123" s="180">
        <v>2.09</v>
      </c>
    </row>
    <row r="124" spans="4:4" ht="19" x14ac:dyDescent="0.2">
      <c r="D124" s="180">
        <v>2.0499999999999998</v>
      </c>
    </row>
    <row r="125" spans="4:4" ht="19" x14ac:dyDescent="0.2">
      <c r="D125" s="180">
        <v>2.0299999999999998</v>
      </c>
    </row>
    <row r="126" spans="4:4" ht="19" x14ac:dyDescent="0.2">
      <c r="D126" s="180">
        <v>2.06</v>
      </c>
    </row>
    <row r="127" spans="4:4" ht="19" x14ac:dyDescent="0.2">
      <c r="D127" s="180">
        <v>2.04</v>
      </c>
    </row>
    <row r="128" spans="4:4" ht="19" x14ac:dyDescent="0.2">
      <c r="D128" s="180">
        <v>1.87</v>
      </c>
    </row>
    <row r="129" spans="4:4" ht="19" x14ac:dyDescent="0.2">
      <c r="D129" s="180">
        <v>2.13</v>
      </c>
    </row>
    <row r="130" spans="4:4" ht="19" x14ac:dyDescent="0.2">
      <c r="D130" s="180">
        <v>1.9</v>
      </c>
    </row>
    <row r="131" spans="4:4" ht="19" x14ac:dyDescent="0.2">
      <c r="D131" s="180">
        <v>1.92</v>
      </c>
    </row>
    <row r="132" spans="4:4" ht="19" x14ac:dyDescent="0.2">
      <c r="D132" s="180">
        <v>2.12</v>
      </c>
    </row>
    <row r="133" spans="4:4" ht="19" x14ac:dyDescent="0.2">
      <c r="D133" s="180">
        <v>2.02</v>
      </c>
    </row>
    <row r="134" spans="4:4" ht="19" x14ac:dyDescent="0.2">
      <c r="D134" s="180">
        <v>1.97</v>
      </c>
    </row>
    <row r="135" spans="4:4" ht="19" x14ac:dyDescent="0.2">
      <c r="D135" s="180">
        <v>1.95</v>
      </c>
    </row>
    <row r="136" spans="4:4" ht="19" x14ac:dyDescent="0.2">
      <c r="D136" s="180">
        <v>1.89</v>
      </c>
    </row>
    <row r="137" spans="4:4" ht="19" x14ac:dyDescent="0.2">
      <c r="D137" s="180">
        <v>2.14</v>
      </c>
    </row>
    <row r="138" spans="4:4" ht="19" x14ac:dyDescent="0.2">
      <c r="D138" s="180">
        <v>2.16</v>
      </c>
    </row>
    <row r="139" spans="4:4" ht="19" x14ac:dyDescent="0.2">
      <c r="D139" s="180">
        <v>2.1</v>
      </c>
    </row>
    <row r="140" spans="4:4" ht="19" x14ac:dyDescent="0.2">
      <c r="D140" s="180">
        <v>2.0299999999999998</v>
      </c>
    </row>
    <row r="141" spans="4:4" ht="19" x14ac:dyDescent="0.2">
      <c r="D141" s="180">
        <v>2.0099999999999998</v>
      </c>
    </row>
    <row r="142" spans="4:4" ht="19" x14ac:dyDescent="0.2">
      <c r="D142" s="180">
        <v>2.04</v>
      </c>
    </row>
    <row r="143" spans="4:4" ht="19" x14ac:dyDescent="0.2">
      <c r="D143" s="180">
        <v>2.02</v>
      </c>
    </row>
  </sheetData>
  <mergeCells count="7">
    <mergeCell ref="F45:G45"/>
    <mergeCell ref="S24:U28"/>
    <mergeCell ref="F21:G21"/>
    <mergeCell ref="F29:G29"/>
    <mergeCell ref="H30:J32"/>
    <mergeCell ref="F34:G34"/>
    <mergeCell ref="H35:J43"/>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3B68F-A6D6-CF4A-9E28-1EAB1D2FD73B}">
  <dimension ref="B2:V153"/>
  <sheetViews>
    <sheetView workbookViewId="0">
      <selection activeCell="R52" sqref="R52"/>
    </sheetView>
  </sheetViews>
  <sheetFormatPr baseColWidth="10" defaultRowHeight="16" x14ac:dyDescent="0.2"/>
  <cols>
    <col min="6" max="6" width="14" customWidth="1"/>
    <col min="9" max="9" width="13.1640625" customWidth="1"/>
    <col min="10" max="10" width="12.33203125" customWidth="1"/>
  </cols>
  <sheetData>
    <row r="2" spans="2:15" x14ac:dyDescent="0.2">
      <c r="B2" s="184">
        <v>2.7</v>
      </c>
      <c r="C2" s="184">
        <v>3.4</v>
      </c>
      <c r="D2" s="184">
        <v>3.5</v>
      </c>
      <c r="E2" s="184">
        <v>4</v>
      </c>
      <c r="F2" s="184">
        <v>3.1</v>
      </c>
      <c r="G2" s="184">
        <v>3.3</v>
      </c>
      <c r="H2" s="184">
        <v>3.5</v>
      </c>
      <c r="I2" s="184">
        <v>3.3</v>
      </c>
      <c r="J2" s="184">
        <v>3.2</v>
      </c>
      <c r="K2" s="184">
        <v>3.4</v>
      </c>
      <c r="L2" s="184">
        <v>2.6</v>
      </c>
      <c r="M2" s="184">
        <v>3.1</v>
      </c>
    </row>
    <row r="3" spans="2:15" x14ac:dyDescent="0.2">
      <c r="B3" s="184">
        <v>3.4</v>
      </c>
      <c r="C3" s="184">
        <v>2.7</v>
      </c>
      <c r="D3" s="184">
        <v>3.3</v>
      </c>
      <c r="E3" s="184">
        <v>3.6</v>
      </c>
      <c r="F3" s="184">
        <v>2.9</v>
      </c>
      <c r="G3" s="184">
        <v>2.8</v>
      </c>
      <c r="H3" s="184">
        <v>3</v>
      </c>
      <c r="I3" s="184">
        <v>3.6</v>
      </c>
      <c r="J3" s="184">
        <v>3.5</v>
      </c>
      <c r="K3" s="184">
        <v>2.8</v>
      </c>
      <c r="L3" s="184">
        <v>3.1</v>
      </c>
      <c r="M3" s="184">
        <v>2.8</v>
      </c>
      <c r="O3" s="2"/>
    </row>
    <row r="4" spans="2:15" x14ac:dyDescent="0.2">
      <c r="B4" s="184">
        <v>2.2000000000000002</v>
      </c>
      <c r="C4" s="184">
        <v>3.4</v>
      </c>
      <c r="D4" s="184">
        <v>3.3</v>
      </c>
      <c r="E4" s="184">
        <v>2.5</v>
      </c>
      <c r="F4" s="184">
        <v>3.4</v>
      </c>
      <c r="G4" s="184">
        <v>2.7</v>
      </c>
      <c r="H4" s="184">
        <v>2.9</v>
      </c>
      <c r="I4" s="184">
        <v>3.6</v>
      </c>
      <c r="J4" s="184">
        <v>3.3</v>
      </c>
      <c r="K4" s="184">
        <v>2.7</v>
      </c>
      <c r="L4" s="184">
        <v>3.7</v>
      </c>
      <c r="M4" s="184">
        <v>3.3</v>
      </c>
      <c r="O4" s="2"/>
    </row>
    <row r="5" spans="2:15" x14ac:dyDescent="0.2">
      <c r="B5" s="184">
        <v>3.2</v>
      </c>
      <c r="C5" s="184">
        <v>3.1</v>
      </c>
      <c r="D5" s="184">
        <v>2.9</v>
      </c>
      <c r="E5" s="184">
        <v>2.7</v>
      </c>
      <c r="F5" s="184">
        <v>3.3</v>
      </c>
      <c r="G5" s="184">
        <v>3.6</v>
      </c>
      <c r="H5" s="184">
        <v>3.3</v>
      </c>
      <c r="I5" s="184">
        <v>3.1</v>
      </c>
      <c r="J5" s="184">
        <v>3.1</v>
      </c>
      <c r="K5" s="184">
        <v>3.4</v>
      </c>
      <c r="L5" s="184">
        <v>3</v>
      </c>
      <c r="M5" s="184">
        <v>3.5</v>
      </c>
      <c r="O5" s="2"/>
    </row>
    <row r="6" spans="2:15" x14ac:dyDescent="0.2">
      <c r="B6" s="184">
        <v>3.4</v>
      </c>
      <c r="C6" s="184">
        <v>3</v>
      </c>
      <c r="D6" s="184">
        <v>2.9</v>
      </c>
      <c r="E6" s="184">
        <v>3.2</v>
      </c>
      <c r="F6" s="184">
        <v>3.2</v>
      </c>
      <c r="G6" s="184">
        <v>3</v>
      </c>
      <c r="H6" s="184">
        <v>3.3</v>
      </c>
      <c r="I6" s="184">
        <v>3.9</v>
      </c>
      <c r="J6" s="184">
        <v>3.3</v>
      </c>
      <c r="K6" s="184">
        <v>3</v>
      </c>
      <c r="L6" s="184">
        <v>3</v>
      </c>
      <c r="M6" s="184">
        <v>3.5</v>
      </c>
    </row>
    <row r="7" spans="2:15" x14ac:dyDescent="0.2">
      <c r="B7" s="184">
        <v>2.9</v>
      </c>
      <c r="C7" s="184">
        <v>3.5</v>
      </c>
      <c r="D7" s="184">
        <v>3.1</v>
      </c>
      <c r="E7" s="184">
        <v>3.5</v>
      </c>
      <c r="F7" s="184">
        <v>3</v>
      </c>
      <c r="G7" s="184">
        <v>3.1</v>
      </c>
      <c r="H7" s="184">
        <v>2.9</v>
      </c>
      <c r="I7" s="184">
        <v>3.1</v>
      </c>
      <c r="J7" s="184">
        <v>3.1</v>
      </c>
      <c r="K7" s="184">
        <v>2.9</v>
      </c>
      <c r="L7" s="184">
        <v>2.9</v>
      </c>
      <c r="M7" s="184">
        <v>3.4</v>
      </c>
    </row>
    <row r="8" spans="2:15" x14ac:dyDescent="0.2">
      <c r="B8" s="184">
        <v>3.4</v>
      </c>
      <c r="C8" s="184">
        <v>3.1</v>
      </c>
      <c r="D8" s="184">
        <v>3.2</v>
      </c>
      <c r="E8" s="184">
        <v>3.3</v>
      </c>
      <c r="F8" s="184">
        <v>3.2</v>
      </c>
      <c r="G8" s="184">
        <v>3.3</v>
      </c>
      <c r="H8" s="184">
        <v>3</v>
      </c>
      <c r="I8" s="184">
        <v>3.2</v>
      </c>
      <c r="J8" s="184">
        <v>3.5</v>
      </c>
      <c r="K8" s="184">
        <v>3.4</v>
      </c>
      <c r="L8" s="184">
        <v>3.8</v>
      </c>
      <c r="M8" s="184">
        <v>3.2</v>
      </c>
    </row>
    <row r="9" spans="2:15" x14ac:dyDescent="0.2">
      <c r="B9" s="184">
        <v>2.9</v>
      </c>
      <c r="C9" s="184">
        <v>3</v>
      </c>
      <c r="D9" s="184">
        <v>3.2</v>
      </c>
      <c r="E9" s="184">
        <v>3.2</v>
      </c>
      <c r="F9" s="184">
        <v>3.3</v>
      </c>
      <c r="G9" s="184">
        <v>3.8</v>
      </c>
      <c r="H9" s="184"/>
      <c r="I9" s="184"/>
      <c r="J9" s="184"/>
      <c r="K9" s="184"/>
      <c r="L9" s="184"/>
      <c r="M9" s="184"/>
    </row>
    <row r="11" spans="2:15" x14ac:dyDescent="0.2">
      <c r="B11" s="29" t="s">
        <v>238</v>
      </c>
      <c r="C11" s="31">
        <f>MAX(B2:M9)-MIN(B2:M9)</f>
        <v>1.7999999999999998</v>
      </c>
      <c r="F11" s="29" t="s">
        <v>244</v>
      </c>
      <c r="G11" s="29" t="s">
        <v>245</v>
      </c>
      <c r="H11" s="29" t="s">
        <v>77</v>
      </c>
      <c r="I11" s="29" t="s">
        <v>263</v>
      </c>
      <c r="J11" s="29" t="s">
        <v>251</v>
      </c>
      <c r="K11" s="29" t="s">
        <v>254</v>
      </c>
      <c r="L11" s="29" t="s">
        <v>90</v>
      </c>
      <c r="M11" s="29" t="s">
        <v>255</v>
      </c>
      <c r="N11" s="29" t="s">
        <v>256</v>
      </c>
    </row>
    <row r="12" spans="2:15" x14ac:dyDescent="0.2">
      <c r="B12" s="29" t="s">
        <v>239</v>
      </c>
      <c r="C12" s="31">
        <f>1+(3.3*LOG(C17))</f>
        <v>7.4490002811497718</v>
      </c>
      <c r="D12" s="2">
        <f>ROUNDUP(C12,0)</f>
        <v>8</v>
      </c>
      <c r="F12" s="33">
        <f>(MIN(B2:M9)-C16)+0.005</f>
        <v>2.1850000000000001</v>
      </c>
      <c r="G12" s="33">
        <f>(F12+$D$13)</f>
        <v>2.415</v>
      </c>
      <c r="H12" s="29">
        <f>COUNTIFS(B2:K9,"&lt;2.415")</f>
        <v>1</v>
      </c>
      <c r="I12" s="33">
        <f>+H12/$H$20</f>
        <v>1.1111111111111112E-2</v>
      </c>
      <c r="J12" s="29">
        <f>+H12</f>
        <v>1</v>
      </c>
      <c r="K12" s="33">
        <f t="shared" ref="K12:K19" si="0">+(F12+G12)/2</f>
        <v>2.2999999999999998</v>
      </c>
      <c r="L12" s="29">
        <v>-3</v>
      </c>
      <c r="M12" s="29">
        <f t="shared" ref="M12:M19" si="1">+H12*L12</f>
        <v>-3</v>
      </c>
      <c r="N12" s="29">
        <f t="shared" ref="N12:N19" si="2">H12*(L12^2)</f>
        <v>9</v>
      </c>
    </row>
    <row r="13" spans="2:15" x14ac:dyDescent="0.2">
      <c r="B13" s="29" t="s">
        <v>240</v>
      </c>
      <c r="C13" s="33">
        <f>+C11/D12</f>
        <v>0.22499999999999998</v>
      </c>
      <c r="D13" s="30">
        <v>0.23</v>
      </c>
      <c r="F13" s="33">
        <f>+G12</f>
        <v>2.415</v>
      </c>
      <c r="G13" s="33">
        <f>(F13+$D$13)</f>
        <v>2.645</v>
      </c>
      <c r="H13" s="29">
        <f>COUNTIFS($B$2:$M$9,"&gt;2.415",$B$2:$M$9,"&lt;2.645")</f>
        <v>2</v>
      </c>
      <c r="I13" s="33">
        <f t="shared" ref="I13:I19" si="3">+H13/$H$20</f>
        <v>2.2222222222222223E-2</v>
      </c>
      <c r="J13" s="29">
        <f t="shared" ref="J13:J19" si="4">+J12+H13</f>
        <v>3</v>
      </c>
      <c r="K13" s="33">
        <f t="shared" si="0"/>
        <v>2.5300000000000002</v>
      </c>
      <c r="L13" s="29">
        <v>-2</v>
      </c>
      <c r="M13" s="29">
        <f t="shared" si="1"/>
        <v>-4</v>
      </c>
      <c r="N13" s="29">
        <f t="shared" si="2"/>
        <v>8</v>
      </c>
    </row>
    <row r="14" spans="2:15" x14ac:dyDescent="0.2">
      <c r="B14" s="29" t="s">
        <v>241</v>
      </c>
      <c r="C14" s="29">
        <f>+D13*D12</f>
        <v>1.84</v>
      </c>
      <c r="F14" s="33">
        <f t="shared" ref="F14:F18" si="5">+G13</f>
        <v>2.645</v>
      </c>
      <c r="G14" s="33">
        <f t="shared" ref="G14:G19" si="6">(F14+$D$13)</f>
        <v>2.875</v>
      </c>
      <c r="H14" s="29">
        <f>COUNTIFS($B$2:$M$9,"&gt;2.645",$B$2:$M$9,"&lt;2.875")</f>
        <v>8</v>
      </c>
      <c r="I14" s="33">
        <f t="shared" si="3"/>
        <v>8.8888888888888892E-2</v>
      </c>
      <c r="J14" s="29">
        <f t="shared" si="4"/>
        <v>11</v>
      </c>
      <c r="K14" s="33">
        <f t="shared" si="0"/>
        <v>2.76</v>
      </c>
      <c r="L14" s="29">
        <v>-1</v>
      </c>
      <c r="M14" s="29">
        <f t="shared" si="1"/>
        <v>-8</v>
      </c>
      <c r="N14" s="29">
        <f t="shared" si="2"/>
        <v>8</v>
      </c>
    </row>
    <row r="15" spans="2:15" x14ac:dyDescent="0.2">
      <c r="B15" s="29" t="s">
        <v>242</v>
      </c>
      <c r="C15" s="33">
        <f>+C14-C11</f>
        <v>4.0000000000000258E-2</v>
      </c>
      <c r="F15" s="33">
        <f t="shared" si="5"/>
        <v>2.875</v>
      </c>
      <c r="G15" s="33">
        <f t="shared" si="6"/>
        <v>3.105</v>
      </c>
      <c r="H15" s="29">
        <f>COUNTIFS($B$2:$M$9,"&gt;2.875",$B$2:$M$9,"&lt;3.105")</f>
        <v>29</v>
      </c>
      <c r="I15" s="33">
        <f t="shared" si="3"/>
        <v>0.32222222222222224</v>
      </c>
      <c r="J15" s="29">
        <f t="shared" si="4"/>
        <v>40</v>
      </c>
      <c r="K15" s="33">
        <f t="shared" si="0"/>
        <v>2.99</v>
      </c>
      <c r="L15" s="29">
        <v>0</v>
      </c>
      <c r="M15" s="29">
        <f t="shared" si="1"/>
        <v>0</v>
      </c>
      <c r="N15" s="29">
        <f t="shared" si="2"/>
        <v>0</v>
      </c>
    </row>
    <row r="16" spans="2:15" x14ac:dyDescent="0.2">
      <c r="B16" s="29" t="s">
        <v>243</v>
      </c>
      <c r="C16" s="33">
        <f>+C15/2</f>
        <v>2.0000000000000129E-2</v>
      </c>
      <c r="F16" s="33">
        <f t="shared" si="5"/>
        <v>3.105</v>
      </c>
      <c r="G16" s="33">
        <f t="shared" si="6"/>
        <v>3.335</v>
      </c>
      <c r="H16" s="29">
        <f>COUNTIFS($B$2:$M$9,"&gt;3.105",$B$2:$M$9,"&lt;3.335")</f>
        <v>23</v>
      </c>
      <c r="I16" s="33">
        <f t="shared" si="3"/>
        <v>0.25555555555555554</v>
      </c>
      <c r="J16" s="29">
        <f t="shared" si="4"/>
        <v>63</v>
      </c>
      <c r="K16" s="33">
        <f>+(F16+G16)/2</f>
        <v>3.2199999999999998</v>
      </c>
      <c r="L16" s="29">
        <v>1</v>
      </c>
      <c r="M16" s="29">
        <f t="shared" si="1"/>
        <v>23</v>
      </c>
      <c r="N16" s="29">
        <f t="shared" si="2"/>
        <v>23</v>
      </c>
    </row>
    <row r="17" spans="2:22" x14ac:dyDescent="0.2">
      <c r="B17" s="29" t="s">
        <v>250</v>
      </c>
      <c r="C17" s="29">
        <f>COUNT(B2:M9)</f>
        <v>90</v>
      </c>
      <c r="F17" s="33">
        <f t="shared" si="5"/>
        <v>3.335</v>
      </c>
      <c r="G17" s="33">
        <f t="shared" si="6"/>
        <v>3.5649999999999999</v>
      </c>
      <c r="H17" s="29">
        <f>COUNTIFS($B$2:$M$9,"&gt;3.335",$B$2:$M$9,"&lt;3.565")</f>
        <v>18</v>
      </c>
      <c r="I17" s="33">
        <f t="shared" si="3"/>
        <v>0.2</v>
      </c>
      <c r="J17" s="29">
        <f t="shared" si="4"/>
        <v>81</v>
      </c>
      <c r="K17" s="33">
        <f t="shared" si="0"/>
        <v>3.45</v>
      </c>
      <c r="L17" s="29">
        <v>2</v>
      </c>
      <c r="M17" s="29">
        <f t="shared" si="1"/>
        <v>36</v>
      </c>
      <c r="N17" s="29">
        <f t="shared" si="2"/>
        <v>72</v>
      </c>
    </row>
    <row r="18" spans="2:22" x14ac:dyDescent="0.2">
      <c r="F18" s="33">
        <f t="shared" si="5"/>
        <v>3.5649999999999999</v>
      </c>
      <c r="G18" s="33">
        <f t="shared" si="6"/>
        <v>3.7949999999999999</v>
      </c>
      <c r="H18" s="29">
        <f>COUNTIFS($B$2:$M$9,"&gt;3.565",$B$2:$M$9,"&lt;3.795")</f>
        <v>5</v>
      </c>
      <c r="I18" s="33">
        <f t="shared" si="3"/>
        <v>5.5555555555555552E-2</v>
      </c>
      <c r="J18" s="29">
        <f t="shared" si="4"/>
        <v>86</v>
      </c>
      <c r="K18" s="33">
        <f t="shared" si="0"/>
        <v>3.6799999999999997</v>
      </c>
      <c r="L18" s="29">
        <v>3</v>
      </c>
      <c r="M18" s="29">
        <f t="shared" si="1"/>
        <v>15</v>
      </c>
      <c r="N18" s="29">
        <f t="shared" si="2"/>
        <v>45</v>
      </c>
    </row>
    <row r="19" spans="2:22" x14ac:dyDescent="0.2">
      <c r="F19" s="33">
        <f>G18</f>
        <v>3.7949999999999999</v>
      </c>
      <c r="G19" s="33">
        <f t="shared" si="6"/>
        <v>4.0250000000000004</v>
      </c>
      <c r="H19" s="29">
        <f>COUNTIFS($B$2:$M$9,"&gt;3.795",$B$2:$M$9,"&lt;4.025")</f>
        <v>4</v>
      </c>
      <c r="I19" s="33">
        <f t="shared" si="3"/>
        <v>4.4444444444444446E-2</v>
      </c>
      <c r="J19" s="29">
        <f t="shared" si="4"/>
        <v>90</v>
      </c>
      <c r="K19" s="33">
        <f t="shared" si="0"/>
        <v>3.91</v>
      </c>
      <c r="L19" s="29">
        <v>4</v>
      </c>
      <c r="M19" s="29">
        <f t="shared" si="1"/>
        <v>16</v>
      </c>
      <c r="N19" s="29">
        <f t="shared" si="2"/>
        <v>64</v>
      </c>
    </row>
    <row r="20" spans="2:22" ht="17" thickBot="1" x14ac:dyDescent="0.25">
      <c r="G20" s="30"/>
      <c r="H20" s="29">
        <f>SUM(H12:H19)</f>
        <v>90</v>
      </c>
      <c r="I20" s="30"/>
      <c r="M20" s="29">
        <f>SUM(M12:M19)</f>
        <v>75</v>
      </c>
      <c r="N20" s="29">
        <f>SUM(N12:N19)</f>
        <v>229</v>
      </c>
    </row>
    <row r="21" spans="2:22" x14ac:dyDescent="0.2">
      <c r="E21" s="46" t="s">
        <v>258</v>
      </c>
      <c r="F21" s="307" t="s">
        <v>246</v>
      </c>
      <c r="G21" s="309"/>
    </row>
    <row r="22" spans="2:22" x14ac:dyDescent="0.2">
      <c r="F22" s="149" t="s">
        <v>247</v>
      </c>
      <c r="G22" s="150">
        <f>+H15-H14</f>
        <v>21</v>
      </c>
    </row>
    <row r="23" spans="2:22" x14ac:dyDescent="0.2">
      <c r="F23" s="149" t="s">
        <v>248</v>
      </c>
      <c r="G23" s="150">
        <f>+H15-H16</f>
        <v>6</v>
      </c>
    </row>
    <row r="24" spans="2:22" x14ac:dyDescent="0.2">
      <c r="F24" s="149" t="s">
        <v>249</v>
      </c>
      <c r="G24" s="175">
        <f>+F15+((G22/(G22+G23))*D13)</f>
        <v>3.0538888888888889</v>
      </c>
      <c r="T24" s="306" t="s">
        <v>329</v>
      </c>
      <c r="U24" s="306"/>
      <c r="V24" s="306"/>
    </row>
    <row r="25" spans="2:22" x14ac:dyDescent="0.2">
      <c r="F25" s="149" t="s">
        <v>253</v>
      </c>
      <c r="G25" s="150">
        <f>(C17+1)/2</f>
        <v>45.5</v>
      </c>
      <c r="T25" s="306"/>
      <c r="U25" s="306"/>
      <c r="V25" s="306"/>
    </row>
    <row r="26" spans="2:22" x14ac:dyDescent="0.2">
      <c r="F26" s="149" t="s">
        <v>252</v>
      </c>
      <c r="G26" s="175">
        <f>F15+((((C17/2)-J14)/H15)*D13)</f>
        <v>3.1446551724137932</v>
      </c>
      <c r="T26" s="306"/>
      <c r="U26" s="306"/>
      <c r="V26" s="306"/>
    </row>
    <row r="27" spans="2:22" ht="17" thickBot="1" x14ac:dyDescent="0.25">
      <c r="F27" s="152" t="s">
        <v>257</v>
      </c>
      <c r="G27" s="176">
        <f>+K15+((M20*D13)/C17)</f>
        <v>3.1816666666666671</v>
      </c>
      <c r="T27" s="306"/>
      <c r="U27" s="306"/>
      <c r="V27" s="306"/>
    </row>
    <row r="28" spans="2:22" ht="17" thickBot="1" x14ac:dyDescent="0.25">
      <c r="T28" s="306"/>
      <c r="U28" s="306"/>
      <c r="V28" s="306"/>
    </row>
    <row r="29" spans="2:22" x14ac:dyDescent="0.2">
      <c r="E29" s="46" t="s">
        <v>259</v>
      </c>
      <c r="F29" s="307" t="s">
        <v>246</v>
      </c>
      <c r="G29" s="308"/>
      <c r="H29" s="154"/>
      <c r="I29" s="154"/>
      <c r="J29" s="155"/>
    </row>
    <row r="30" spans="2:22" x14ac:dyDescent="0.2">
      <c r="F30" s="149" t="s">
        <v>302</v>
      </c>
      <c r="G30" s="31">
        <f>D13*SQRT((N20/C17)-((M20^2)/(C17^2)))</f>
        <v>0.31283382170091517</v>
      </c>
      <c r="H30" s="310" t="s">
        <v>331</v>
      </c>
      <c r="I30" s="310"/>
      <c r="J30" s="311"/>
    </row>
    <row r="31" spans="2:22" x14ac:dyDescent="0.2">
      <c r="F31" s="149" t="s">
        <v>260</v>
      </c>
      <c r="G31" s="31">
        <f>G27+(3*G30)</f>
        <v>4.1201681317694128</v>
      </c>
      <c r="H31" s="310"/>
      <c r="I31" s="310"/>
      <c r="J31" s="311"/>
    </row>
    <row r="32" spans="2:22" ht="17" thickBot="1" x14ac:dyDescent="0.25">
      <c r="F32" s="152" t="s">
        <v>261</v>
      </c>
      <c r="G32" s="156">
        <f>+G27-(3*G30)</f>
        <v>2.2431652015639214</v>
      </c>
      <c r="H32" s="312"/>
      <c r="I32" s="312"/>
      <c r="J32" s="313"/>
    </row>
    <row r="33" spans="5:13" ht="17" thickBot="1" x14ac:dyDescent="0.25"/>
    <row r="34" spans="5:13" x14ac:dyDescent="0.2">
      <c r="E34" s="46" t="s">
        <v>262</v>
      </c>
      <c r="F34" s="307" t="s">
        <v>384</v>
      </c>
      <c r="G34" s="308"/>
      <c r="H34" s="154"/>
      <c r="I34" s="154"/>
      <c r="J34" s="155"/>
    </row>
    <row r="35" spans="5:13" x14ac:dyDescent="0.2">
      <c r="F35" s="149" t="s">
        <v>264</v>
      </c>
      <c r="G35" s="29" t="s">
        <v>77</v>
      </c>
      <c r="H35" s="310" t="s">
        <v>405</v>
      </c>
      <c r="I35" s="310"/>
      <c r="J35" s="311"/>
    </row>
    <row r="36" spans="5:13" x14ac:dyDescent="0.2">
      <c r="F36" s="149" t="s">
        <v>376</v>
      </c>
      <c r="G36" s="29">
        <f>+H12</f>
        <v>1</v>
      </c>
      <c r="H36" s="310"/>
      <c r="I36" s="310"/>
      <c r="J36" s="311"/>
    </row>
    <row r="37" spans="5:13" x14ac:dyDescent="0.2">
      <c r="F37" s="149" t="s">
        <v>377</v>
      </c>
      <c r="G37" s="29">
        <f t="shared" ref="G37:G43" si="7">+H13</f>
        <v>2</v>
      </c>
      <c r="H37" s="310"/>
      <c r="I37" s="310"/>
      <c r="J37" s="311"/>
    </row>
    <row r="38" spans="5:13" x14ac:dyDescent="0.2">
      <c r="F38" s="149" t="s">
        <v>378</v>
      </c>
      <c r="G38" s="29">
        <f t="shared" si="7"/>
        <v>8</v>
      </c>
      <c r="H38" s="310"/>
      <c r="I38" s="310"/>
      <c r="J38" s="311"/>
    </row>
    <row r="39" spans="5:13" x14ac:dyDescent="0.2">
      <c r="F39" s="149" t="s">
        <v>379</v>
      </c>
      <c r="G39" s="29">
        <f t="shared" si="7"/>
        <v>29</v>
      </c>
      <c r="H39" s="310"/>
      <c r="I39" s="310"/>
      <c r="J39" s="311"/>
    </row>
    <row r="40" spans="5:13" x14ac:dyDescent="0.2">
      <c r="F40" s="149" t="s">
        <v>380</v>
      </c>
      <c r="G40" s="29">
        <f t="shared" si="7"/>
        <v>23</v>
      </c>
      <c r="H40" s="310"/>
      <c r="I40" s="310"/>
      <c r="J40" s="311"/>
    </row>
    <row r="41" spans="5:13" x14ac:dyDescent="0.2">
      <c r="F41" s="149" t="s">
        <v>381</v>
      </c>
      <c r="G41" s="29">
        <f t="shared" si="7"/>
        <v>18</v>
      </c>
      <c r="H41" s="310"/>
      <c r="I41" s="310"/>
      <c r="J41" s="311"/>
    </row>
    <row r="42" spans="5:13" x14ac:dyDescent="0.2">
      <c r="F42" s="149" t="s">
        <v>382</v>
      </c>
      <c r="G42" s="29">
        <f t="shared" si="7"/>
        <v>5</v>
      </c>
      <c r="H42" s="310"/>
      <c r="I42" s="310"/>
      <c r="J42" s="311"/>
    </row>
    <row r="43" spans="5:13" ht="17" thickBot="1" x14ac:dyDescent="0.25">
      <c r="F43" s="152" t="s">
        <v>383</v>
      </c>
      <c r="G43" s="158">
        <f t="shared" si="7"/>
        <v>4</v>
      </c>
      <c r="H43" s="312"/>
      <c r="I43" s="312"/>
      <c r="J43" s="313"/>
    </row>
    <row r="44" spans="5:13" ht="17" thickBot="1" x14ac:dyDescent="0.25"/>
    <row r="45" spans="5:13" x14ac:dyDescent="0.2">
      <c r="E45" s="46" t="s">
        <v>277</v>
      </c>
      <c r="F45" s="307" t="s">
        <v>246</v>
      </c>
      <c r="G45" s="308"/>
      <c r="H45" s="94"/>
      <c r="I45" s="94"/>
      <c r="J45" s="94"/>
      <c r="K45" s="94"/>
      <c r="L45" s="94"/>
      <c r="M45" s="161"/>
    </row>
    <row r="46" spans="5:13" x14ac:dyDescent="0.2">
      <c r="F46" s="149" t="s">
        <v>292</v>
      </c>
      <c r="G46" s="33">
        <f>((1/C17)*K60)/(G30^4)</f>
        <v>3.2301220139057985</v>
      </c>
      <c r="H46" t="s">
        <v>309</v>
      </c>
      <c r="M46" s="157"/>
    </row>
    <row r="47" spans="5:13" x14ac:dyDescent="0.2">
      <c r="F47" s="149" t="s">
        <v>293</v>
      </c>
      <c r="G47" s="33">
        <f>(1/C17)*(M60/(G30^3))</f>
        <v>0.17074053285861818</v>
      </c>
      <c r="H47" t="s">
        <v>385</v>
      </c>
      <c r="M47" s="157"/>
    </row>
    <row r="48" spans="5:13" x14ac:dyDescent="0.2">
      <c r="F48" s="162"/>
      <c r="M48" s="157"/>
    </row>
    <row r="49" spans="4:13" x14ac:dyDescent="0.2">
      <c r="F49" s="162"/>
      <c r="M49" s="157"/>
    </row>
    <row r="50" spans="4:13" x14ac:dyDescent="0.2">
      <c r="F50" s="162"/>
      <c r="M50" s="157"/>
    </row>
    <row r="51" spans="4:13" x14ac:dyDescent="0.2">
      <c r="F51" s="149" t="str">
        <f>+K11</f>
        <v>Punto medio</v>
      </c>
      <c r="G51" s="29" t="str">
        <f>+H11</f>
        <v>Fo</v>
      </c>
      <c r="H51" s="29" t="s">
        <v>294</v>
      </c>
      <c r="I51" s="29" t="s">
        <v>297</v>
      </c>
      <c r="J51" s="29" t="s">
        <v>298</v>
      </c>
      <c r="K51" s="29"/>
      <c r="L51" s="29" t="s">
        <v>299</v>
      </c>
      <c r="M51" s="157"/>
    </row>
    <row r="52" spans="4:13" x14ac:dyDescent="0.2">
      <c r="F52" s="149">
        <f t="shared" ref="F52:F59" si="8">+K12</f>
        <v>2.2999999999999998</v>
      </c>
      <c r="G52" s="29">
        <f t="shared" ref="G52:G59" si="9">+H12</f>
        <v>1</v>
      </c>
      <c r="H52" s="29">
        <f>+F52*G52</f>
        <v>2.2999999999999998</v>
      </c>
      <c r="I52" s="31">
        <f>+F52-$G$27</f>
        <v>-0.88166666666666726</v>
      </c>
      <c r="J52" s="181">
        <f>I52^4</f>
        <v>0.60425142963734724</v>
      </c>
      <c r="K52" s="31">
        <f>+J52*G52</f>
        <v>0.60425142963734724</v>
      </c>
      <c r="L52" s="181">
        <f>I52^3</f>
        <v>-0.68535133796296432</v>
      </c>
      <c r="M52" s="163">
        <f>+L52*G52</f>
        <v>-0.68535133796296432</v>
      </c>
    </row>
    <row r="53" spans="4:13" x14ac:dyDescent="0.2">
      <c r="F53" s="149">
        <f t="shared" si="8"/>
        <v>2.5300000000000002</v>
      </c>
      <c r="G53" s="29">
        <f t="shared" si="9"/>
        <v>2</v>
      </c>
      <c r="H53" s="29">
        <f t="shared" ref="H53:H59" si="10">+F53*G53</f>
        <v>5.0600000000000005</v>
      </c>
      <c r="I53" s="31">
        <f t="shared" ref="I53:I59" si="11">+F53-$G$27</f>
        <v>-0.65166666666666684</v>
      </c>
      <c r="J53" s="181">
        <f t="shared" ref="J53:J59" si="12">I53^4</f>
        <v>0.18034413704475327</v>
      </c>
      <c r="K53" s="31">
        <f t="shared" ref="K53:K59" si="13">+J53*G53</f>
        <v>0.36068827408950654</v>
      </c>
      <c r="L53" s="181">
        <f t="shared" ref="L53:L59" si="14">I53^3</f>
        <v>-0.27674292129629652</v>
      </c>
      <c r="M53" s="163">
        <f t="shared" ref="M53:M59" si="15">+L53*G53</f>
        <v>-0.55348584259259304</v>
      </c>
    </row>
    <row r="54" spans="4:13" x14ac:dyDescent="0.2">
      <c r="F54" s="149">
        <f t="shared" si="8"/>
        <v>2.76</v>
      </c>
      <c r="G54" s="29">
        <f t="shared" si="9"/>
        <v>8</v>
      </c>
      <c r="H54" s="29">
        <f t="shared" si="10"/>
        <v>22.08</v>
      </c>
      <c r="I54" s="31">
        <f t="shared" si="11"/>
        <v>-0.4216666666666673</v>
      </c>
      <c r="J54" s="181">
        <f t="shared" si="12"/>
        <v>3.1613827785494014E-2</v>
      </c>
      <c r="K54" s="31">
        <f t="shared" si="13"/>
        <v>0.25291062228395211</v>
      </c>
      <c r="L54" s="181">
        <f t="shared" si="14"/>
        <v>-7.497350462962997E-2</v>
      </c>
      <c r="M54" s="163">
        <f t="shared" si="15"/>
        <v>-0.59978803703703976</v>
      </c>
    </row>
    <row r="55" spans="4:13" x14ac:dyDescent="0.2">
      <c r="F55" s="149">
        <f t="shared" si="8"/>
        <v>2.99</v>
      </c>
      <c r="G55" s="29">
        <f t="shared" si="9"/>
        <v>29</v>
      </c>
      <c r="H55" s="29">
        <f t="shared" si="10"/>
        <v>86.710000000000008</v>
      </c>
      <c r="I55" s="31">
        <f t="shared" si="11"/>
        <v>-0.19166666666666687</v>
      </c>
      <c r="J55" s="181">
        <f t="shared" si="12"/>
        <v>1.3495418595679072E-3</v>
      </c>
      <c r="K55" s="31">
        <f t="shared" si="13"/>
        <v>3.9136713927469306E-2</v>
      </c>
      <c r="L55" s="181">
        <f t="shared" si="14"/>
        <v>-7.041087962962986E-3</v>
      </c>
      <c r="M55" s="163">
        <f t="shared" si="15"/>
        <v>-0.20419155092592658</v>
      </c>
    </row>
    <row r="56" spans="4:13" x14ac:dyDescent="0.2">
      <c r="F56" s="149">
        <f t="shared" si="8"/>
        <v>3.2199999999999998</v>
      </c>
      <c r="G56" s="29">
        <f t="shared" si="9"/>
        <v>23</v>
      </c>
      <c r="H56" s="29">
        <f t="shared" si="10"/>
        <v>74.059999999999988</v>
      </c>
      <c r="I56" s="31">
        <f t="shared" si="11"/>
        <v>3.8333333333332664E-2</v>
      </c>
      <c r="J56" s="181">
        <f t="shared" si="12"/>
        <v>2.1592669753084911E-6</v>
      </c>
      <c r="K56" s="31">
        <f t="shared" si="13"/>
        <v>4.9663140432095296E-5</v>
      </c>
      <c r="L56" s="181">
        <f t="shared" si="14"/>
        <v>5.6328703703700752E-5</v>
      </c>
      <c r="M56" s="163">
        <f t="shared" si="15"/>
        <v>1.2955601851851173E-3</v>
      </c>
    </row>
    <row r="57" spans="4:13" x14ac:dyDescent="0.2">
      <c r="F57" s="149">
        <f t="shared" si="8"/>
        <v>3.45</v>
      </c>
      <c r="G57" s="29">
        <f t="shared" si="9"/>
        <v>18</v>
      </c>
      <c r="H57" s="29">
        <f t="shared" si="10"/>
        <v>62.1</v>
      </c>
      <c r="I57" s="31">
        <f t="shared" si="11"/>
        <v>0.26833333333333309</v>
      </c>
      <c r="J57" s="181">
        <f t="shared" si="12"/>
        <v>5.1844000077160314E-3</v>
      </c>
      <c r="K57" s="31">
        <f t="shared" si="13"/>
        <v>9.3319200138888558E-2</v>
      </c>
      <c r="L57" s="181">
        <f t="shared" si="14"/>
        <v>1.9320745370370318E-2</v>
      </c>
      <c r="M57" s="163">
        <f t="shared" si="15"/>
        <v>0.34777341666666572</v>
      </c>
    </row>
    <row r="58" spans="4:13" x14ac:dyDescent="0.2">
      <c r="F58" s="149">
        <f t="shared" si="8"/>
        <v>3.6799999999999997</v>
      </c>
      <c r="G58" s="29">
        <f t="shared" si="9"/>
        <v>5</v>
      </c>
      <c r="H58" s="29">
        <f t="shared" si="10"/>
        <v>18.399999999999999</v>
      </c>
      <c r="I58" s="31">
        <f t="shared" si="11"/>
        <v>0.49833333333333263</v>
      </c>
      <c r="J58" s="181">
        <f t="shared" si="12"/>
        <v>6.1670824081789768E-2</v>
      </c>
      <c r="K58" s="31">
        <f t="shared" si="13"/>
        <v>0.30835412040894883</v>
      </c>
      <c r="L58" s="181">
        <f t="shared" si="14"/>
        <v>0.1237541620370365</v>
      </c>
      <c r="M58" s="163">
        <f t="shared" si="15"/>
        <v>0.61877081018518254</v>
      </c>
    </row>
    <row r="59" spans="4:13" x14ac:dyDescent="0.2">
      <c r="F59" s="149">
        <f t="shared" si="8"/>
        <v>3.91</v>
      </c>
      <c r="G59" s="29">
        <f t="shared" si="9"/>
        <v>4</v>
      </c>
      <c r="H59" s="29">
        <f t="shared" si="10"/>
        <v>15.64</v>
      </c>
      <c r="I59" s="31">
        <f t="shared" si="11"/>
        <v>0.72833333333333306</v>
      </c>
      <c r="J59" s="181">
        <f t="shared" si="12"/>
        <v>0.28139783148919706</v>
      </c>
      <c r="K59" s="31">
        <f t="shared" si="13"/>
        <v>1.1255913259567882</v>
      </c>
      <c r="L59" s="181">
        <f t="shared" si="14"/>
        <v>0.38635857870370321</v>
      </c>
      <c r="M59" s="163">
        <f t="shared" si="15"/>
        <v>1.5454343148148129</v>
      </c>
    </row>
    <row r="60" spans="4:13" ht="17" thickBot="1" x14ac:dyDescent="0.25">
      <c r="F60" s="152">
        <f>SUM(F52:F59)</f>
        <v>24.84</v>
      </c>
      <c r="G60" s="158">
        <f>SUM(G52:G59)</f>
        <v>90</v>
      </c>
      <c r="H60" s="158">
        <f>SUM(H52:H59)</f>
        <v>286.34999999999997</v>
      </c>
      <c r="I60" s="158"/>
      <c r="J60" s="158"/>
      <c r="K60" s="156">
        <f>SUM(K52:K59)</f>
        <v>2.7843013495833326</v>
      </c>
      <c r="L60" s="164"/>
      <c r="M60" s="153">
        <f>SUM(M52:M59)</f>
        <v>0.47045733333332262</v>
      </c>
    </row>
    <row r="62" spans="4:13" ht="24" x14ac:dyDescent="0.3">
      <c r="D62" s="171" t="s">
        <v>308</v>
      </c>
    </row>
    <row r="63" spans="4:13" ht="17" thickBot="1" x14ac:dyDescent="0.25"/>
    <row r="64" spans="4:13" x14ac:dyDescent="0.2">
      <c r="D64" s="184">
        <v>2.7</v>
      </c>
      <c r="F64" s="170" t="s">
        <v>306</v>
      </c>
      <c r="G64" s="165" t="s">
        <v>295</v>
      </c>
      <c r="H64" s="182">
        <f>L66</f>
        <v>3.1877777777777783</v>
      </c>
      <c r="K64" s="160" t="s">
        <v>291</v>
      </c>
      <c r="L64" s="160"/>
    </row>
    <row r="65" spans="4:12" x14ac:dyDescent="0.2">
      <c r="D65" s="184">
        <v>3.4</v>
      </c>
      <c r="F65" s="170"/>
      <c r="G65" s="162" t="s">
        <v>296</v>
      </c>
      <c r="H65" s="163">
        <f>L68</f>
        <v>3.2</v>
      </c>
    </row>
    <row r="66" spans="4:12" ht="17" thickBot="1" x14ac:dyDescent="0.25">
      <c r="D66" s="184">
        <v>2.2000000000000002</v>
      </c>
      <c r="F66" s="170"/>
      <c r="G66" s="168" t="s">
        <v>300</v>
      </c>
      <c r="H66" s="183">
        <f>L69</f>
        <v>3.3</v>
      </c>
      <c r="K66" t="s">
        <v>278</v>
      </c>
      <c r="L66">
        <v>3.1877777777777783</v>
      </c>
    </row>
    <row r="67" spans="4:12" ht="17" thickBot="1" x14ac:dyDescent="0.25">
      <c r="D67" s="184">
        <v>3.2</v>
      </c>
      <c r="F67" s="170"/>
      <c r="H67" s="30"/>
      <c r="K67" t="s">
        <v>279</v>
      </c>
      <c r="L67">
        <v>3.3214311017601687E-2</v>
      </c>
    </row>
    <row r="68" spans="4:12" x14ac:dyDescent="0.2">
      <c r="D68" s="184">
        <v>3.4</v>
      </c>
      <c r="F68" s="170" t="s">
        <v>307</v>
      </c>
      <c r="G68" s="165" t="s">
        <v>301</v>
      </c>
      <c r="H68" s="182">
        <f>L70</f>
        <v>0.31509862118653886</v>
      </c>
      <c r="K68" t="s">
        <v>280</v>
      </c>
      <c r="L68">
        <v>3.2</v>
      </c>
    </row>
    <row r="69" spans="4:12" x14ac:dyDescent="0.2">
      <c r="D69" s="184">
        <v>2.9</v>
      </c>
      <c r="F69" s="170"/>
      <c r="G69" s="162" t="s">
        <v>245</v>
      </c>
      <c r="H69" s="163">
        <f>H64+(3*H68)</f>
        <v>4.1330736413373952</v>
      </c>
      <c r="K69" t="s">
        <v>281</v>
      </c>
      <c r="L69">
        <v>3.3</v>
      </c>
    </row>
    <row r="70" spans="4:12" ht="17" thickBot="1" x14ac:dyDescent="0.25">
      <c r="D70" s="184">
        <v>3.4</v>
      </c>
      <c r="F70" s="170"/>
      <c r="G70" s="168" t="s">
        <v>244</v>
      </c>
      <c r="H70" s="183">
        <f>H64-(3*H68)</f>
        <v>2.2424819142181618</v>
      </c>
      <c r="K70" t="s">
        <v>282</v>
      </c>
      <c r="L70">
        <v>0.31509862118653886</v>
      </c>
    </row>
    <row r="71" spans="4:12" x14ac:dyDescent="0.2">
      <c r="D71" s="184">
        <v>2.9</v>
      </c>
      <c r="F71" s="170"/>
      <c r="K71" t="s">
        <v>283</v>
      </c>
      <c r="L71">
        <v>9.9287141073657909E-2</v>
      </c>
    </row>
    <row r="72" spans="4:12" x14ac:dyDescent="0.2">
      <c r="D72" s="184">
        <v>3.4</v>
      </c>
      <c r="F72" s="170" t="s">
        <v>304</v>
      </c>
      <c r="G72" t="s">
        <v>303</v>
      </c>
      <c r="K72" t="s">
        <v>284</v>
      </c>
      <c r="L72">
        <v>0.52449201258881573</v>
      </c>
    </row>
    <row r="73" spans="4:12" ht="17" thickBot="1" x14ac:dyDescent="0.25">
      <c r="D73" s="184">
        <v>2.7</v>
      </c>
      <c r="F73" s="170"/>
      <c r="K73" t="s">
        <v>285</v>
      </c>
      <c r="L73">
        <v>-0.14722754474659716</v>
      </c>
    </row>
    <row r="74" spans="4:12" x14ac:dyDescent="0.2">
      <c r="D74" s="184">
        <v>3.4</v>
      </c>
      <c r="F74" s="170" t="s">
        <v>305</v>
      </c>
      <c r="G74" s="165" t="s">
        <v>284</v>
      </c>
      <c r="H74" s="172">
        <f>L72</f>
        <v>0.52449201258881573</v>
      </c>
      <c r="I74" s="161" t="s">
        <v>375</v>
      </c>
      <c r="K74" t="s">
        <v>286</v>
      </c>
      <c r="L74">
        <v>1.7999999999999998</v>
      </c>
    </row>
    <row r="75" spans="4:12" ht="17" thickBot="1" x14ac:dyDescent="0.25">
      <c r="D75" s="184">
        <v>3.1</v>
      </c>
      <c r="G75" s="168" t="s">
        <v>293</v>
      </c>
      <c r="H75" s="173">
        <f>L73</f>
        <v>-0.14722754474659716</v>
      </c>
      <c r="I75" s="159"/>
      <c r="K75" t="s">
        <v>287</v>
      </c>
      <c r="L75">
        <v>2.2000000000000002</v>
      </c>
    </row>
    <row r="76" spans="4:12" x14ac:dyDescent="0.2">
      <c r="D76" s="184">
        <v>3</v>
      </c>
      <c r="K76" t="s">
        <v>288</v>
      </c>
      <c r="L76">
        <v>4</v>
      </c>
    </row>
    <row r="77" spans="4:12" x14ac:dyDescent="0.2">
      <c r="D77" s="184">
        <v>3.5</v>
      </c>
      <c r="K77" t="s">
        <v>289</v>
      </c>
      <c r="L77">
        <v>286.90000000000003</v>
      </c>
    </row>
    <row r="78" spans="4:12" ht="17" thickBot="1" x14ac:dyDescent="0.25">
      <c r="D78" s="184">
        <v>3.1</v>
      </c>
      <c r="K78" s="1" t="s">
        <v>290</v>
      </c>
      <c r="L78" s="1">
        <v>90</v>
      </c>
    </row>
    <row r="79" spans="4:12" x14ac:dyDescent="0.2">
      <c r="D79" s="184">
        <v>3</v>
      </c>
    </row>
    <row r="80" spans="4:12" x14ac:dyDescent="0.2">
      <c r="D80" s="184">
        <v>3.5</v>
      </c>
    </row>
    <row r="81" spans="4:4" x14ac:dyDescent="0.2">
      <c r="D81" s="184">
        <v>3.3</v>
      </c>
    </row>
    <row r="82" spans="4:4" x14ac:dyDescent="0.2">
      <c r="D82" s="184">
        <v>3.3</v>
      </c>
    </row>
    <row r="83" spans="4:4" x14ac:dyDescent="0.2">
      <c r="D83" s="184">
        <v>2.9</v>
      </c>
    </row>
    <row r="84" spans="4:4" x14ac:dyDescent="0.2">
      <c r="D84" s="184">
        <v>2.9</v>
      </c>
    </row>
    <row r="85" spans="4:4" x14ac:dyDescent="0.2">
      <c r="D85" s="184">
        <v>3.1</v>
      </c>
    </row>
    <row r="86" spans="4:4" x14ac:dyDescent="0.2">
      <c r="D86" s="184">
        <v>3.2</v>
      </c>
    </row>
    <row r="87" spans="4:4" x14ac:dyDescent="0.2">
      <c r="D87" s="184">
        <v>3.2</v>
      </c>
    </row>
    <row r="88" spans="4:4" x14ac:dyDescent="0.2">
      <c r="D88" s="184">
        <v>4</v>
      </c>
    </row>
    <row r="89" spans="4:4" x14ac:dyDescent="0.2">
      <c r="D89" s="184">
        <v>3.6</v>
      </c>
    </row>
    <row r="90" spans="4:4" x14ac:dyDescent="0.2">
      <c r="D90" s="184">
        <v>2.5</v>
      </c>
    </row>
    <row r="91" spans="4:4" x14ac:dyDescent="0.2">
      <c r="D91" s="184">
        <v>2.7</v>
      </c>
    </row>
    <row r="92" spans="4:4" x14ac:dyDescent="0.2">
      <c r="D92" s="184">
        <v>3.2</v>
      </c>
    </row>
    <row r="93" spans="4:4" x14ac:dyDescent="0.2">
      <c r="D93" s="184">
        <v>3.5</v>
      </c>
    </row>
    <row r="94" spans="4:4" x14ac:dyDescent="0.2">
      <c r="D94" s="184">
        <v>3.3</v>
      </c>
    </row>
    <row r="95" spans="4:4" x14ac:dyDescent="0.2">
      <c r="D95" s="184">
        <v>3.2</v>
      </c>
    </row>
    <row r="96" spans="4:4" x14ac:dyDescent="0.2">
      <c r="D96" s="184">
        <v>3.1</v>
      </c>
    </row>
    <row r="97" spans="4:4" x14ac:dyDescent="0.2">
      <c r="D97" s="184">
        <v>2.9</v>
      </c>
    </row>
    <row r="98" spans="4:4" x14ac:dyDescent="0.2">
      <c r="D98" s="184">
        <v>3.4</v>
      </c>
    </row>
    <row r="99" spans="4:4" x14ac:dyDescent="0.2">
      <c r="D99" s="184">
        <v>3.3</v>
      </c>
    </row>
    <row r="100" spans="4:4" x14ac:dyDescent="0.2">
      <c r="D100" s="184">
        <v>3.2</v>
      </c>
    </row>
    <row r="101" spans="4:4" x14ac:dyDescent="0.2">
      <c r="D101" s="184">
        <v>3</v>
      </c>
    </row>
    <row r="102" spans="4:4" x14ac:dyDescent="0.2">
      <c r="D102" s="184">
        <v>3.2</v>
      </c>
    </row>
    <row r="103" spans="4:4" x14ac:dyDescent="0.2">
      <c r="D103" s="184">
        <v>3.3</v>
      </c>
    </row>
    <row r="104" spans="4:4" x14ac:dyDescent="0.2">
      <c r="D104" s="184">
        <v>3.3</v>
      </c>
    </row>
    <row r="105" spans="4:4" x14ac:dyDescent="0.2">
      <c r="D105" s="184">
        <v>2.8</v>
      </c>
    </row>
    <row r="106" spans="4:4" x14ac:dyDescent="0.2">
      <c r="D106" s="184">
        <v>2.7</v>
      </c>
    </row>
    <row r="107" spans="4:4" x14ac:dyDescent="0.2">
      <c r="D107" s="184">
        <v>3.6</v>
      </c>
    </row>
    <row r="108" spans="4:4" x14ac:dyDescent="0.2">
      <c r="D108" s="184">
        <v>3</v>
      </c>
    </row>
    <row r="109" spans="4:4" x14ac:dyDescent="0.2">
      <c r="D109" s="184">
        <v>3.1</v>
      </c>
    </row>
    <row r="110" spans="4:4" x14ac:dyDescent="0.2">
      <c r="D110" s="184">
        <v>3.3</v>
      </c>
    </row>
    <row r="111" spans="4:4" x14ac:dyDescent="0.2">
      <c r="D111" s="184">
        <v>3.8</v>
      </c>
    </row>
    <row r="112" spans="4:4" x14ac:dyDescent="0.2">
      <c r="D112" s="184">
        <v>3.5</v>
      </c>
    </row>
    <row r="113" spans="4:4" x14ac:dyDescent="0.2">
      <c r="D113" s="184">
        <v>3</v>
      </c>
    </row>
    <row r="114" spans="4:4" x14ac:dyDescent="0.2">
      <c r="D114" s="184">
        <v>2.9</v>
      </c>
    </row>
    <row r="115" spans="4:4" x14ac:dyDescent="0.2">
      <c r="D115" s="184">
        <v>3.3</v>
      </c>
    </row>
    <row r="116" spans="4:4" x14ac:dyDescent="0.2">
      <c r="D116" s="184">
        <v>3.3</v>
      </c>
    </row>
    <row r="117" spans="4:4" x14ac:dyDescent="0.2">
      <c r="D117" s="184">
        <v>2.9</v>
      </c>
    </row>
    <row r="118" spans="4:4" x14ac:dyDescent="0.2">
      <c r="D118" s="184">
        <v>3</v>
      </c>
    </row>
    <row r="119" spans="4:4" x14ac:dyDescent="0.2">
      <c r="D119" s="184">
        <v>3.3</v>
      </c>
    </row>
    <row r="120" spans="4:4" x14ac:dyDescent="0.2">
      <c r="D120" s="184">
        <v>3.6</v>
      </c>
    </row>
    <row r="121" spans="4:4" x14ac:dyDescent="0.2">
      <c r="D121" s="184">
        <v>3.6</v>
      </c>
    </row>
    <row r="122" spans="4:4" x14ac:dyDescent="0.2">
      <c r="D122" s="184">
        <v>3.1</v>
      </c>
    </row>
    <row r="123" spans="4:4" x14ac:dyDescent="0.2">
      <c r="D123" s="184">
        <v>3.9</v>
      </c>
    </row>
    <row r="124" spans="4:4" x14ac:dyDescent="0.2">
      <c r="D124" s="184">
        <v>3.1</v>
      </c>
    </row>
    <row r="125" spans="4:4" x14ac:dyDescent="0.2">
      <c r="D125" s="184">
        <v>3.2</v>
      </c>
    </row>
    <row r="126" spans="4:4" x14ac:dyDescent="0.2">
      <c r="D126" s="184">
        <v>3.2</v>
      </c>
    </row>
    <row r="127" spans="4:4" x14ac:dyDescent="0.2">
      <c r="D127" s="184">
        <v>3.5</v>
      </c>
    </row>
    <row r="128" spans="4:4" x14ac:dyDescent="0.2">
      <c r="D128" s="184">
        <v>3.3</v>
      </c>
    </row>
    <row r="129" spans="4:4" x14ac:dyDescent="0.2">
      <c r="D129" s="184">
        <v>3.1</v>
      </c>
    </row>
    <row r="130" spans="4:4" x14ac:dyDescent="0.2">
      <c r="D130" s="184">
        <v>3.3</v>
      </c>
    </row>
    <row r="131" spans="4:4" x14ac:dyDescent="0.2">
      <c r="D131" s="184">
        <v>3.1</v>
      </c>
    </row>
    <row r="132" spans="4:4" x14ac:dyDescent="0.2">
      <c r="D132" s="184">
        <v>3.5</v>
      </c>
    </row>
    <row r="133" spans="4:4" x14ac:dyDescent="0.2">
      <c r="D133" s="184">
        <v>3.4</v>
      </c>
    </row>
    <row r="134" spans="4:4" x14ac:dyDescent="0.2">
      <c r="D134" s="184">
        <v>2.8</v>
      </c>
    </row>
    <row r="135" spans="4:4" x14ac:dyDescent="0.2">
      <c r="D135" s="184">
        <v>2.7</v>
      </c>
    </row>
    <row r="136" spans="4:4" x14ac:dyDescent="0.2">
      <c r="D136" s="184">
        <v>3.4</v>
      </c>
    </row>
    <row r="137" spans="4:4" x14ac:dyDescent="0.2">
      <c r="D137" s="184">
        <v>3</v>
      </c>
    </row>
    <row r="138" spans="4:4" x14ac:dyDescent="0.2">
      <c r="D138" s="184">
        <v>2.9</v>
      </c>
    </row>
    <row r="139" spans="4:4" x14ac:dyDescent="0.2">
      <c r="D139" s="184">
        <v>3.4</v>
      </c>
    </row>
    <row r="140" spans="4:4" x14ac:dyDescent="0.2">
      <c r="D140" s="184">
        <v>2.6</v>
      </c>
    </row>
    <row r="141" spans="4:4" x14ac:dyDescent="0.2">
      <c r="D141" s="184">
        <v>3.1</v>
      </c>
    </row>
    <row r="142" spans="4:4" x14ac:dyDescent="0.2">
      <c r="D142" s="184">
        <v>3.7</v>
      </c>
    </row>
    <row r="143" spans="4:4" x14ac:dyDescent="0.2">
      <c r="D143" s="184">
        <v>3</v>
      </c>
    </row>
    <row r="144" spans="4:4" x14ac:dyDescent="0.2">
      <c r="D144" s="184">
        <v>3</v>
      </c>
    </row>
    <row r="145" spans="4:4" x14ac:dyDescent="0.2">
      <c r="D145" s="184">
        <v>2.9</v>
      </c>
    </row>
    <row r="146" spans="4:4" x14ac:dyDescent="0.2">
      <c r="D146" s="184">
        <v>3.8</v>
      </c>
    </row>
    <row r="147" spans="4:4" x14ac:dyDescent="0.2">
      <c r="D147" s="184">
        <v>3.1</v>
      </c>
    </row>
    <row r="148" spans="4:4" x14ac:dyDescent="0.2">
      <c r="D148" s="184">
        <v>2.8</v>
      </c>
    </row>
    <row r="149" spans="4:4" x14ac:dyDescent="0.2">
      <c r="D149" s="184">
        <v>3.3</v>
      </c>
    </row>
    <row r="150" spans="4:4" x14ac:dyDescent="0.2">
      <c r="D150" s="184">
        <v>3.5</v>
      </c>
    </row>
    <row r="151" spans="4:4" x14ac:dyDescent="0.2">
      <c r="D151" s="184">
        <v>3.5</v>
      </c>
    </row>
    <row r="152" spans="4:4" x14ac:dyDescent="0.2">
      <c r="D152" s="184">
        <v>3.4</v>
      </c>
    </row>
    <row r="153" spans="4:4" x14ac:dyDescent="0.2">
      <c r="D153" s="184">
        <v>3.2</v>
      </c>
    </row>
  </sheetData>
  <mergeCells count="7">
    <mergeCell ref="T24:V28"/>
    <mergeCell ref="F45:G45"/>
    <mergeCell ref="F21:G21"/>
    <mergeCell ref="F29:G29"/>
    <mergeCell ref="H30:J32"/>
    <mergeCell ref="F34:G34"/>
    <mergeCell ref="H35:J43"/>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1404A-9E63-3E45-9A7B-D891EE4B850A}">
  <dimension ref="B2:U117"/>
  <sheetViews>
    <sheetView workbookViewId="0">
      <selection activeCell="S43" sqref="S43"/>
    </sheetView>
  </sheetViews>
  <sheetFormatPr baseColWidth="10" defaultRowHeight="16" x14ac:dyDescent="0.2"/>
  <cols>
    <col min="6" max="6" width="14.5" customWidth="1"/>
    <col min="8" max="8" width="12.83203125" customWidth="1"/>
    <col min="10" max="10" width="12.6640625" bestFit="1" customWidth="1"/>
    <col min="2000" max="2000" width="2.5" customWidth="1"/>
  </cols>
  <sheetData>
    <row r="2" spans="2:18" x14ac:dyDescent="0.2">
      <c r="B2" s="2">
        <v>4.97</v>
      </c>
      <c r="C2" s="2">
        <v>5.05</v>
      </c>
      <c r="D2" s="2">
        <v>5.0199999999999996</v>
      </c>
      <c r="E2" s="2">
        <v>5.01</v>
      </c>
      <c r="F2" s="2">
        <v>5</v>
      </c>
      <c r="G2" s="2">
        <v>5.04</v>
      </c>
      <c r="H2" s="2">
        <v>5.0599999999999996</v>
      </c>
      <c r="I2" s="2">
        <v>4.9800000000000004</v>
      </c>
      <c r="J2" s="2">
        <v>4.91</v>
      </c>
      <c r="K2" s="2">
        <v>5</v>
      </c>
      <c r="L2" s="2">
        <v>4.97</v>
      </c>
      <c r="M2" s="2">
        <v>5</v>
      </c>
      <c r="N2" s="2">
        <v>5.01</v>
      </c>
      <c r="O2" s="2">
        <v>4.93</v>
      </c>
      <c r="P2" s="2">
        <v>4.9800000000000004</v>
      </c>
      <c r="R2" s="2">
        <f>MAX(B2:P5)</f>
        <v>5.0999999999999996</v>
      </c>
    </row>
    <row r="3" spans="2:18" x14ac:dyDescent="0.2">
      <c r="B3" s="2">
        <v>5.03</v>
      </c>
      <c r="C3" s="2">
        <v>5.0599999999999996</v>
      </c>
      <c r="D3" s="2">
        <v>5.03</v>
      </c>
      <c r="E3" s="2">
        <v>5.01</v>
      </c>
      <c r="F3" s="2">
        <v>4.95</v>
      </c>
      <c r="G3" s="2">
        <v>4.9800000000000004</v>
      </c>
      <c r="H3" s="2">
        <v>4.9400000000000004</v>
      </c>
      <c r="I3" s="2">
        <v>4.95</v>
      </c>
      <c r="J3" s="2">
        <v>4.93</v>
      </c>
      <c r="K3" s="2">
        <v>4.95</v>
      </c>
      <c r="L3" s="2">
        <v>5.03</v>
      </c>
      <c r="M3" s="2">
        <v>5</v>
      </c>
      <c r="N3" s="2">
        <v>5.09</v>
      </c>
      <c r="O3" s="2">
        <v>5.0999999999999996</v>
      </c>
      <c r="P3" s="2">
        <v>5.0599999999999996</v>
      </c>
      <c r="R3" s="2">
        <f>MIN(B2:P5)</f>
        <v>4.91</v>
      </c>
    </row>
    <row r="4" spans="2:18" x14ac:dyDescent="0.2">
      <c r="B4" s="2">
        <v>4.95</v>
      </c>
      <c r="C4" s="2">
        <v>5.01</v>
      </c>
      <c r="D4" s="2">
        <v>4.97</v>
      </c>
      <c r="E4" s="2">
        <v>5.0999999999999996</v>
      </c>
      <c r="F4" s="2">
        <v>5</v>
      </c>
      <c r="G4" s="2">
        <v>5.0999999999999996</v>
      </c>
      <c r="H4" s="2">
        <v>5.0199999999999996</v>
      </c>
      <c r="I4" s="2">
        <v>5</v>
      </c>
      <c r="J4" s="2">
        <v>4.96</v>
      </c>
      <c r="K4" s="2">
        <v>5.05</v>
      </c>
      <c r="L4" s="2">
        <v>5.08</v>
      </c>
      <c r="M4" s="2">
        <v>4.92</v>
      </c>
      <c r="N4" s="2">
        <v>5</v>
      </c>
      <c r="O4" s="2">
        <v>4.95</v>
      </c>
      <c r="P4" s="2">
        <v>4.9800000000000004</v>
      </c>
    </row>
    <row r="5" spans="2:18" x14ac:dyDescent="0.2">
      <c r="B5" s="2">
        <v>4.9400000000000004</v>
      </c>
      <c r="C5" s="2">
        <v>5.07</v>
      </c>
      <c r="D5" s="2">
        <v>5.0599999999999996</v>
      </c>
      <c r="E5" s="2">
        <v>5.09</v>
      </c>
      <c r="F5" s="2">
        <v>5</v>
      </c>
      <c r="G5" s="2">
        <v>5.07</v>
      </c>
      <c r="H5" s="2">
        <v>5.03</v>
      </c>
      <c r="I5" s="2">
        <v>5.04</v>
      </c>
      <c r="J5" s="2">
        <v>4.9400000000000004</v>
      </c>
      <c r="K5" s="2">
        <v>5.0199999999999996</v>
      </c>
      <c r="L5" s="2">
        <v>5.04</v>
      </c>
      <c r="M5" s="2">
        <v>4.9800000000000004</v>
      </c>
      <c r="N5" s="2">
        <v>4.9400000000000004</v>
      </c>
      <c r="O5" s="2">
        <v>4.9800000000000004</v>
      </c>
      <c r="P5" s="2">
        <v>5.01</v>
      </c>
    </row>
    <row r="7" spans="2:18" x14ac:dyDescent="0.2">
      <c r="B7" s="29" t="s">
        <v>238</v>
      </c>
      <c r="C7" s="31">
        <f>MAX(B2:P5)-MIN(B2:P5)</f>
        <v>0.1899999999999995</v>
      </c>
      <c r="F7" s="29" t="s">
        <v>244</v>
      </c>
      <c r="G7" s="29" t="s">
        <v>245</v>
      </c>
      <c r="H7" s="29" t="s">
        <v>77</v>
      </c>
      <c r="I7" s="29" t="s">
        <v>263</v>
      </c>
      <c r="J7" s="29" t="s">
        <v>251</v>
      </c>
      <c r="K7" s="29" t="s">
        <v>254</v>
      </c>
      <c r="L7" s="29" t="s">
        <v>90</v>
      </c>
      <c r="M7" s="29" t="s">
        <v>255</v>
      </c>
      <c r="N7" s="29" t="s">
        <v>256</v>
      </c>
    </row>
    <row r="8" spans="2:18" x14ac:dyDescent="0.2">
      <c r="B8" s="29" t="s">
        <v>239</v>
      </c>
      <c r="C8" s="31">
        <f>1+(3.3*LOG(C13))</f>
        <v>6.8678991262660238</v>
      </c>
      <c r="D8" s="2">
        <f>ROUNDUP(C8,0)</f>
        <v>7</v>
      </c>
      <c r="F8" s="33">
        <f>(MIN(B2:P5)-C12)-0.005</f>
        <v>4.8949999999999996</v>
      </c>
      <c r="G8" s="33">
        <f>(F8+$D$9)+0.005+0.005</f>
        <v>4.9349999999999996</v>
      </c>
      <c r="H8" s="29">
        <f>COUNTIFS(B2:P5,"&lt;4.935")</f>
        <v>4</v>
      </c>
      <c r="I8" s="33">
        <f>+H8/$H$15</f>
        <v>6.6666666666666666E-2</v>
      </c>
      <c r="J8" s="29">
        <f>+H8</f>
        <v>4</v>
      </c>
      <c r="K8" s="33">
        <f t="shared" ref="K8:K14" si="0">+(F8+G8)/2</f>
        <v>4.9149999999999991</v>
      </c>
      <c r="L8" s="29">
        <v>-3</v>
      </c>
      <c r="M8" s="29">
        <f t="shared" ref="M8:M14" si="1">+H8*L8</f>
        <v>-12</v>
      </c>
      <c r="N8" s="29">
        <f t="shared" ref="N8:N14" si="2">H8*(L8^2)</f>
        <v>36</v>
      </c>
    </row>
    <row r="9" spans="2:18" x14ac:dyDescent="0.2">
      <c r="B9" s="29" t="s">
        <v>240</v>
      </c>
      <c r="C9" s="33">
        <f>+C7/D8</f>
        <v>2.7142857142857073E-2</v>
      </c>
      <c r="D9" s="30">
        <v>0.03</v>
      </c>
      <c r="F9" s="33">
        <f>+G8</f>
        <v>4.9349999999999996</v>
      </c>
      <c r="G9" s="33">
        <f>+F9+$D$9</f>
        <v>4.9649999999999999</v>
      </c>
      <c r="H9" s="29">
        <f>COUNTIFS(B2:P5,"&gt;4.935",B2:P5,"&lt;4.965")</f>
        <v>10</v>
      </c>
      <c r="I9" s="33">
        <f t="shared" ref="I9:I14" si="3">+H9/$H$15</f>
        <v>0.16666666666666666</v>
      </c>
      <c r="J9" s="29">
        <f t="shared" ref="J9:J14" si="4">+J8+H9</f>
        <v>14</v>
      </c>
      <c r="K9" s="33">
        <f t="shared" si="0"/>
        <v>4.9499999999999993</v>
      </c>
      <c r="L9" s="29">
        <v>-2</v>
      </c>
      <c r="M9" s="29">
        <f t="shared" si="1"/>
        <v>-20</v>
      </c>
      <c r="N9" s="29">
        <f t="shared" si="2"/>
        <v>40</v>
      </c>
    </row>
    <row r="10" spans="2:18" x14ac:dyDescent="0.2">
      <c r="B10" s="29" t="s">
        <v>241</v>
      </c>
      <c r="C10" s="29">
        <f>+D9*D8</f>
        <v>0.21</v>
      </c>
      <c r="F10" s="33">
        <f t="shared" ref="F10:F14" si="5">+G9</f>
        <v>4.9649999999999999</v>
      </c>
      <c r="G10" s="33">
        <f t="shared" ref="G10:G14" si="6">+F10+$D$9</f>
        <v>4.9950000000000001</v>
      </c>
      <c r="H10" s="29">
        <f>COUNTIFS(B2:P5,"&gt;4.965",B2:P5,"&lt;4.995")</f>
        <v>9</v>
      </c>
      <c r="I10" s="33">
        <f t="shared" si="3"/>
        <v>0.15</v>
      </c>
      <c r="J10" s="29">
        <f t="shared" si="4"/>
        <v>23</v>
      </c>
      <c r="K10" s="33">
        <f t="shared" si="0"/>
        <v>4.9800000000000004</v>
      </c>
      <c r="L10" s="29">
        <v>-1</v>
      </c>
      <c r="M10" s="29">
        <f t="shared" si="1"/>
        <v>-9</v>
      </c>
      <c r="N10" s="29">
        <f t="shared" si="2"/>
        <v>9</v>
      </c>
    </row>
    <row r="11" spans="2:18" x14ac:dyDescent="0.2">
      <c r="B11" s="29" t="s">
        <v>242</v>
      </c>
      <c r="C11" s="33">
        <f>+C10-C7</f>
        <v>2.000000000000049E-2</v>
      </c>
      <c r="F11" s="33">
        <f t="shared" si="5"/>
        <v>4.9950000000000001</v>
      </c>
      <c r="G11" s="33">
        <f t="shared" si="6"/>
        <v>5.0250000000000004</v>
      </c>
      <c r="H11" s="29">
        <f>COUNTIFS(B2:P5,"&gt;4.995",B2:P5,"&lt;5.025")</f>
        <v>16</v>
      </c>
      <c r="I11" s="33">
        <f t="shared" si="3"/>
        <v>0.26666666666666666</v>
      </c>
      <c r="J11" s="29">
        <f t="shared" si="4"/>
        <v>39</v>
      </c>
      <c r="K11" s="33">
        <f t="shared" si="0"/>
        <v>5.01</v>
      </c>
      <c r="L11" s="29">
        <v>0</v>
      </c>
      <c r="M11" s="29">
        <f t="shared" si="1"/>
        <v>0</v>
      </c>
      <c r="N11" s="29">
        <f t="shared" si="2"/>
        <v>0</v>
      </c>
    </row>
    <row r="12" spans="2:18" x14ac:dyDescent="0.2">
      <c r="B12" s="29" t="s">
        <v>243</v>
      </c>
      <c r="C12" s="33">
        <f>+C11/2</f>
        <v>1.0000000000000245E-2</v>
      </c>
      <c r="F12" s="33">
        <f t="shared" si="5"/>
        <v>5.0250000000000004</v>
      </c>
      <c r="G12" s="33">
        <f t="shared" si="6"/>
        <v>5.0550000000000006</v>
      </c>
      <c r="H12" s="29">
        <f>COUNTIFS(B2:P5,"&gt;5.025",B2:P5,"&lt;5.055")</f>
        <v>9</v>
      </c>
      <c r="I12" s="33">
        <f t="shared" si="3"/>
        <v>0.15</v>
      </c>
      <c r="J12" s="29">
        <f t="shared" si="4"/>
        <v>48</v>
      </c>
      <c r="K12" s="33">
        <f>+(F12+G12)/2</f>
        <v>5.0400000000000009</v>
      </c>
      <c r="L12" s="29">
        <v>1</v>
      </c>
      <c r="M12" s="29">
        <f t="shared" si="1"/>
        <v>9</v>
      </c>
      <c r="N12" s="29">
        <f t="shared" si="2"/>
        <v>9</v>
      </c>
    </row>
    <row r="13" spans="2:18" x14ac:dyDescent="0.2">
      <c r="B13" s="29" t="s">
        <v>250</v>
      </c>
      <c r="C13" s="29">
        <f>COUNT(B2:P5)</f>
        <v>60</v>
      </c>
      <c r="F13" s="33">
        <f t="shared" si="5"/>
        <v>5.0550000000000006</v>
      </c>
      <c r="G13" s="33">
        <f t="shared" si="6"/>
        <v>5.0850000000000009</v>
      </c>
      <c r="H13" s="29">
        <f>COUNTIFS(B2:P5,"&gt;5.055",B2:P5,"&lt;5.085")</f>
        <v>7</v>
      </c>
      <c r="I13" s="33">
        <f t="shared" si="3"/>
        <v>0.11666666666666667</v>
      </c>
      <c r="J13" s="29">
        <f t="shared" si="4"/>
        <v>55</v>
      </c>
      <c r="K13" s="33">
        <f t="shared" si="0"/>
        <v>5.07</v>
      </c>
      <c r="L13" s="29">
        <v>2</v>
      </c>
      <c r="M13" s="29">
        <f t="shared" si="1"/>
        <v>14</v>
      </c>
      <c r="N13" s="29">
        <f t="shared" si="2"/>
        <v>28</v>
      </c>
    </row>
    <row r="14" spans="2:18" x14ac:dyDescent="0.2">
      <c r="F14" s="33">
        <f t="shared" si="5"/>
        <v>5.0850000000000009</v>
      </c>
      <c r="G14" s="33">
        <f t="shared" si="6"/>
        <v>5.1150000000000011</v>
      </c>
      <c r="H14" s="29">
        <f>COUNTIFS(B2:P5,"&gt;5.085",B2:P5,"&lt;5.115")</f>
        <v>5</v>
      </c>
      <c r="I14" s="33">
        <f t="shared" si="3"/>
        <v>8.3333333333333329E-2</v>
      </c>
      <c r="J14" s="29">
        <f t="shared" si="4"/>
        <v>60</v>
      </c>
      <c r="K14" s="33">
        <f t="shared" si="0"/>
        <v>5.1000000000000014</v>
      </c>
      <c r="L14" s="29">
        <v>3</v>
      </c>
      <c r="M14" s="29">
        <f t="shared" si="1"/>
        <v>15</v>
      </c>
      <c r="N14" s="29">
        <f t="shared" si="2"/>
        <v>45</v>
      </c>
    </row>
    <row r="15" spans="2:18" ht="17" thickBot="1" x14ac:dyDescent="0.25">
      <c r="F15" s="29"/>
      <c r="G15" s="29"/>
      <c r="H15" s="29">
        <f>SUM(H8:H14)</f>
        <v>60</v>
      </c>
      <c r="I15" s="33"/>
      <c r="J15" s="29"/>
      <c r="K15" s="29"/>
      <c r="L15" s="29"/>
      <c r="M15" s="29">
        <f>SUM(M8:M14)</f>
        <v>-3</v>
      </c>
      <c r="N15" s="29">
        <f>SUM(N8:N14)</f>
        <v>167</v>
      </c>
    </row>
    <row r="16" spans="2:18" x14ac:dyDescent="0.2">
      <c r="E16" s="46" t="s">
        <v>577</v>
      </c>
      <c r="F16" s="307" t="s">
        <v>246</v>
      </c>
      <c r="G16" s="309"/>
    </row>
    <row r="17" spans="5:21" x14ac:dyDescent="0.2">
      <c r="F17" s="149" t="s">
        <v>247</v>
      </c>
      <c r="G17" s="150">
        <f>+H11-H10</f>
        <v>7</v>
      </c>
    </row>
    <row r="18" spans="5:21" x14ac:dyDescent="0.2">
      <c r="F18" s="149" t="s">
        <v>248</v>
      </c>
      <c r="G18" s="150">
        <f>+H11-H12</f>
        <v>7</v>
      </c>
    </row>
    <row r="19" spans="5:21" x14ac:dyDescent="0.2">
      <c r="F19" s="149" t="s">
        <v>249</v>
      </c>
      <c r="G19" s="175">
        <f>+F11+((G17/(G17+G18))*D9)</f>
        <v>5.01</v>
      </c>
      <c r="S19" s="306" t="s">
        <v>329</v>
      </c>
      <c r="T19" s="306"/>
      <c r="U19" s="306"/>
    </row>
    <row r="20" spans="5:21" x14ac:dyDescent="0.2">
      <c r="F20" s="149" t="s">
        <v>253</v>
      </c>
      <c r="G20" s="151">
        <f>(C13+1)/2</f>
        <v>30.5</v>
      </c>
      <c r="S20" s="306"/>
      <c r="T20" s="306"/>
      <c r="U20" s="306"/>
    </row>
    <row r="21" spans="5:21" x14ac:dyDescent="0.2">
      <c r="F21" s="149" t="s">
        <v>252</v>
      </c>
      <c r="G21" s="175">
        <f>F11+((((C13/2)-J10)/H11)*D9)</f>
        <v>5.0081249999999997</v>
      </c>
      <c r="S21" s="306"/>
      <c r="T21" s="306"/>
      <c r="U21" s="306"/>
    </row>
    <row r="22" spans="5:21" ht="17" thickBot="1" x14ac:dyDescent="0.25">
      <c r="F22" s="152" t="s">
        <v>257</v>
      </c>
      <c r="G22" s="176">
        <f>+K11+((M15*D9)/C13)</f>
        <v>5.0084999999999997</v>
      </c>
      <c r="S22" s="306"/>
      <c r="T22" s="306"/>
      <c r="U22" s="306"/>
    </row>
    <row r="23" spans="5:21" ht="17" thickBot="1" x14ac:dyDescent="0.25">
      <c r="S23" s="306"/>
      <c r="T23" s="306"/>
      <c r="U23" s="306"/>
    </row>
    <row r="24" spans="5:21" x14ac:dyDescent="0.2">
      <c r="E24" s="46" t="s">
        <v>578</v>
      </c>
      <c r="F24" s="307" t="s">
        <v>246</v>
      </c>
      <c r="G24" s="308"/>
      <c r="H24" s="154"/>
      <c r="I24" s="154"/>
      <c r="J24" s="155"/>
    </row>
    <row r="25" spans="5:21" x14ac:dyDescent="0.2">
      <c r="F25" s="149" t="s">
        <v>302</v>
      </c>
      <c r="G25" s="33">
        <f>D9*SQRT((N15/C13)-((M15^2)/(C13^2)))</f>
        <v>5.0027492441656517E-2</v>
      </c>
      <c r="H25" s="310" t="s">
        <v>310</v>
      </c>
      <c r="I25" s="310"/>
      <c r="J25" s="311"/>
    </row>
    <row r="26" spans="5:21" x14ac:dyDescent="0.2">
      <c r="F26" s="149" t="s">
        <v>260</v>
      </c>
      <c r="G26" s="33">
        <f>G22+(3*G25)</f>
        <v>5.1585824773249689</v>
      </c>
      <c r="H26" s="310"/>
      <c r="I26" s="310"/>
      <c r="J26" s="311"/>
    </row>
    <row r="27" spans="5:21" ht="17" thickBot="1" x14ac:dyDescent="0.25">
      <c r="F27" s="152" t="s">
        <v>261</v>
      </c>
      <c r="G27" s="164">
        <f>+G22-(3*G25)</f>
        <v>4.8584175226750306</v>
      </c>
      <c r="H27" s="312"/>
      <c r="I27" s="312"/>
      <c r="J27" s="313"/>
    </row>
    <row r="28" spans="5:21" ht="17" thickBot="1" x14ac:dyDescent="0.25"/>
    <row r="29" spans="5:21" x14ac:dyDescent="0.2">
      <c r="E29" s="46" t="s">
        <v>584</v>
      </c>
      <c r="F29" s="307" t="s">
        <v>393</v>
      </c>
      <c r="G29" s="308"/>
      <c r="H29" s="314" t="s">
        <v>394</v>
      </c>
      <c r="I29" s="314"/>
      <c r="J29" s="315"/>
    </row>
    <row r="30" spans="5:21" x14ac:dyDescent="0.2">
      <c r="F30" s="149" t="s">
        <v>264</v>
      </c>
      <c r="G30" s="29" t="s">
        <v>77</v>
      </c>
      <c r="H30" s="310"/>
      <c r="I30" s="310"/>
      <c r="J30" s="311"/>
    </row>
    <row r="31" spans="5:21" x14ac:dyDescent="0.2">
      <c r="F31" s="149" t="s">
        <v>386</v>
      </c>
      <c r="G31" s="29">
        <f>H8</f>
        <v>4</v>
      </c>
      <c r="H31" s="310"/>
      <c r="I31" s="310"/>
      <c r="J31" s="311"/>
    </row>
    <row r="32" spans="5:21" x14ac:dyDescent="0.2">
      <c r="F32" s="149" t="s">
        <v>387</v>
      </c>
      <c r="G32" s="29">
        <f t="shared" ref="G32:G37" si="7">H9</f>
        <v>10</v>
      </c>
      <c r="H32" s="310"/>
      <c r="I32" s="310"/>
      <c r="J32" s="311"/>
    </row>
    <row r="33" spans="5:13" x14ac:dyDescent="0.2">
      <c r="F33" s="149" t="s">
        <v>388</v>
      </c>
      <c r="G33" s="29">
        <f t="shared" si="7"/>
        <v>9</v>
      </c>
      <c r="H33" s="310"/>
      <c r="I33" s="310"/>
      <c r="J33" s="311"/>
    </row>
    <row r="34" spans="5:13" x14ac:dyDescent="0.2">
      <c r="F34" s="149" t="s">
        <v>389</v>
      </c>
      <c r="G34" s="29">
        <f t="shared" si="7"/>
        <v>16</v>
      </c>
      <c r="H34" s="310"/>
      <c r="I34" s="310"/>
      <c r="J34" s="311"/>
    </row>
    <row r="35" spans="5:13" x14ac:dyDescent="0.2">
      <c r="F35" s="149" t="s">
        <v>390</v>
      </c>
      <c r="G35" s="29">
        <f t="shared" si="7"/>
        <v>9</v>
      </c>
      <c r="H35" s="310"/>
      <c r="I35" s="310"/>
      <c r="J35" s="311"/>
    </row>
    <row r="36" spans="5:13" x14ac:dyDescent="0.2">
      <c r="F36" s="149" t="s">
        <v>391</v>
      </c>
      <c r="G36" s="29">
        <f t="shared" si="7"/>
        <v>7</v>
      </c>
      <c r="H36" s="310"/>
      <c r="I36" s="310"/>
      <c r="J36" s="311"/>
    </row>
    <row r="37" spans="5:13" ht="17" thickBot="1" x14ac:dyDescent="0.25">
      <c r="F37" s="152" t="s">
        <v>392</v>
      </c>
      <c r="G37" s="158">
        <f t="shared" si="7"/>
        <v>5</v>
      </c>
      <c r="H37" s="312"/>
      <c r="I37" s="312"/>
      <c r="J37" s="313"/>
    </row>
    <row r="38" spans="5:13" ht="17" thickBot="1" x14ac:dyDescent="0.25"/>
    <row r="39" spans="5:13" x14ac:dyDescent="0.2">
      <c r="E39" s="46" t="s">
        <v>586</v>
      </c>
      <c r="F39" s="307" t="s">
        <v>246</v>
      </c>
      <c r="G39" s="308"/>
      <c r="H39" s="94"/>
      <c r="I39" s="94"/>
      <c r="J39" s="94"/>
      <c r="K39" s="94"/>
      <c r="L39" s="94"/>
      <c r="M39" s="161"/>
    </row>
    <row r="40" spans="5:13" x14ac:dyDescent="0.2">
      <c r="F40" s="149" t="s">
        <v>292</v>
      </c>
      <c r="G40" s="33">
        <f>((1/C13)*K53)/(G25^4)</f>
        <v>2.3634251216547399</v>
      </c>
      <c r="H40" t="s">
        <v>321</v>
      </c>
      <c r="M40" s="157"/>
    </row>
    <row r="41" spans="5:13" x14ac:dyDescent="0.2">
      <c r="F41" s="149" t="s">
        <v>293</v>
      </c>
      <c r="G41" s="33">
        <f>(1/C13)*(M53/(G25^3))</f>
        <v>3.4604220670465827E-2</v>
      </c>
      <c r="H41" t="s">
        <v>395</v>
      </c>
      <c r="M41" s="157"/>
    </row>
    <row r="42" spans="5:13" x14ac:dyDescent="0.2">
      <c r="F42" s="162"/>
      <c r="M42" s="157"/>
    </row>
    <row r="43" spans="5:13" x14ac:dyDescent="0.2">
      <c r="F43" s="162"/>
      <c r="M43" s="157"/>
    </row>
    <row r="44" spans="5:13" x14ac:dyDescent="0.2">
      <c r="F44" s="162"/>
      <c r="M44" s="157"/>
    </row>
    <row r="45" spans="5:13" x14ac:dyDescent="0.2">
      <c r="F45" s="149" t="str">
        <f>K7</f>
        <v>Punto medio</v>
      </c>
      <c r="G45" s="29" t="str">
        <f>H7</f>
        <v>Fo</v>
      </c>
      <c r="H45" s="29" t="s">
        <v>294</v>
      </c>
      <c r="I45" s="29" t="s">
        <v>297</v>
      </c>
      <c r="J45" s="29" t="s">
        <v>298</v>
      </c>
      <c r="K45" s="29"/>
      <c r="L45" s="29" t="s">
        <v>299</v>
      </c>
      <c r="M45" s="157"/>
    </row>
    <row r="46" spans="5:13" x14ac:dyDescent="0.2">
      <c r="F46" s="179">
        <f t="shared" ref="F46:F52" si="8">K8</f>
        <v>4.9149999999999991</v>
      </c>
      <c r="G46" s="29">
        <f t="shared" ref="G46:G52" si="9">H8</f>
        <v>4</v>
      </c>
      <c r="H46" s="29">
        <f>+F46*G46</f>
        <v>19.659999999999997</v>
      </c>
      <c r="I46" s="31">
        <f>+F46-$G$22</f>
        <v>-9.3500000000000583E-2</v>
      </c>
      <c r="J46" s="181">
        <f>I46^4</f>
        <v>7.6426935062501905E-5</v>
      </c>
      <c r="K46" s="181">
        <f>+J46*G46</f>
        <v>3.0570774025000762E-4</v>
      </c>
      <c r="L46" s="181">
        <f>I46^3</f>
        <v>-8.1740037500001533E-4</v>
      </c>
      <c r="M46" s="185">
        <f>+L46*G46</f>
        <v>-3.2696015000000613E-3</v>
      </c>
    </row>
    <row r="47" spans="5:13" x14ac:dyDescent="0.2">
      <c r="F47" s="179">
        <f t="shared" si="8"/>
        <v>4.9499999999999993</v>
      </c>
      <c r="G47" s="29">
        <f t="shared" si="9"/>
        <v>10</v>
      </c>
      <c r="H47" s="29">
        <f t="shared" ref="H47:H52" si="10">+F47*G47</f>
        <v>49.499999999999993</v>
      </c>
      <c r="I47" s="31">
        <f t="shared" ref="I47:I52" si="11">+F47-$G$22</f>
        <v>-5.8500000000000441E-2</v>
      </c>
      <c r="J47" s="181">
        <f t="shared" ref="J47:J52" si="12">I47^4</f>
        <v>1.1711795062500352E-5</v>
      </c>
      <c r="K47" s="181">
        <f t="shared" ref="K47:K52" si="13">+J47*G47</f>
        <v>1.1711795062500352E-4</v>
      </c>
      <c r="L47" s="181">
        <f t="shared" ref="L47:L52" si="14">I47^3</f>
        <v>-2.0020162500000453E-4</v>
      </c>
      <c r="M47" s="185">
        <f t="shared" ref="M47:M52" si="15">+L47*G47</f>
        <v>-2.0020162500000451E-3</v>
      </c>
    </row>
    <row r="48" spans="5:13" x14ac:dyDescent="0.2">
      <c r="F48" s="179">
        <f t="shared" si="8"/>
        <v>4.9800000000000004</v>
      </c>
      <c r="G48" s="29">
        <f t="shared" si="9"/>
        <v>9</v>
      </c>
      <c r="H48" s="29">
        <f t="shared" si="10"/>
        <v>44.820000000000007</v>
      </c>
      <c r="I48" s="31">
        <f t="shared" si="11"/>
        <v>-2.8499999999999304E-2</v>
      </c>
      <c r="J48" s="181">
        <f t="shared" si="12"/>
        <v>6.597500624999356E-7</v>
      </c>
      <c r="K48" s="181">
        <f t="shared" si="13"/>
        <v>5.9377505624994201E-6</v>
      </c>
      <c r="L48" s="181">
        <f t="shared" si="14"/>
        <v>-2.3149124999998306E-5</v>
      </c>
      <c r="M48" s="185">
        <f t="shared" si="15"/>
        <v>-2.0834212499998476E-4</v>
      </c>
    </row>
    <row r="49" spans="4:13" x14ac:dyDescent="0.2">
      <c r="F49" s="179">
        <f t="shared" si="8"/>
        <v>5.01</v>
      </c>
      <c r="G49" s="29">
        <f t="shared" si="9"/>
        <v>16</v>
      </c>
      <c r="H49" s="29">
        <f t="shared" si="10"/>
        <v>80.16</v>
      </c>
      <c r="I49" s="31">
        <f t="shared" si="11"/>
        <v>1.5000000000000568E-3</v>
      </c>
      <c r="J49" s="181">
        <f t="shared" si="12"/>
        <v>5.0625000000007685E-12</v>
      </c>
      <c r="K49" s="181">
        <f t="shared" si="13"/>
        <v>8.1000000000012296E-11</v>
      </c>
      <c r="L49" s="181">
        <f t="shared" si="14"/>
        <v>3.3750000000003838E-9</v>
      </c>
      <c r="M49" s="185">
        <f t="shared" si="15"/>
        <v>5.4000000000006141E-8</v>
      </c>
    </row>
    <row r="50" spans="4:13" x14ac:dyDescent="0.2">
      <c r="F50" s="179">
        <f t="shared" si="8"/>
        <v>5.0400000000000009</v>
      </c>
      <c r="G50" s="29">
        <f t="shared" si="9"/>
        <v>9</v>
      </c>
      <c r="H50" s="29">
        <f t="shared" si="10"/>
        <v>45.360000000000007</v>
      </c>
      <c r="I50" s="31">
        <f t="shared" si="11"/>
        <v>3.1500000000001194E-2</v>
      </c>
      <c r="J50" s="181">
        <f t="shared" si="12"/>
        <v>9.8456006250014906E-7</v>
      </c>
      <c r="K50" s="181">
        <f t="shared" si="13"/>
        <v>8.8610405625013409E-6</v>
      </c>
      <c r="L50" s="181">
        <f t="shared" si="14"/>
        <v>3.1255875000003549E-5</v>
      </c>
      <c r="M50" s="185">
        <f t="shared" si="15"/>
        <v>2.8130287500003194E-4</v>
      </c>
    </row>
    <row r="51" spans="4:13" x14ac:dyDescent="0.2">
      <c r="F51" s="179">
        <f t="shared" si="8"/>
        <v>5.07</v>
      </c>
      <c r="G51" s="29">
        <f t="shared" si="9"/>
        <v>7</v>
      </c>
      <c r="H51" s="29">
        <f t="shared" si="10"/>
        <v>35.49</v>
      </c>
      <c r="I51" s="31">
        <f t="shared" si="11"/>
        <v>6.1500000000000554E-2</v>
      </c>
      <c r="J51" s="181">
        <f t="shared" si="12"/>
        <v>1.4305415062500514E-5</v>
      </c>
      <c r="K51" s="181">
        <f t="shared" si="13"/>
        <v>1.001379054375036E-4</v>
      </c>
      <c r="L51" s="181">
        <f t="shared" si="14"/>
        <v>2.3260837500000629E-4</v>
      </c>
      <c r="M51" s="185">
        <f t="shared" si="15"/>
        <v>1.628258625000044E-3</v>
      </c>
    </row>
    <row r="52" spans="4:13" x14ac:dyDescent="0.2">
      <c r="F52" s="179">
        <f t="shared" si="8"/>
        <v>5.1000000000000014</v>
      </c>
      <c r="G52" s="29">
        <f t="shared" si="9"/>
        <v>5</v>
      </c>
      <c r="H52" s="29">
        <f t="shared" si="10"/>
        <v>25.500000000000007</v>
      </c>
      <c r="I52" s="31">
        <f t="shared" si="11"/>
        <v>9.1500000000001691E-2</v>
      </c>
      <c r="J52" s="181">
        <f t="shared" si="12"/>
        <v>7.0094570062505186E-5</v>
      </c>
      <c r="K52" s="181">
        <f t="shared" si="13"/>
        <v>3.504728503125259E-4</v>
      </c>
      <c r="L52" s="181">
        <f t="shared" si="14"/>
        <v>7.6606087500004252E-4</v>
      </c>
      <c r="M52" s="185">
        <f t="shared" si="15"/>
        <v>3.8303043750002128E-3</v>
      </c>
    </row>
    <row r="53" spans="4:13" x14ac:dyDescent="0.2">
      <c r="F53" s="149">
        <f>SUM(F46:F52)</f>
        <v>35.064999999999998</v>
      </c>
      <c r="G53" s="29">
        <f>SUM(G46:G52)</f>
        <v>60</v>
      </c>
      <c r="H53" s="29">
        <f>SUM(H46:H52)</f>
        <v>300.49</v>
      </c>
      <c r="I53" s="31"/>
      <c r="J53" s="31"/>
      <c r="K53" s="181">
        <f>SUM(K46:K52)</f>
        <v>8.8823531875004147E-4</v>
      </c>
      <c r="L53" s="33">
        <f>SUM(L46:L52)</f>
        <v>-1.0822624999965802E-5</v>
      </c>
      <c r="M53" s="186">
        <f>SUM(M46:M52)</f>
        <v>2.5996000000019824E-4</v>
      </c>
    </row>
    <row r="54" spans="4:13" ht="17" thickBot="1" x14ac:dyDescent="0.25">
      <c r="F54" s="152"/>
      <c r="G54" s="158"/>
      <c r="H54" s="158"/>
      <c r="I54" s="158"/>
      <c r="J54" s="158"/>
      <c r="K54" s="156"/>
      <c r="L54" s="164"/>
      <c r="M54" s="153"/>
    </row>
    <row r="56" spans="4:13" ht="24" x14ac:dyDescent="0.3">
      <c r="D56" s="171" t="s">
        <v>308</v>
      </c>
    </row>
    <row r="57" spans="4:13" ht="17" thickBot="1" x14ac:dyDescent="0.25"/>
    <row r="58" spans="4:13" x14ac:dyDescent="0.2">
      <c r="D58" s="2">
        <v>4.97</v>
      </c>
      <c r="E58" s="170" t="s">
        <v>306</v>
      </c>
      <c r="F58" s="165" t="s">
        <v>295</v>
      </c>
      <c r="G58" s="182">
        <f>K60</f>
        <v>5.0056666666666683</v>
      </c>
      <c r="J58" s="160" t="s">
        <v>291</v>
      </c>
      <c r="K58" s="160"/>
    </row>
    <row r="59" spans="4:13" x14ac:dyDescent="0.2">
      <c r="D59" s="2">
        <v>5.03</v>
      </c>
      <c r="E59" s="170"/>
      <c r="F59" s="162" t="s">
        <v>296</v>
      </c>
      <c r="G59" s="163">
        <f>K62</f>
        <v>5</v>
      </c>
    </row>
    <row r="60" spans="4:13" ht="17" thickBot="1" x14ac:dyDescent="0.25">
      <c r="D60" s="2">
        <v>4.95</v>
      </c>
      <c r="E60" s="170"/>
      <c r="F60" s="168" t="s">
        <v>300</v>
      </c>
      <c r="G60" s="183">
        <f>K63</f>
        <v>5</v>
      </c>
      <c r="J60" t="s">
        <v>278</v>
      </c>
      <c r="K60">
        <v>5.0056666666666683</v>
      </c>
    </row>
    <row r="61" spans="4:13" ht="17" thickBot="1" x14ac:dyDescent="0.25">
      <c r="D61" s="2">
        <v>4.9400000000000004</v>
      </c>
      <c r="E61" s="170"/>
      <c r="G61" s="30"/>
      <c r="J61" t="s">
        <v>279</v>
      </c>
      <c r="K61">
        <v>6.4631360855441902E-3</v>
      </c>
    </row>
    <row r="62" spans="4:13" x14ac:dyDescent="0.2">
      <c r="D62" s="2">
        <v>5.05</v>
      </c>
      <c r="E62" s="170" t="s">
        <v>307</v>
      </c>
      <c r="F62" s="165" t="s">
        <v>301</v>
      </c>
      <c r="G62" s="182">
        <f>K64</f>
        <v>5.0063236847169686E-2</v>
      </c>
      <c r="J62" t="s">
        <v>280</v>
      </c>
      <c r="K62">
        <v>5</v>
      </c>
    </row>
    <row r="63" spans="4:13" x14ac:dyDescent="0.2">
      <c r="D63" s="2">
        <v>5.0599999999999996</v>
      </c>
      <c r="E63" s="170"/>
      <c r="F63" s="162" t="s">
        <v>245</v>
      </c>
      <c r="G63" s="163">
        <f>G58+(3*G62)</f>
        <v>5.1558563772081776</v>
      </c>
      <c r="J63" t="s">
        <v>281</v>
      </c>
      <c r="K63">
        <v>5</v>
      </c>
    </row>
    <row r="64" spans="4:13" ht="17" thickBot="1" x14ac:dyDescent="0.25">
      <c r="D64" s="2">
        <v>5.01</v>
      </c>
      <c r="E64" s="170"/>
      <c r="F64" s="168" t="s">
        <v>244</v>
      </c>
      <c r="G64" s="183">
        <f>G58-(3*G62)</f>
        <v>4.8554769561251589</v>
      </c>
      <c r="J64" t="s">
        <v>282</v>
      </c>
      <c r="K64">
        <v>5.0063236847169686E-2</v>
      </c>
    </row>
    <row r="65" spans="4:11" x14ac:dyDescent="0.2">
      <c r="D65" s="2">
        <v>5.07</v>
      </c>
      <c r="E65" s="170"/>
      <c r="J65" t="s">
        <v>283</v>
      </c>
      <c r="K65">
        <v>2.5063276836158085E-3</v>
      </c>
    </row>
    <row r="66" spans="4:11" x14ac:dyDescent="0.2">
      <c r="D66" s="2">
        <v>5.0199999999999996</v>
      </c>
      <c r="E66" s="170" t="s">
        <v>304</v>
      </c>
      <c r="F66" t="s">
        <v>303</v>
      </c>
      <c r="J66" t="s">
        <v>284</v>
      </c>
      <c r="K66">
        <v>-0.80141099759268553</v>
      </c>
    </row>
    <row r="67" spans="4:11" ht="17" thickBot="1" x14ac:dyDescent="0.25">
      <c r="D67" s="2">
        <v>5.03</v>
      </c>
      <c r="E67" s="170"/>
      <c r="J67" t="s">
        <v>285</v>
      </c>
      <c r="K67">
        <v>0.13488006909317263</v>
      </c>
    </row>
    <row r="68" spans="4:11" x14ac:dyDescent="0.2">
      <c r="D68" s="2">
        <v>4.97</v>
      </c>
      <c r="E68" s="170" t="s">
        <v>305</v>
      </c>
      <c r="F68" s="165" t="s">
        <v>284</v>
      </c>
      <c r="G68" s="172">
        <f>K66</f>
        <v>-0.80141099759268553</v>
      </c>
      <c r="H68" s="161" t="s">
        <v>375</v>
      </c>
      <c r="J68" t="s">
        <v>286</v>
      </c>
      <c r="K68">
        <v>0.1899999999999995</v>
      </c>
    </row>
    <row r="69" spans="4:11" ht="17" thickBot="1" x14ac:dyDescent="0.25">
      <c r="D69" s="2">
        <v>5.0599999999999996</v>
      </c>
      <c r="F69" s="168" t="s">
        <v>293</v>
      </c>
      <c r="G69" s="173">
        <f>K67</f>
        <v>0.13488006909317263</v>
      </c>
      <c r="H69" s="159"/>
      <c r="J69" t="s">
        <v>287</v>
      </c>
      <c r="K69">
        <v>4.91</v>
      </c>
    </row>
    <row r="70" spans="4:11" x14ac:dyDescent="0.2">
      <c r="D70" s="2">
        <v>5.01</v>
      </c>
      <c r="J70" t="s">
        <v>288</v>
      </c>
      <c r="K70">
        <v>5.0999999999999996</v>
      </c>
    </row>
    <row r="71" spans="4:11" x14ac:dyDescent="0.2">
      <c r="D71" s="2">
        <v>5.01</v>
      </c>
      <c r="J71" t="s">
        <v>289</v>
      </c>
      <c r="K71">
        <v>300.34000000000009</v>
      </c>
    </row>
    <row r="72" spans="4:11" ht="17" thickBot="1" x14ac:dyDescent="0.25">
      <c r="D72" s="2">
        <v>5.0999999999999996</v>
      </c>
      <c r="J72" s="1" t="s">
        <v>290</v>
      </c>
      <c r="K72" s="1">
        <v>60</v>
      </c>
    </row>
    <row r="73" spans="4:11" x14ac:dyDescent="0.2">
      <c r="D73" s="2">
        <v>5.09</v>
      </c>
    </row>
    <row r="74" spans="4:11" x14ac:dyDescent="0.2">
      <c r="D74" s="2">
        <v>5</v>
      </c>
    </row>
    <row r="75" spans="4:11" x14ac:dyDescent="0.2">
      <c r="D75" s="2">
        <v>4.95</v>
      </c>
    </row>
    <row r="76" spans="4:11" x14ac:dyDescent="0.2">
      <c r="D76" s="2">
        <v>5</v>
      </c>
    </row>
    <row r="77" spans="4:11" x14ac:dyDescent="0.2">
      <c r="D77" s="2">
        <v>5</v>
      </c>
    </row>
    <row r="78" spans="4:11" x14ac:dyDescent="0.2">
      <c r="D78" s="2">
        <v>5.04</v>
      </c>
    </row>
    <row r="79" spans="4:11" x14ac:dyDescent="0.2">
      <c r="D79" s="2">
        <v>4.9800000000000004</v>
      </c>
    </row>
    <row r="80" spans="4:11" x14ac:dyDescent="0.2">
      <c r="D80" s="2">
        <v>5.0999999999999996</v>
      </c>
    </row>
    <row r="81" spans="4:4" x14ac:dyDescent="0.2">
      <c r="D81" s="2">
        <v>5.07</v>
      </c>
    </row>
    <row r="82" spans="4:4" x14ac:dyDescent="0.2">
      <c r="D82" s="2">
        <v>5.0599999999999996</v>
      </c>
    </row>
    <row r="83" spans="4:4" x14ac:dyDescent="0.2">
      <c r="D83" s="2">
        <v>4.9400000000000004</v>
      </c>
    </row>
    <row r="84" spans="4:4" x14ac:dyDescent="0.2">
      <c r="D84" s="2">
        <v>5.0199999999999996</v>
      </c>
    </row>
    <row r="85" spans="4:4" x14ac:dyDescent="0.2">
      <c r="D85" s="2">
        <v>5.03</v>
      </c>
    </row>
    <row r="86" spans="4:4" x14ac:dyDescent="0.2">
      <c r="D86" s="2">
        <v>4.9800000000000004</v>
      </c>
    </row>
    <row r="87" spans="4:4" x14ac:dyDescent="0.2">
      <c r="D87" s="2">
        <v>4.95</v>
      </c>
    </row>
    <row r="88" spans="4:4" x14ac:dyDescent="0.2">
      <c r="D88" s="2">
        <v>5</v>
      </c>
    </row>
    <row r="89" spans="4:4" x14ac:dyDescent="0.2">
      <c r="D89" s="2">
        <v>5.04</v>
      </c>
    </row>
    <row r="90" spans="4:4" x14ac:dyDescent="0.2">
      <c r="D90" s="2">
        <v>4.91</v>
      </c>
    </row>
    <row r="91" spans="4:4" x14ac:dyDescent="0.2">
      <c r="D91" s="2">
        <v>4.93</v>
      </c>
    </row>
    <row r="92" spans="4:4" x14ac:dyDescent="0.2">
      <c r="D92" s="2">
        <v>4.96</v>
      </c>
    </row>
    <row r="93" spans="4:4" x14ac:dyDescent="0.2">
      <c r="D93" s="2">
        <v>4.9400000000000004</v>
      </c>
    </row>
    <row r="94" spans="4:4" x14ac:dyDescent="0.2">
      <c r="D94" s="2">
        <v>5</v>
      </c>
    </row>
    <row r="95" spans="4:4" x14ac:dyDescent="0.2">
      <c r="D95" s="2">
        <v>4.95</v>
      </c>
    </row>
    <row r="96" spans="4:4" x14ac:dyDescent="0.2">
      <c r="D96" s="2">
        <v>5.05</v>
      </c>
    </row>
    <row r="97" spans="4:4" x14ac:dyDescent="0.2">
      <c r="D97" s="2">
        <v>5.0199999999999996</v>
      </c>
    </row>
    <row r="98" spans="4:4" x14ac:dyDescent="0.2">
      <c r="D98" s="2">
        <v>4.97</v>
      </c>
    </row>
    <row r="99" spans="4:4" x14ac:dyDescent="0.2">
      <c r="D99" s="2">
        <v>5.03</v>
      </c>
    </row>
    <row r="100" spans="4:4" x14ac:dyDescent="0.2">
      <c r="D100" s="2">
        <v>5.08</v>
      </c>
    </row>
    <row r="101" spans="4:4" x14ac:dyDescent="0.2">
      <c r="D101" s="2">
        <v>5.04</v>
      </c>
    </row>
    <row r="102" spans="4:4" x14ac:dyDescent="0.2">
      <c r="D102" s="2">
        <v>5</v>
      </c>
    </row>
    <row r="103" spans="4:4" x14ac:dyDescent="0.2">
      <c r="D103" s="2">
        <v>5</v>
      </c>
    </row>
    <row r="104" spans="4:4" x14ac:dyDescent="0.2">
      <c r="D104" s="2">
        <v>4.92</v>
      </c>
    </row>
    <row r="105" spans="4:4" x14ac:dyDescent="0.2">
      <c r="D105" s="2">
        <v>4.9800000000000004</v>
      </c>
    </row>
    <row r="106" spans="4:4" x14ac:dyDescent="0.2">
      <c r="D106" s="2">
        <v>5.01</v>
      </c>
    </row>
    <row r="107" spans="4:4" x14ac:dyDescent="0.2">
      <c r="D107" s="2">
        <v>5.09</v>
      </c>
    </row>
    <row r="108" spans="4:4" x14ac:dyDescent="0.2">
      <c r="D108" s="2">
        <v>5</v>
      </c>
    </row>
    <row r="109" spans="4:4" x14ac:dyDescent="0.2">
      <c r="D109" s="2">
        <v>4.9400000000000004</v>
      </c>
    </row>
    <row r="110" spans="4:4" x14ac:dyDescent="0.2">
      <c r="D110" s="2">
        <v>4.93</v>
      </c>
    </row>
    <row r="111" spans="4:4" x14ac:dyDescent="0.2">
      <c r="D111" s="2">
        <v>5.0999999999999996</v>
      </c>
    </row>
    <row r="112" spans="4:4" x14ac:dyDescent="0.2">
      <c r="D112" s="2">
        <v>4.95</v>
      </c>
    </row>
    <row r="113" spans="4:4" x14ac:dyDescent="0.2">
      <c r="D113" s="2">
        <v>4.9800000000000004</v>
      </c>
    </row>
    <row r="114" spans="4:4" x14ac:dyDescent="0.2">
      <c r="D114" s="2">
        <v>4.9800000000000004</v>
      </c>
    </row>
    <row r="115" spans="4:4" x14ac:dyDescent="0.2">
      <c r="D115" s="2">
        <v>5.0599999999999996</v>
      </c>
    </row>
    <row r="116" spans="4:4" x14ac:dyDescent="0.2">
      <c r="D116" s="2">
        <v>4.9800000000000004</v>
      </c>
    </row>
    <row r="117" spans="4:4" x14ac:dyDescent="0.2">
      <c r="D117" s="2">
        <v>5.01</v>
      </c>
    </row>
  </sheetData>
  <mergeCells count="7">
    <mergeCell ref="F39:G39"/>
    <mergeCell ref="S19:U23"/>
    <mergeCell ref="F16:G16"/>
    <mergeCell ref="F24:G24"/>
    <mergeCell ref="H25:J27"/>
    <mergeCell ref="F29:G29"/>
    <mergeCell ref="H29:J37"/>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CFCBE-A334-F540-9C2A-2C7612451A7D}">
  <dimension ref="B2:W187"/>
  <sheetViews>
    <sheetView workbookViewId="0">
      <selection activeCell="U27" sqref="U27:W31"/>
    </sheetView>
  </sheetViews>
  <sheetFormatPr baseColWidth="10" defaultRowHeight="16" x14ac:dyDescent="0.2"/>
  <cols>
    <col min="6" max="6" width="14" customWidth="1"/>
    <col min="8" max="8" width="12.83203125" customWidth="1"/>
    <col min="10" max="10" width="12.6640625" bestFit="1" customWidth="1"/>
    <col min="11" max="11" width="11.5" bestFit="1" customWidth="1"/>
    <col min="12" max="12" width="13" customWidth="1"/>
  </cols>
  <sheetData>
    <row r="2" spans="2:14" ht="19" x14ac:dyDescent="0.2">
      <c r="B2" s="70">
        <v>996</v>
      </c>
      <c r="C2" s="70">
        <v>1019</v>
      </c>
      <c r="D2" s="70">
        <v>981</v>
      </c>
      <c r="E2" s="70">
        <v>999</v>
      </c>
      <c r="F2" s="70">
        <v>1013</v>
      </c>
      <c r="G2" s="70">
        <v>1019</v>
      </c>
      <c r="H2" s="70">
        <v>1020</v>
      </c>
      <c r="I2" s="70">
        <v>1010</v>
      </c>
      <c r="J2" s="70">
        <v>994</v>
      </c>
      <c r="K2" s="70">
        <v>995</v>
      </c>
      <c r="M2">
        <f>MAX(B2:K13)</f>
        <v>1030</v>
      </c>
    </row>
    <row r="3" spans="2:14" ht="19" x14ac:dyDescent="0.2">
      <c r="B3" s="70">
        <v>1006</v>
      </c>
      <c r="C3" s="70">
        <v>996</v>
      </c>
      <c r="D3" s="70">
        <v>991</v>
      </c>
      <c r="E3" s="70">
        <v>993</v>
      </c>
      <c r="F3" s="70">
        <v>1002</v>
      </c>
      <c r="G3" s="70">
        <v>995</v>
      </c>
      <c r="H3" s="70">
        <v>1015</v>
      </c>
      <c r="I3" s="70">
        <v>991</v>
      </c>
      <c r="J3" s="70">
        <v>1001</v>
      </c>
      <c r="K3" s="70">
        <v>996</v>
      </c>
      <c r="M3">
        <f>MIN(B2:K13)</f>
        <v>970</v>
      </c>
    </row>
    <row r="4" spans="2:14" ht="19" x14ac:dyDescent="0.2">
      <c r="B4" s="70">
        <v>997</v>
      </c>
      <c r="C4" s="70">
        <v>991</v>
      </c>
      <c r="D4" s="70">
        <v>989</v>
      </c>
      <c r="E4" s="70">
        <v>988</v>
      </c>
      <c r="F4" s="70">
        <v>1005</v>
      </c>
      <c r="G4" s="70">
        <v>1020</v>
      </c>
      <c r="H4" s="70">
        <v>1030</v>
      </c>
      <c r="I4" s="70">
        <v>985</v>
      </c>
      <c r="J4" s="70">
        <v>994</v>
      </c>
      <c r="K4" s="70">
        <v>1009</v>
      </c>
    </row>
    <row r="5" spans="2:14" ht="19" x14ac:dyDescent="0.2">
      <c r="B5" s="70">
        <v>989</v>
      </c>
      <c r="C5" s="70">
        <v>1011</v>
      </c>
      <c r="D5" s="70">
        <v>1003</v>
      </c>
      <c r="E5" s="70">
        <v>984</v>
      </c>
      <c r="F5" s="70">
        <v>992</v>
      </c>
      <c r="G5" s="70">
        <v>1005</v>
      </c>
      <c r="H5" s="70">
        <v>1025</v>
      </c>
      <c r="I5" s="70">
        <v>986</v>
      </c>
      <c r="J5" s="70">
        <v>1005</v>
      </c>
      <c r="K5" s="70">
        <v>994</v>
      </c>
    </row>
    <row r="6" spans="2:14" ht="19" x14ac:dyDescent="0.2">
      <c r="B6" s="70">
        <v>1010</v>
      </c>
      <c r="C6" s="70">
        <v>995</v>
      </c>
      <c r="D6" s="70">
        <v>990</v>
      </c>
      <c r="E6" s="70">
        <v>1015</v>
      </c>
      <c r="F6" s="70">
        <v>1013</v>
      </c>
      <c r="G6" s="70">
        <v>994</v>
      </c>
      <c r="H6" s="70">
        <v>989</v>
      </c>
      <c r="I6" s="70">
        <v>1001</v>
      </c>
      <c r="J6" s="70">
        <v>1006</v>
      </c>
      <c r="K6" s="70">
        <v>992</v>
      </c>
    </row>
    <row r="7" spans="2:14" ht="19" x14ac:dyDescent="0.2">
      <c r="B7" s="70">
        <v>991</v>
      </c>
      <c r="C7" s="70">
        <v>996</v>
      </c>
      <c r="D7" s="70">
        <v>1003</v>
      </c>
      <c r="E7" s="70">
        <v>1020</v>
      </c>
      <c r="F7" s="70">
        <v>1019</v>
      </c>
      <c r="G7" s="70">
        <v>1001</v>
      </c>
      <c r="H7" s="70">
        <v>992</v>
      </c>
      <c r="I7" s="70">
        <v>986</v>
      </c>
      <c r="J7" s="70">
        <v>989</v>
      </c>
      <c r="K7" s="70">
        <v>1007</v>
      </c>
    </row>
    <row r="8" spans="2:14" ht="19" x14ac:dyDescent="0.2">
      <c r="B8" s="70">
        <v>985</v>
      </c>
      <c r="C8" s="70">
        <v>1009</v>
      </c>
      <c r="D8" s="70">
        <v>1015</v>
      </c>
      <c r="E8" s="70">
        <v>1009</v>
      </c>
      <c r="F8" s="70">
        <v>1005</v>
      </c>
      <c r="G8" s="70">
        <v>994</v>
      </c>
      <c r="H8" s="70">
        <v>982</v>
      </c>
      <c r="I8" s="70">
        <v>996</v>
      </c>
      <c r="J8" s="70">
        <v>1005</v>
      </c>
      <c r="K8" s="70">
        <v>1006</v>
      </c>
    </row>
    <row r="9" spans="2:14" ht="19" x14ac:dyDescent="0.2">
      <c r="B9" s="70">
        <v>986</v>
      </c>
      <c r="C9" s="70">
        <v>994</v>
      </c>
      <c r="D9" s="70">
        <v>1008</v>
      </c>
      <c r="E9" s="70">
        <v>1030</v>
      </c>
      <c r="F9" s="70">
        <v>993</v>
      </c>
      <c r="G9" s="70">
        <v>1005</v>
      </c>
      <c r="H9" s="70">
        <v>1020</v>
      </c>
      <c r="I9" s="70">
        <v>996</v>
      </c>
      <c r="J9" s="70">
        <v>1007</v>
      </c>
      <c r="K9" s="70">
        <v>979</v>
      </c>
    </row>
    <row r="10" spans="2:14" ht="19" x14ac:dyDescent="0.2">
      <c r="B10" s="70">
        <v>980</v>
      </c>
      <c r="C10" s="70">
        <v>982</v>
      </c>
      <c r="D10" s="70">
        <v>986</v>
      </c>
      <c r="E10" s="70">
        <v>991</v>
      </c>
      <c r="F10" s="70">
        <v>1006</v>
      </c>
      <c r="G10" s="70">
        <v>1001</v>
      </c>
      <c r="H10" s="70">
        <v>1000</v>
      </c>
      <c r="I10" s="70">
        <v>1010</v>
      </c>
      <c r="J10" s="70">
        <v>989</v>
      </c>
      <c r="K10" s="70">
        <v>1010</v>
      </c>
    </row>
    <row r="11" spans="2:14" ht="19" x14ac:dyDescent="0.2">
      <c r="B11" s="70">
        <v>990</v>
      </c>
      <c r="C11" s="70">
        <v>986</v>
      </c>
      <c r="D11" s="70">
        <v>994</v>
      </c>
      <c r="E11" s="70">
        <v>985</v>
      </c>
      <c r="F11" s="70">
        <v>992</v>
      </c>
      <c r="G11" s="70">
        <v>989</v>
      </c>
      <c r="H11" s="70">
        <v>995</v>
      </c>
      <c r="I11" s="70">
        <v>991</v>
      </c>
      <c r="J11" s="70">
        <v>992</v>
      </c>
      <c r="K11" s="70">
        <v>996</v>
      </c>
    </row>
    <row r="12" spans="2:14" ht="19" x14ac:dyDescent="0.2">
      <c r="B12" s="70">
        <v>985</v>
      </c>
      <c r="C12" s="70">
        <v>970</v>
      </c>
      <c r="D12" s="70">
        <v>1008</v>
      </c>
      <c r="E12" s="70">
        <v>995</v>
      </c>
      <c r="F12" s="70">
        <v>990</v>
      </c>
      <c r="G12" s="70">
        <v>994</v>
      </c>
      <c r="H12" s="70">
        <v>990</v>
      </c>
      <c r="I12" s="70">
        <v>985</v>
      </c>
      <c r="J12" s="70">
        <v>982</v>
      </c>
      <c r="K12" s="70">
        <v>991</v>
      </c>
    </row>
    <row r="13" spans="2:14" ht="19" x14ac:dyDescent="0.2">
      <c r="B13" s="70">
        <v>987</v>
      </c>
      <c r="C13" s="70">
        <v>975</v>
      </c>
      <c r="D13" s="70">
        <v>998</v>
      </c>
      <c r="E13" s="70">
        <v>990</v>
      </c>
      <c r="F13" s="70">
        <v>1005</v>
      </c>
      <c r="G13" s="70">
        <v>1013</v>
      </c>
      <c r="H13" s="70">
        <v>1020</v>
      </c>
      <c r="I13" s="70">
        <v>988</v>
      </c>
      <c r="J13" s="70">
        <v>1020</v>
      </c>
      <c r="K13" s="70">
        <v>1011</v>
      </c>
    </row>
    <row r="15" spans="2:14" x14ac:dyDescent="0.2">
      <c r="B15" s="29" t="s">
        <v>238</v>
      </c>
      <c r="C15" s="31">
        <f>MAX(B2:K13)-MIN(B2:K13)</f>
        <v>60</v>
      </c>
      <c r="F15" s="29" t="s">
        <v>244</v>
      </c>
      <c r="G15" s="29" t="s">
        <v>245</v>
      </c>
      <c r="H15" s="29" t="s">
        <v>77</v>
      </c>
      <c r="I15" s="29" t="s">
        <v>263</v>
      </c>
      <c r="J15" s="29" t="s">
        <v>251</v>
      </c>
      <c r="K15" s="29" t="s">
        <v>254</v>
      </c>
      <c r="L15" s="29" t="s">
        <v>90</v>
      </c>
      <c r="M15" s="29" t="s">
        <v>255</v>
      </c>
      <c r="N15" s="29" t="s">
        <v>256</v>
      </c>
    </row>
    <row r="16" spans="2:14" x14ac:dyDescent="0.2">
      <c r="B16" s="29" t="s">
        <v>239</v>
      </c>
      <c r="C16" s="31">
        <f>1+(3.3*LOG(C21))</f>
        <v>7.8612981119571614</v>
      </c>
      <c r="D16" s="2">
        <f>ROUNDUP(C16,0)</f>
        <v>8</v>
      </c>
      <c r="F16" s="174">
        <f>(MIN(B2:K13)-C20)-0.5</f>
        <v>967.5</v>
      </c>
      <c r="G16" s="174">
        <f>(F16+$D$17)+0.5+0.5</f>
        <v>976.5</v>
      </c>
      <c r="H16" s="29">
        <f>COUNTIF(B2:K13,"&lt;976.5")</f>
        <v>2</v>
      </c>
      <c r="I16" s="33">
        <f>+H16/$H$24</f>
        <v>1.6666666666666666E-2</v>
      </c>
      <c r="J16" s="29">
        <f>+H16</f>
        <v>2</v>
      </c>
      <c r="K16" s="174">
        <f t="shared" ref="K16:K23" si="0">+(F16+G16)/2</f>
        <v>972</v>
      </c>
      <c r="L16" s="29">
        <v>-2</v>
      </c>
      <c r="M16" s="29">
        <f t="shared" ref="M16:M23" si="1">+H16*L16</f>
        <v>-4</v>
      </c>
      <c r="N16" s="29">
        <f t="shared" ref="N16:N23" si="2">H16*(L16^2)</f>
        <v>8</v>
      </c>
    </row>
    <row r="17" spans="2:23" x14ac:dyDescent="0.2">
      <c r="B17" s="29" t="s">
        <v>240</v>
      </c>
      <c r="C17" s="33">
        <f>+C15/D16</f>
        <v>7.5</v>
      </c>
      <c r="D17" s="30">
        <v>8</v>
      </c>
      <c r="F17" s="174">
        <f>+G16</f>
        <v>976.5</v>
      </c>
      <c r="G17" s="174">
        <f>(F17+$D$17)</f>
        <v>984.5</v>
      </c>
      <c r="H17" s="29">
        <f>COUNTIFS(B2:K13,"&gt;976.5",B2:K13,"&lt;984.5")</f>
        <v>7</v>
      </c>
      <c r="I17" s="33">
        <f t="shared" ref="I17:I23" si="3">+H17/$H$24</f>
        <v>5.8333333333333334E-2</v>
      </c>
      <c r="J17" s="29">
        <f t="shared" ref="J17:J23" si="4">+J16+H17</f>
        <v>9</v>
      </c>
      <c r="K17" s="174">
        <f t="shared" si="0"/>
        <v>980.5</v>
      </c>
      <c r="L17" s="29">
        <v>-1</v>
      </c>
      <c r="M17" s="29">
        <f t="shared" si="1"/>
        <v>-7</v>
      </c>
      <c r="N17" s="29">
        <f t="shared" si="2"/>
        <v>7</v>
      </c>
    </row>
    <row r="18" spans="2:23" x14ac:dyDescent="0.2">
      <c r="B18" s="29" t="s">
        <v>241</v>
      </c>
      <c r="C18" s="29">
        <f>+D17*D16</f>
        <v>64</v>
      </c>
      <c r="F18" s="174">
        <f t="shared" ref="F18:F22" si="5">+G17</f>
        <v>984.5</v>
      </c>
      <c r="G18" s="174">
        <f t="shared" ref="G18:G23" si="6">(F18+$D$17)</f>
        <v>992.5</v>
      </c>
      <c r="H18" s="29">
        <f>COUNTIFS($B$2:$K$13,"&gt;984.5",$B$2:$K$13,"&lt;992.5")</f>
        <v>36</v>
      </c>
      <c r="I18" s="33">
        <f t="shared" si="3"/>
        <v>0.3</v>
      </c>
      <c r="J18" s="29">
        <f t="shared" si="4"/>
        <v>45</v>
      </c>
      <c r="K18" s="174">
        <f t="shared" si="0"/>
        <v>988.5</v>
      </c>
      <c r="L18" s="29">
        <v>0</v>
      </c>
      <c r="M18" s="29">
        <f t="shared" si="1"/>
        <v>0</v>
      </c>
      <c r="N18" s="29">
        <f t="shared" si="2"/>
        <v>0</v>
      </c>
    </row>
    <row r="19" spans="2:23" x14ac:dyDescent="0.2">
      <c r="B19" s="29" t="s">
        <v>242</v>
      </c>
      <c r="C19" s="33">
        <f>+C18-C15</f>
        <v>4</v>
      </c>
      <c r="F19" s="174">
        <f t="shared" si="5"/>
        <v>992.5</v>
      </c>
      <c r="G19" s="174">
        <f t="shared" si="6"/>
        <v>1000.5</v>
      </c>
      <c r="H19" s="29">
        <f>COUNTIFS($B$2:$K$13,"&gt;992.5",$B$2:$K$13,"&lt;1000.5")</f>
        <v>26</v>
      </c>
      <c r="I19" s="33">
        <f t="shared" si="3"/>
        <v>0.21666666666666667</v>
      </c>
      <c r="J19" s="29">
        <f t="shared" si="4"/>
        <v>71</v>
      </c>
      <c r="K19" s="174">
        <f t="shared" si="0"/>
        <v>996.5</v>
      </c>
      <c r="L19" s="29">
        <v>1</v>
      </c>
      <c r="M19" s="29">
        <f t="shared" si="1"/>
        <v>26</v>
      </c>
      <c r="N19" s="29">
        <f t="shared" si="2"/>
        <v>26</v>
      </c>
    </row>
    <row r="20" spans="2:23" x14ac:dyDescent="0.2">
      <c r="B20" s="29" t="s">
        <v>243</v>
      </c>
      <c r="C20" s="33">
        <f>+C19/2</f>
        <v>2</v>
      </c>
      <c r="F20" s="174">
        <f t="shared" si="5"/>
        <v>1000.5</v>
      </c>
      <c r="G20" s="174">
        <f t="shared" si="6"/>
        <v>1008.5</v>
      </c>
      <c r="H20" s="29">
        <f>COUNTIFS($B$2:$K$13,"&gt;1000.5",$B$2:$K$13,"&lt;1008.5")</f>
        <v>22</v>
      </c>
      <c r="I20" s="33">
        <f t="shared" si="3"/>
        <v>0.18333333333333332</v>
      </c>
      <c r="J20" s="29">
        <f t="shared" si="4"/>
        <v>93</v>
      </c>
      <c r="K20" s="174">
        <f>+(F20+G20)/2</f>
        <v>1004.5</v>
      </c>
      <c r="L20" s="29">
        <v>2</v>
      </c>
      <c r="M20" s="29">
        <f t="shared" si="1"/>
        <v>44</v>
      </c>
      <c r="N20" s="29">
        <f t="shared" si="2"/>
        <v>88</v>
      </c>
    </row>
    <row r="21" spans="2:23" x14ac:dyDescent="0.2">
      <c r="B21" s="29" t="s">
        <v>250</v>
      </c>
      <c r="C21" s="29">
        <f>COUNT(B2:K13)</f>
        <v>120</v>
      </c>
      <c r="F21" s="174">
        <f t="shared" si="5"/>
        <v>1008.5</v>
      </c>
      <c r="G21" s="174">
        <f t="shared" si="6"/>
        <v>1016.5</v>
      </c>
      <c r="H21" s="29">
        <f>COUNTIFS($B$2:$K$13,"&gt;1008.5",$B$2:$K$13,"&lt;1016.5")</f>
        <v>15</v>
      </c>
      <c r="I21" s="33">
        <f t="shared" si="3"/>
        <v>0.125</v>
      </c>
      <c r="J21" s="29">
        <f t="shared" si="4"/>
        <v>108</v>
      </c>
      <c r="K21" s="174">
        <f t="shared" si="0"/>
        <v>1012.5</v>
      </c>
      <c r="L21" s="29">
        <v>3</v>
      </c>
      <c r="M21" s="29">
        <f t="shared" si="1"/>
        <v>45</v>
      </c>
      <c r="N21" s="29">
        <f t="shared" si="2"/>
        <v>135</v>
      </c>
    </row>
    <row r="22" spans="2:23" x14ac:dyDescent="0.2">
      <c r="F22" s="174">
        <f t="shared" si="5"/>
        <v>1016.5</v>
      </c>
      <c r="G22" s="174">
        <f t="shared" si="6"/>
        <v>1024.5</v>
      </c>
      <c r="H22" s="29">
        <f>COUNTIFS($B$2:$K$13,"&gt;1016.5",$B$2:$K$13,"&lt;1024.5")</f>
        <v>9</v>
      </c>
      <c r="I22" s="33">
        <f t="shared" si="3"/>
        <v>7.4999999999999997E-2</v>
      </c>
      <c r="J22" s="29">
        <f t="shared" si="4"/>
        <v>117</v>
      </c>
      <c r="K22" s="174">
        <f t="shared" si="0"/>
        <v>1020.5</v>
      </c>
      <c r="L22" s="29">
        <v>4</v>
      </c>
      <c r="M22" s="29">
        <f t="shared" si="1"/>
        <v>36</v>
      </c>
      <c r="N22" s="29">
        <f t="shared" si="2"/>
        <v>144</v>
      </c>
    </row>
    <row r="23" spans="2:23" x14ac:dyDescent="0.2">
      <c r="F23" s="174">
        <f>G22</f>
        <v>1024.5</v>
      </c>
      <c r="G23" s="174">
        <f t="shared" si="6"/>
        <v>1032.5</v>
      </c>
      <c r="H23" s="29">
        <f>COUNTIFS($B$2:$K$13,"&gt;1024.5",$B$2:$K$13,"&lt;1032.5")</f>
        <v>3</v>
      </c>
      <c r="I23" s="33">
        <f t="shared" si="3"/>
        <v>2.5000000000000001E-2</v>
      </c>
      <c r="J23" s="29">
        <f t="shared" si="4"/>
        <v>120</v>
      </c>
      <c r="K23" s="174">
        <f t="shared" si="0"/>
        <v>1028.5</v>
      </c>
      <c r="L23" s="29">
        <v>5</v>
      </c>
      <c r="M23" s="29">
        <f t="shared" si="1"/>
        <v>15</v>
      </c>
      <c r="N23" s="29">
        <f t="shared" si="2"/>
        <v>75</v>
      </c>
    </row>
    <row r="24" spans="2:23" ht="17" thickBot="1" x14ac:dyDescent="0.25">
      <c r="H24" s="29">
        <f>SUM(H16:H23)</f>
        <v>120</v>
      </c>
      <c r="I24" s="30"/>
      <c r="M24" s="29">
        <f>SUM(M16:M23)</f>
        <v>155</v>
      </c>
      <c r="N24" s="29">
        <f>SUM(N16:N23)</f>
        <v>483</v>
      </c>
    </row>
    <row r="25" spans="2:23" x14ac:dyDescent="0.2">
      <c r="E25" s="46" t="s">
        <v>258</v>
      </c>
      <c r="F25" s="307" t="s">
        <v>246</v>
      </c>
      <c r="G25" s="309"/>
    </row>
    <row r="26" spans="2:23" x14ac:dyDescent="0.2">
      <c r="F26" s="149" t="s">
        <v>247</v>
      </c>
      <c r="G26" s="150">
        <f>+H18-H17</f>
        <v>29</v>
      </c>
    </row>
    <row r="27" spans="2:23" x14ac:dyDescent="0.2">
      <c r="F27" s="149" t="s">
        <v>248</v>
      </c>
      <c r="G27" s="150">
        <f>+H18-H19</f>
        <v>10</v>
      </c>
      <c r="U27" s="306" t="s">
        <v>329</v>
      </c>
      <c r="V27" s="306"/>
      <c r="W27" s="306"/>
    </row>
    <row r="28" spans="2:23" x14ac:dyDescent="0.2">
      <c r="F28" s="149" t="s">
        <v>249</v>
      </c>
      <c r="G28" s="175">
        <f>+F18+((G26/(G26+G27))*D17)</f>
        <v>990.4487179487179</v>
      </c>
      <c r="U28" s="306"/>
      <c r="V28" s="306"/>
      <c r="W28" s="306"/>
    </row>
    <row r="29" spans="2:23" x14ac:dyDescent="0.2">
      <c r="F29" s="149" t="s">
        <v>253</v>
      </c>
      <c r="G29" s="150">
        <f>(C21+1)/2</f>
        <v>60.5</v>
      </c>
      <c r="U29" s="306"/>
      <c r="V29" s="306"/>
      <c r="W29" s="306"/>
    </row>
    <row r="30" spans="2:23" x14ac:dyDescent="0.2">
      <c r="F30" s="149" t="s">
        <v>252</v>
      </c>
      <c r="G30" s="175">
        <f>F18+((((C21/2)-J17)/H18)*D17)</f>
        <v>995.83333333333337</v>
      </c>
      <c r="U30" s="306"/>
      <c r="V30" s="306"/>
      <c r="W30" s="306"/>
    </row>
    <row r="31" spans="2:23" ht="17" thickBot="1" x14ac:dyDescent="0.25">
      <c r="F31" s="152" t="s">
        <v>257</v>
      </c>
      <c r="G31" s="176">
        <f>+K18+((M24*D17)/C21)</f>
        <v>998.83333333333337</v>
      </c>
      <c r="U31" s="306"/>
      <c r="V31" s="306"/>
      <c r="W31" s="306"/>
    </row>
    <row r="32" spans="2:23" ht="17" thickBot="1" x14ac:dyDescent="0.25"/>
    <row r="33" spans="5:10" x14ac:dyDescent="0.2">
      <c r="E33" s="46" t="s">
        <v>259</v>
      </c>
      <c r="F33" s="307" t="s">
        <v>246</v>
      </c>
      <c r="G33" s="308"/>
      <c r="H33" s="154"/>
      <c r="I33" s="154"/>
      <c r="J33" s="155"/>
    </row>
    <row r="34" spans="5:10" x14ac:dyDescent="0.2">
      <c r="F34" s="149" t="s">
        <v>302</v>
      </c>
      <c r="G34" s="31">
        <f>D17*SQRT((N24/C21)-((M24^2)/(C21^2)))</f>
        <v>12.280969921884113</v>
      </c>
      <c r="H34" s="310" t="s">
        <v>310</v>
      </c>
      <c r="I34" s="310"/>
      <c r="J34" s="311"/>
    </row>
    <row r="35" spans="5:10" x14ac:dyDescent="0.2">
      <c r="F35" s="149" t="s">
        <v>260</v>
      </c>
      <c r="G35" s="31">
        <f>G31+(3*G34)</f>
        <v>1035.6762430989857</v>
      </c>
      <c r="H35" s="310"/>
      <c r="I35" s="310"/>
      <c r="J35" s="311"/>
    </row>
    <row r="36" spans="5:10" ht="17" thickBot="1" x14ac:dyDescent="0.25">
      <c r="F36" s="152" t="s">
        <v>261</v>
      </c>
      <c r="G36" s="156">
        <f>+G31-(3*G34)</f>
        <v>961.99042356768109</v>
      </c>
      <c r="H36" s="312"/>
      <c r="I36" s="312"/>
      <c r="J36" s="313"/>
    </row>
    <row r="37" spans="5:10" ht="17" thickBot="1" x14ac:dyDescent="0.25"/>
    <row r="38" spans="5:10" x14ac:dyDescent="0.2">
      <c r="E38" s="46" t="s">
        <v>262</v>
      </c>
      <c r="F38" s="307" t="s">
        <v>415</v>
      </c>
      <c r="G38" s="308"/>
      <c r="H38" s="154"/>
      <c r="I38" s="154"/>
      <c r="J38" s="155"/>
    </row>
    <row r="39" spans="5:10" x14ac:dyDescent="0.2">
      <c r="F39" s="149" t="s">
        <v>264</v>
      </c>
      <c r="G39" s="29" t="s">
        <v>77</v>
      </c>
      <c r="H39" s="310" t="s">
        <v>404</v>
      </c>
      <c r="I39" s="310"/>
      <c r="J39" s="311"/>
    </row>
    <row r="40" spans="5:10" x14ac:dyDescent="0.2">
      <c r="F40" s="149" t="s">
        <v>396</v>
      </c>
      <c r="G40" s="29">
        <f>+H16</f>
        <v>2</v>
      </c>
      <c r="H40" s="310"/>
      <c r="I40" s="310"/>
      <c r="J40" s="311"/>
    </row>
    <row r="41" spans="5:10" x14ac:dyDescent="0.2">
      <c r="F41" s="149" t="s">
        <v>397</v>
      </c>
      <c r="G41" s="29">
        <f t="shared" ref="G41:G47" si="7">+H17</f>
        <v>7</v>
      </c>
      <c r="H41" s="310"/>
      <c r="I41" s="310"/>
      <c r="J41" s="311"/>
    </row>
    <row r="42" spans="5:10" x14ac:dyDescent="0.2">
      <c r="F42" s="149" t="s">
        <v>398</v>
      </c>
      <c r="G42" s="29">
        <f t="shared" si="7"/>
        <v>36</v>
      </c>
      <c r="H42" s="310"/>
      <c r="I42" s="310"/>
      <c r="J42" s="311"/>
    </row>
    <row r="43" spans="5:10" x14ac:dyDescent="0.2">
      <c r="F43" s="149" t="s">
        <v>399</v>
      </c>
      <c r="G43" s="29">
        <f t="shared" si="7"/>
        <v>26</v>
      </c>
      <c r="H43" s="310"/>
      <c r="I43" s="310"/>
      <c r="J43" s="311"/>
    </row>
    <row r="44" spans="5:10" x14ac:dyDescent="0.2">
      <c r="F44" s="149" t="s">
        <v>400</v>
      </c>
      <c r="G44" s="29">
        <f t="shared" si="7"/>
        <v>22</v>
      </c>
      <c r="H44" s="310"/>
      <c r="I44" s="310"/>
      <c r="J44" s="311"/>
    </row>
    <row r="45" spans="5:10" x14ac:dyDescent="0.2">
      <c r="F45" s="149" t="s">
        <v>401</v>
      </c>
      <c r="G45" s="29">
        <f t="shared" si="7"/>
        <v>15</v>
      </c>
      <c r="H45" s="310"/>
      <c r="I45" s="310"/>
      <c r="J45" s="311"/>
    </row>
    <row r="46" spans="5:10" x14ac:dyDescent="0.2">
      <c r="F46" s="149" t="s">
        <v>402</v>
      </c>
      <c r="G46" s="29">
        <f t="shared" si="7"/>
        <v>9</v>
      </c>
      <c r="H46" s="310"/>
      <c r="I46" s="310"/>
      <c r="J46" s="311"/>
    </row>
    <row r="47" spans="5:10" ht="17" thickBot="1" x14ac:dyDescent="0.25">
      <c r="F47" s="152" t="s">
        <v>403</v>
      </c>
      <c r="G47" s="158">
        <f t="shared" si="7"/>
        <v>3</v>
      </c>
      <c r="H47" s="312"/>
      <c r="I47" s="312"/>
      <c r="J47" s="313"/>
    </row>
    <row r="48" spans="5:10" ht="17" thickBot="1" x14ac:dyDescent="0.25"/>
    <row r="49" spans="5:13" x14ac:dyDescent="0.2">
      <c r="E49" s="46" t="s">
        <v>277</v>
      </c>
      <c r="F49" s="307" t="s">
        <v>246</v>
      </c>
      <c r="G49" s="308"/>
      <c r="H49" s="94"/>
      <c r="I49" s="94"/>
      <c r="J49" s="94"/>
      <c r="K49" s="94"/>
      <c r="L49" s="94"/>
      <c r="M49" s="161"/>
    </row>
    <row r="50" spans="5:13" x14ac:dyDescent="0.2">
      <c r="F50" s="149" t="s">
        <v>292</v>
      </c>
      <c r="G50" s="33">
        <f>((1/C21)*K64)/(G34^4)</f>
        <v>2.598128560882611</v>
      </c>
      <c r="H50" t="s">
        <v>375</v>
      </c>
      <c r="M50" s="157"/>
    </row>
    <row r="51" spans="5:13" x14ac:dyDescent="0.2">
      <c r="F51" s="149" t="s">
        <v>293</v>
      </c>
      <c r="G51" s="33">
        <f>(1/C21)*(M64/(G34^3))</f>
        <v>0.40642974057657427</v>
      </c>
      <c r="H51" t="s">
        <v>406</v>
      </c>
      <c r="M51" s="157"/>
    </row>
    <row r="52" spans="5:13" x14ac:dyDescent="0.2">
      <c r="F52" s="162"/>
      <c r="M52" s="157"/>
    </row>
    <row r="53" spans="5:13" x14ac:dyDescent="0.2">
      <c r="F53" s="162"/>
      <c r="M53" s="157"/>
    </row>
    <row r="54" spans="5:13" x14ac:dyDescent="0.2">
      <c r="F54" s="162"/>
      <c r="M54" s="157"/>
    </row>
    <row r="55" spans="5:13" x14ac:dyDescent="0.2">
      <c r="F55" s="149" t="str">
        <f>+K15</f>
        <v>Punto medio</v>
      </c>
      <c r="G55" s="29" t="str">
        <f>+H15</f>
        <v>Fo</v>
      </c>
      <c r="H55" s="29" t="s">
        <v>294</v>
      </c>
      <c r="I55" s="29" t="s">
        <v>297</v>
      </c>
      <c r="J55" s="29" t="s">
        <v>298</v>
      </c>
      <c r="K55" s="29"/>
      <c r="L55" s="29" t="s">
        <v>299</v>
      </c>
      <c r="M55" s="157"/>
    </row>
    <row r="56" spans="5:13" x14ac:dyDescent="0.2">
      <c r="F56" s="149">
        <f t="shared" ref="F56:F63" si="8">+K16</f>
        <v>972</v>
      </c>
      <c r="G56" s="29">
        <f t="shared" ref="G56:G63" si="9">+H16</f>
        <v>2</v>
      </c>
      <c r="H56" s="29">
        <f>+F56*G56</f>
        <v>1944</v>
      </c>
      <c r="I56" s="31">
        <f>+F56-$G$31</f>
        <v>-26.833333333333371</v>
      </c>
      <c r="J56" s="31">
        <f>I56^4</f>
        <v>518440.0007716078</v>
      </c>
      <c r="K56" s="31">
        <f>+J56*G56</f>
        <v>1036880.0015432156</v>
      </c>
      <c r="L56" s="31">
        <f>I56^3</f>
        <v>-19320.745370370452</v>
      </c>
      <c r="M56" s="167">
        <f>+L56*G56</f>
        <v>-38641.490740740905</v>
      </c>
    </row>
    <row r="57" spans="5:13" x14ac:dyDescent="0.2">
      <c r="F57" s="149">
        <f t="shared" si="8"/>
        <v>980.5</v>
      </c>
      <c r="G57" s="29">
        <f t="shared" si="9"/>
        <v>7</v>
      </c>
      <c r="H57" s="29">
        <f t="shared" ref="H57:H63" si="10">+F57*G57</f>
        <v>6863.5</v>
      </c>
      <c r="I57" s="31">
        <f t="shared" ref="I57:I63" si="11">+F57-$G$31</f>
        <v>-18.333333333333371</v>
      </c>
      <c r="J57" s="31">
        <f t="shared" ref="J57:J63" si="12">I57^4</f>
        <v>112970.67901234662</v>
      </c>
      <c r="K57" s="31">
        <f t="shared" ref="K57:K63" si="13">+J57*G57</f>
        <v>790794.7530864263</v>
      </c>
      <c r="L57" s="31">
        <f t="shared" ref="L57:L63" si="14">I57^3</f>
        <v>-6162.0370370370756</v>
      </c>
      <c r="M57" s="167">
        <f t="shared" ref="M57:M63" si="15">+L57*G57</f>
        <v>-43134.259259259532</v>
      </c>
    </row>
    <row r="58" spans="5:13" x14ac:dyDescent="0.2">
      <c r="F58" s="149">
        <f t="shared" si="8"/>
        <v>988.5</v>
      </c>
      <c r="G58" s="29">
        <f t="shared" si="9"/>
        <v>36</v>
      </c>
      <c r="H58" s="29">
        <f t="shared" si="10"/>
        <v>35586</v>
      </c>
      <c r="I58" s="31">
        <f t="shared" si="11"/>
        <v>-10.333333333333371</v>
      </c>
      <c r="J58" s="31">
        <f t="shared" si="12"/>
        <v>11401.493827160662</v>
      </c>
      <c r="K58" s="31">
        <f t="shared" si="13"/>
        <v>410453.77777778386</v>
      </c>
      <c r="L58" s="31">
        <f t="shared" si="14"/>
        <v>-1103.3703703703825</v>
      </c>
      <c r="M58" s="167">
        <f t="shared" si="15"/>
        <v>-39721.333333333772</v>
      </c>
    </row>
    <row r="59" spans="5:13" x14ac:dyDescent="0.2">
      <c r="F59" s="149">
        <f t="shared" si="8"/>
        <v>996.5</v>
      </c>
      <c r="G59" s="29">
        <f t="shared" si="9"/>
        <v>26</v>
      </c>
      <c r="H59" s="29">
        <f t="shared" si="10"/>
        <v>25909</v>
      </c>
      <c r="I59" s="31">
        <f t="shared" si="11"/>
        <v>-2.3333333333333712</v>
      </c>
      <c r="J59" s="31">
        <f t="shared" si="12"/>
        <v>29.641975308643904</v>
      </c>
      <c r="K59" s="31">
        <f t="shared" si="13"/>
        <v>770.69135802474148</v>
      </c>
      <c r="L59" s="31">
        <f t="shared" si="14"/>
        <v>-12.703703703704322</v>
      </c>
      <c r="M59" s="167">
        <f t="shared" si="15"/>
        <v>-330.29629629631239</v>
      </c>
    </row>
    <row r="60" spans="5:13" x14ac:dyDescent="0.2">
      <c r="F60" s="149">
        <f t="shared" si="8"/>
        <v>1004.5</v>
      </c>
      <c r="G60" s="29">
        <f t="shared" si="9"/>
        <v>22</v>
      </c>
      <c r="H60" s="29">
        <f t="shared" si="10"/>
        <v>22099</v>
      </c>
      <c r="I60" s="31">
        <f t="shared" si="11"/>
        <v>5.6666666666666288</v>
      </c>
      <c r="J60" s="31">
        <f t="shared" si="12"/>
        <v>1031.1234567900958</v>
      </c>
      <c r="K60" s="31">
        <f t="shared" si="13"/>
        <v>22684.716049382107</v>
      </c>
      <c r="L60" s="31">
        <f t="shared" si="14"/>
        <v>181.9629629629593</v>
      </c>
      <c r="M60" s="167">
        <f t="shared" si="15"/>
        <v>4003.1851851851043</v>
      </c>
    </row>
    <row r="61" spans="5:13" x14ac:dyDescent="0.2">
      <c r="F61" s="149">
        <f t="shared" si="8"/>
        <v>1012.5</v>
      </c>
      <c r="G61" s="29">
        <f t="shared" si="9"/>
        <v>15</v>
      </c>
      <c r="H61" s="29">
        <f t="shared" si="10"/>
        <v>15187.5</v>
      </c>
      <c r="I61" s="31">
        <f t="shared" si="11"/>
        <v>13.666666666666629</v>
      </c>
      <c r="J61" s="31">
        <f t="shared" si="12"/>
        <v>34885.938271604551</v>
      </c>
      <c r="K61" s="31">
        <f t="shared" si="13"/>
        <v>523289.07407406828</v>
      </c>
      <c r="L61" s="31">
        <f t="shared" si="14"/>
        <v>2552.6296296296086</v>
      </c>
      <c r="M61" s="167">
        <f t="shared" si="15"/>
        <v>38289.444444444132</v>
      </c>
    </row>
    <row r="62" spans="5:13" x14ac:dyDescent="0.2">
      <c r="F62" s="149">
        <f t="shared" si="8"/>
        <v>1020.5</v>
      </c>
      <c r="G62" s="29">
        <f t="shared" si="9"/>
        <v>9</v>
      </c>
      <c r="H62" s="29">
        <f t="shared" si="10"/>
        <v>9184.5</v>
      </c>
      <c r="I62" s="31">
        <f t="shared" si="11"/>
        <v>21.666666666666629</v>
      </c>
      <c r="J62" s="31">
        <f t="shared" si="12"/>
        <v>220378.08641975155</v>
      </c>
      <c r="K62" s="31">
        <f t="shared" si="13"/>
        <v>1983402.777777764</v>
      </c>
      <c r="L62" s="31">
        <f t="shared" si="14"/>
        <v>10171.296296296243</v>
      </c>
      <c r="M62" s="167">
        <f t="shared" si="15"/>
        <v>91541.666666666191</v>
      </c>
    </row>
    <row r="63" spans="5:13" x14ac:dyDescent="0.2">
      <c r="F63" s="149">
        <f t="shared" si="8"/>
        <v>1028.5</v>
      </c>
      <c r="G63" s="29">
        <f t="shared" si="9"/>
        <v>3</v>
      </c>
      <c r="H63" s="29">
        <f t="shared" si="10"/>
        <v>3085.5</v>
      </c>
      <c r="I63" s="31">
        <f t="shared" si="11"/>
        <v>29.666666666666629</v>
      </c>
      <c r="J63" s="31">
        <f t="shared" si="12"/>
        <v>774595.56790123053</v>
      </c>
      <c r="K63" s="31">
        <f t="shared" si="13"/>
        <v>2323786.7037036917</v>
      </c>
      <c r="L63" s="31">
        <f t="shared" si="14"/>
        <v>26109.962962962862</v>
      </c>
      <c r="M63" s="167">
        <f t="shared" si="15"/>
        <v>78329.888888888585</v>
      </c>
    </row>
    <row r="64" spans="5:13" ht="17" thickBot="1" x14ac:dyDescent="0.25">
      <c r="F64" s="152">
        <f>SUM(F56:F63)</f>
        <v>8003.5</v>
      </c>
      <c r="G64" s="158">
        <f>SUM(G56:G63)</f>
        <v>120</v>
      </c>
      <c r="H64" s="158">
        <f>SUM(H56:H63)</f>
        <v>119859</v>
      </c>
      <c r="I64" s="158"/>
      <c r="J64" s="158"/>
      <c r="K64" s="156">
        <f>SUM(K56:K63)</f>
        <v>7092062.4953703564</v>
      </c>
      <c r="L64" s="164"/>
      <c r="M64" s="153">
        <f>SUM(M56:M63)</f>
        <v>90336.805555553496</v>
      </c>
    </row>
    <row r="66" spans="4:11" ht="24" x14ac:dyDescent="0.3">
      <c r="D66" s="171" t="s">
        <v>308</v>
      </c>
    </row>
    <row r="67" spans="4:11" ht="17" thickBot="1" x14ac:dyDescent="0.25"/>
    <row r="68" spans="4:11" ht="19" x14ac:dyDescent="0.2">
      <c r="D68" s="70">
        <v>996</v>
      </c>
      <c r="E68" s="170" t="s">
        <v>306</v>
      </c>
      <c r="F68" s="165" t="s">
        <v>295</v>
      </c>
      <c r="G68" s="182">
        <f>K70</f>
        <v>998.57500000000005</v>
      </c>
      <c r="J68" s="160" t="s">
        <v>291</v>
      </c>
      <c r="K68" s="160"/>
    </row>
    <row r="69" spans="4:11" ht="19" x14ac:dyDescent="0.2">
      <c r="D69" s="70">
        <v>1006</v>
      </c>
      <c r="E69" s="170"/>
      <c r="F69" s="162" t="s">
        <v>296</v>
      </c>
      <c r="G69" s="163">
        <f>K72</f>
        <v>995.5</v>
      </c>
    </row>
    <row r="70" spans="4:11" ht="20" thickBot="1" x14ac:dyDescent="0.25">
      <c r="D70" s="70">
        <v>997</v>
      </c>
      <c r="E70" s="170"/>
      <c r="F70" s="168" t="s">
        <v>300</v>
      </c>
      <c r="G70" s="183">
        <f>K73</f>
        <v>994</v>
      </c>
      <c r="J70" t="s">
        <v>278</v>
      </c>
      <c r="K70">
        <v>998.57500000000005</v>
      </c>
    </row>
    <row r="71" spans="4:11" ht="20" thickBot="1" x14ac:dyDescent="0.25">
      <c r="D71" s="70">
        <v>989</v>
      </c>
      <c r="E71" s="170"/>
      <c r="G71" s="30"/>
      <c r="J71" t="s">
        <v>279</v>
      </c>
      <c r="K71">
        <v>1.109209127241199</v>
      </c>
    </row>
    <row r="72" spans="4:11" ht="19" x14ac:dyDescent="0.2">
      <c r="D72" s="70">
        <v>1010</v>
      </c>
      <c r="E72" s="170" t="s">
        <v>307</v>
      </c>
      <c r="F72" s="165" t="s">
        <v>301</v>
      </c>
      <c r="G72" s="182">
        <f>K74</f>
        <v>12.150777199612454</v>
      </c>
      <c r="J72" t="s">
        <v>280</v>
      </c>
      <c r="K72">
        <v>995.5</v>
      </c>
    </row>
    <row r="73" spans="4:11" ht="19" x14ac:dyDescent="0.2">
      <c r="D73" s="70">
        <v>991</v>
      </c>
      <c r="E73" s="170"/>
      <c r="F73" s="162" t="s">
        <v>245</v>
      </c>
      <c r="G73" s="163">
        <f>G68+(3*G72)</f>
        <v>1035.0273315988375</v>
      </c>
      <c r="J73" t="s">
        <v>281</v>
      </c>
      <c r="K73">
        <v>994</v>
      </c>
    </row>
    <row r="74" spans="4:11" ht="20" thickBot="1" x14ac:dyDescent="0.25">
      <c r="D74" s="70">
        <v>985</v>
      </c>
      <c r="E74" s="170"/>
      <c r="F74" s="168" t="s">
        <v>244</v>
      </c>
      <c r="G74" s="183">
        <f>G68-(3*G72)</f>
        <v>962.12266840116263</v>
      </c>
      <c r="J74" t="s">
        <v>282</v>
      </c>
      <c r="K74">
        <v>12.150777199612454</v>
      </c>
    </row>
    <row r="75" spans="4:11" ht="19" x14ac:dyDescent="0.2">
      <c r="D75" s="70">
        <v>986</v>
      </c>
      <c r="E75" s="170"/>
      <c r="J75" t="s">
        <v>283</v>
      </c>
      <c r="K75">
        <v>147.64138655462187</v>
      </c>
    </row>
    <row r="76" spans="4:11" ht="19" x14ac:dyDescent="0.2">
      <c r="D76" s="70">
        <v>980</v>
      </c>
      <c r="E76" s="170" t="s">
        <v>304</v>
      </c>
      <c r="F76" t="s">
        <v>303</v>
      </c>
      <c r="J76" t="s">
        <v>284</v>
      </c>
      <c r="K76">
        <v>-0.30486681031036733</v>
      </c>
    </row>
    <row r="77" spans="4:11" ht="20" thickBot="1" x14ac:dyDescent="0.25">
      <c r="D77" s="70">
        <v>990</v>
      </c>
      <c r="E77" s="170"/>
      <c r="J77" t="s">
        <v>285</v>
      </c>
      <c r="K77">
        <v>0.44769334055042648</v>
      </c>
    </row>
    <row r="78" spans="4:11" ht="19" x14ac:dyDescent="0.2">
      <c r="D78" s="70">
        <v>985</v>
      </c>
      <c r="E78" s="170" t="s">
        <v>305</v>
      </c>
      <c r="F78" s="165" t="s">
        <v>284</v>
      </c>
      <c r="G78" s="172">
        <f>K76</f>
        <v>-0.30486681031036733</v>
      </c>
      <c r="H78" s="161" t="s">
        <v>375</v>
      </c>
      <c r="J78" t="s">
        <v>286</v>
      </c>
      <c r="K78">
        <v>60</v>
      </c>
    </row>
    <row r="79" spans="4:11" ht="20" thickBot="1" x14ac:dyDescent="0.25">
      <c r="D79" s="70">
        <v>987</v>
      </c>
      <c r="F79" s="168" t="s">
        <v>293</v>
      </c>
      <c r="G79" s="173">
        <f>K77</f>
        <v>0.44769334055042648</v>
      </c>
      <c r="H79" s="159"/>
      <c r="J79" t="s">
        <v>287</v>
      </c>
      <c r="K79">
        <v>970</v>
      </c>
    </row>
    <row r="80" spans="4:11" ht="19" x14ac:dyDescent="0.2">
      <c r="D80" s="70">
        <v>1019</v>
      </c>
      <c r="J80" t="s">
        <v>288</v>
      </c>
      <c r="K80">
        <v>1030</v>
      </c>
    </row>
    <row r="81" spans="4:11" ht="19" x14ac:dyDescent="0.2">
      <c r="D81" s="70">
        <v>996</v>
      </c>
      <c r="J81" t="s">
        <v>289</v>
      </c>
      <c r="K81">
        <v>119829</v>
      </c>
    </row>
    <row r="82" spans="4:11" ht="20" thickBot="1" x14ac:dyDescent="0.25">
      <c r="D82" s="70">
        <v>991</v>
      </c>
      <c r="J82" s="1" t="s">
        <v>290</v>
      </c>
      <c r="K82" s="1">
        <v>120</v>
      </c>
    </row>
    <row r="83" spans="4:11" ht="19" x14ac:dyDescent="0.2">
      <c r="D83" s="70">
        <v>1011</v>
      </c>
    </row>
    <row r="84" spans="4:11" ht="19" x14ac:dyDescent="0.2">
      <c r="D84" s="70">
        <v>995</v>
      </c>
    </row>
    <row r="85" spans="4:11" ht="19" x14ac:dyDescent="0.2">
      <c r="D85" s="70">
        <v>996</v>
      </c>
    </row>
    <row r="86" spans="4:11" ht="19" x14ac:dyDescent="0.2">
      <c r="D86" s="70">
        <v>1009</v>
      </c>
    </row>
    <row r="87" spans="4:11" ht="19" x14ac:dyDescent="0.2">
      <c r="D87" s="70">
        <v>994</v>
      </c>
    </row>
    <row r="88" spans="4:11" ht="19" x14ac:dyDescent="0.2">
      <c r="D88" s="70">
        <v>982</v>
      </c>
    </row>
    <row r="89" spans="4:11" ht="19" x14ac:dyDescent="0.2">
      <c r="D89" s="70">
        <v>986</v>
      </c>
    </row>
    <row r="90" spans="4:11" ht="19" x14ac:dyDescent="0.2">
      <c r="D90" s="70">
        <v>970</v>
      </c>
    </row>
    <row r="91" spans="4:11" ht="19" x14ac:dyDescent="0.2">
      <c r="D91" s="70">
        <v>975</v>
      </c>
    </row>
    <row r="92" spans="4:11" ht="19" x14ac:dyDescent="0.2">
      <c r="D92" s="70">
        <v>981</v>
      </c>
    </row>
    <row r="93" spans="4:11" ht="19" x14ac:dyDescent="0.2">
      <c r="D93" s="70">
        <v>991</v>
      </c>
    </row>
    <row r="94" spans="4:11" ht="19" x14ac:dyDescent="0.2">
      <c r="D94" s="70">
        <v>989</v>
      </c>
    </row>
    <row r="95" spans="4:11" ht="19" x14ac:dyDescent="0.2">
      <c r="D95" s="70">
        <v>1003</v>
      </c>
    </row>
    <row r="96" spans="4:11" ht="19" x14ac:dyDescent="0.2">
      <c r="D96" s="70">
        <v>990</v>
      </c>
    </row>
    <row r="97" spans="4:4" ht="19" x14ac:dyDescent="0.2">
      <c r="D97" s="70">
        <v>1003</v>
      </c>
    </row>
    <row r="98" spans="4:4" ht="19" x14ac:dyDescent="0.2">
      <c r="D98" s="70">
        <v>1015</v>
      </c>
    </row>
    <row r="99" spans="4:4" ht="19" x14ac:dyDescent="0.2">
      <c r="D99" s="70">
        <v>1008</v>
      </c>
    </row>
    <row r="100" spans="4:4" ht="19" x14ac:dyDescent="0.2">
      <c r="D100" s="70">
        <v>986</v>
      </c>
    </row>
    <row r="101" spans="4:4" ht="19" x14ac:dyDescent="0.2">
      <c r="D101" s="70">
        <v>994</v>
      </c>
    </row>
    <row r="102" spans="4:4" ht="19" x14ac:dyDescent="0.2">
      <c r="D102" s="70">
        <v>1008</v>
      </c>
    </row>
    <row r="103" spans="4:4" ht="19" x14ac:dyDescent="0.2">
      <c r="D103" s="70">
        <v>998</v>
      </c>
    </row>
    <row r="104" spans="4:4" ht="19" x14ac:dyDescent="0.2">
      <c r="D104" s="70">
        <v>999</v>
      </c>
    </row>
    <row r="105" spans="4:4" ht="19" x14ac:dyDescent="0.2">
      <c r="D105" s="70">
        <v>993</v>
      </c>
    </row>
    <row r="106" spans="4:4" ht="19" x14ac:dyDescent="0.2">
      <c r="D106" s="70">
        <v>988</v>
      </c>
    </row>
    <row r="107" spans="4:4" ht="19" x14ac:dyDescent="0.2">
      <c r="D107" s="70">
        <v>984</v>
      </c>
    </row>
    <row r="108" spans="4:4" ht="19" x14ac:dyDescent="0.2">
      <c r="D108" s="70">
        <v>1015</v>
      </c>
    </row>
    <row r="109" spans="4:4" ht="19" x14ac:dyDescent="0.2">
      <c r="D109" s="70">
        <v>1020</v>
      </c>
    </row>
    <row r="110" spans="4:4" ht="19" x14ac:dyDescent="0.2">
      <c r="D110" s="70">
        <v>1009</v>
      </c>
    </row>
    <row r="111" spans="4:4" ht="19" x14ac:dyDescent="0.2">
      <c r="D111" s="70">
        <v>1030</v>
      </c>
    </row>
    <row r="112" spans="4:4" ht="19" x14ac:dyDescent="0.2">
      <c r="D112" s="70">
        <v>991</v>
      </c>
    </row>
    <row r="113" spans="4:4" ht="19" x14ac:dyDescent="0.2">
      <c r="D113" s="70">
        <v>985</v>
      </c>
    </row>
    <row r="114" spans="4:4" ht="19" x14ac:dyDescent="0.2">
      <c r="D114" s="70">
        <v>995</v>
      </c>
    </row>
    <row r="115" spans="4:4" ht="19" x14ac:dyDescent="0.2">
      <c r="D115" s="70">
        <v>990</v>
      </c>
    </row>
    <row r="116" spans="4:4" ht="19" x14ac:dyDescent="0.2">
      <c r="D116" s="70">
        <v>1013</v>
      </c>
    </row>
    <row r="117" spans="4:4" ht="19" x14ac:dyDescent="0.2">
      <c r="D117" s="70">
        <v>1002</v>
      </c>
    </row>
    <row r="118" spans="4:4" ht="19" x14ac:dyDescent="0.2">
      <c r="D118" s="70">
        <v>1005</v>
      </c>
    </row>
    <row r="119" spans="4:4" ht="19" x14ac:dyDescent="0.2">
      <c r="D119" s="70">
        <v>992</v>
      </c>
    </row>
    <row r="120" spans="4:4" ht="19" x14ac:dyDescent="0.2">
      <c r="D120" s="70">
        <v>1013</v>
      </c>
    </row>
    <row r="121" spans="4:4" ht="19" x14ac:dyDescent="0.2">
      <c r="D121" s="70">
        <v>1019</v>
      </c>
    </row>
    <row r="122" spans="4:4" ht="19" x14ac:dyDescent="0.2">
      <c r="D122" s="70">
        <v>1005</v>
      </c>
    </row>
    <row r="123" spans="4:4" ht="19" x14ac:dyDescent="0.2">
      <c r="D123" s="70">
        <v>993</v>
      </c>
    </row>
    <row r="124" spans="4:4" ht="19" x14ac:dyDescent="0.2">
      <c r="D124" s="70">
        <v>1006</v>
      </c>
    </row>
    <row r="125" spans="4:4" ht="19" x14ac:dyDescent="0.2">
      <c r="D125" s="70">
        <v>992</v>
      </c>
    </row>
    <row r="126" spans="4:4" ht="19" x14ac:dyDescent="0.2">
      <c r="D126" s="70">
        <v>990</v>
      </c>
    </row>
    <row r="127" spans="4:4" ht="19" x14ac:dyDescent="0.2">
      <c r="D127" s="70">
        <v>1005</v>
      </c>
    </row>
    <row r="128" spans="4:4" ht="19" x14ac:dyDescent="0.2">
      <c r="D128" s="70">
        <v>1019</v>
      </c>
    </row>
    <row r="129" spans="4:4" ht="19" x14ac:dyDescent="0.2">
      <c r="D129" s="70">
        <v>995</v>
      </c>
    </row>
    <row r="130" spans="4:4" ht="19" x14ac:dyDescent="0.2">
      <c r="D130" s="70">
        <v>1020</v>
      </c>
    </row>
    <row r="131" spans="4:4" ht="19" x14ac:dyDescent="0.2">
      <c r="D131" s="70">
        <v>1005</v>
      </c>
    </row>
    <row r="132" spans="4:4" ht="19" x14ac:dyDescent="0.2">
      <c r="D132" s="70">
        <v>994</v>
      </c>
    </row>
    <row r="133" spans="4:4" ht="19" x14ac:dyDescent="0.2">
      <c r="D133" s="70">
        <v>1001</v>
      </c>
    </row>
    <row r="134" spans="4:4" ht="19" x14ac:dyDescent="0.2">
      <c r="D134" s="70">
        <v>994</v>
      </c>
    </row>
    <row r="135" spans="4:4" ht="19" x14ac:dyDescent="0.2">
      <c r="D135" s="70">
        <v>1005</v>
      </c>
    </row>
    <row r="136" spans="4:4" ht="19" x14ac:dyDescent="0.2">
      <c r="D136" s="70">
        <v>1001</v>
      </c>
    </row>
    <row r="137" spans="4:4" ht="19" x14ac:dyDescent="0.2">
      <c r="D137" s="70">
        <v>989</v>
      </c>
    </row>
    <row r="138" spans="4:4" ht="19" x14ac:dyDescent="0.2">
      <c r="D138" s="70">
        <v>994</v>
      </c>
    </row>
    <row r="139" spans="4:4" ht="19" x14ac:dyDescent="0.2">
      <c r="D139" s="70">
        <v>1013</v>
      </c>
    </row>
    <row r="140" spans="4:4" ht="19" x14ac:dyDescent="0.2">
      <c r="D140" s="70">
        <v>1020</v>
      </c>
    </row>
    <row r="141" spans="4:4" ht="19" x14ac:dyDescent="0.2">
      <c r="D141" s="70">
        <v>1015</v>
      </c>
    </row>
    <row r="142" spans="4:4" ht="19" x14ac:dyDescent="0.2">
      <c r="D142" s="70">
        <v>1030</v>
      </c>
    </row>
    <row r="143" spans="4:4" ht="19" x14ac:dyDescent="0.2">
      <c r="D143" s="70">
        <v>1025</v>
      </c>
    </row>
    <row r="144" spans="4:4" ht="19" x14ac:dyDescent="0.2">
      <c r="D144" s="70">
        <v>989</v>
      </c>
    </row>
    <row r="145" spans="4:4" ht="19" x14ac:dyDescent="0.2">
      <c r="D145" s="70">
        <v>992</v>
      </c>
    </row>
    <row r="146" spans="4:4" ht="19" x14ac:dyDescent="0.2">
      <c r="D146" s="70">
        <v>982</v>
      </c>
    </row>
    <row r="147" spans="4:4" ht="19" x14ac:dyDescent="0.2">
      <c r="D147" s="70">
        <v>1020</v>
      </c>
    </row>
    <row r="148" spans="4:4" ht="19" x14ac:dyDescent="0.2">
      <c r="D148" s="70">
        <v>1000</v>
      </c>
    </row>
    <row r="149" spans="4:4" ht="19" x14ac:dyDescent="0.2">
      <c r="D149" s="70">
        <v>995</v>
      </c>
    </row>
    <row r="150" spans="4:4" ht="19" x14ac:dyDescent="0.2">
      <c r="D150" s="70">
        <v>990</v>
      </c>
    </row>
    <row r="151" spans="4:4" ht="19" x14ac:dyDescent="0.2">
      <c r="D151" s="70">
        <v>1020</v>
      </c>
    </row>
    <row r="152" spans="4:4" ht="19" x14ac:dyDescent="0.2">
      <c r="D152" s="70">
        <v>1010</v>
      </c>
    </row>
    <row r="153" spans="4:4" ht="19" x14ac:dyDescent="0.2">
      <c r="D153" s="70">
        <v>991</v>
      </c>
    </row>
    <row r="154" spans="4:4" ht="19" x14ac:dyDescent="0.2">
      <c r="D154" s="70">
        <v>985</v>
      </c>
    </row>
    <row r="155" spans="4:4" ht="19" x14ac:dyDescent="0.2">
      <c r="D155" s="70">
        <v>986</v>
      </c>
    </row>
    <row r="156" spans="4:4" ht="19" x14ac:dyDescent="0.2">
      <c r="D156" s="70">
        <v>1001</v>
      </c>
    </row>
    <row r="157" spans="4:4" ht="19" x14ac:dyDescent="0.2">
      <c r="D157" s="70">
        <v>986</v>
      </c>
    </row>
    <row r="158" spans="4:4" ht="19" x14ac:dyDescent="0.2">
      <c r="D158" s="70">
        <v>996</v>
      </c>
    </row>
    <row r="159" spans="4:4" ht="19" x14ac:dyDescent="0.2">
      <c r="D159" s="70">
        <v>996</v>
      </c>
    </row>
    <row r="160" spans="4:4" ht="19" x14ac:dyDescent="0.2">
      <c r="D160" s="70">
        <v>1010</v>
      </c>
    </row>
    <row r="161" spans="4:4" ht="19" x14ac:dyDescent="0.2">
      <c r="D161" s="70">
        <v>991</v>
      </c>
    </row>
    <row r="162" spans="4:4" ht="19" x14ac:dyDescent="0.2">
      <c r="D162" s="70">
        <v>985</v>
      </c>
    </row>
    <row r="163" spans="4:4" ht="19" x14ac:dyDescent="0.2">
      <c r="D163" s="70">
        <v>988</v>
      </c>
    </row>
    <row r="164" spans="4:4" ht="19" x14ac:dyDescent="0.2">
      <c r="D164" s="70">
        <v>994</v>
      </c>
    </row>
    <row r="165" spans="4:4" ht="19" x14ac:dyDescent="0.2">
      <c r="D165" s="70">
        <v>1001</v>
      </c>
    </row>
    <row r="166" spans="4:4" ht="19" x14ac:dyDescent="0.2">
      <c r="D166" s="70">
        <v>994</v>
      </c>
    </row>
    <row r="167" spans="4:4" ht="19" x14ac:dyDescent="0.2">
      <c r="D167" s="70">
        <v>1005</v>
      </c>
    </row>
    <row r="168" spans="4:4" ht="19" x14ac:dyDescent="0.2">
      <c r="D168" s="70">
        <v>1006</v>
      </c>
    </row>
    <row r="169" spans="4:4" ht="19" x14ac:dyDescent="0.2">
      <c r="D169" s="70">
        <v>989</v>
      </c>
    </row>
    <row r="170" spans="4:4" ht="19" x14ac:dyDescent="0.2">
      <c r="D170" s="70">
        <v>1005</v>
      </c>
    </row>
    <row r="171" spans="4:4" ht="19" x14ac:dyDescent="0.2">
      <c r="D171" s="70">
        <v>1007</v>
      </c>
    </row>
    <row r="172" spans="4:4" ht="19" x14ac:dyDescent="0.2">
      <c r="D172" s="70">
        <v>989</v>
      </c>
    </row>
    <row r="173" spans="4:4" ht="19" x14ac:dyDescent="0.2">
      <c r="D173" s="70">
        <v>992</v>
      </c>
    </row>
    <row r="174" spans="4:4" ht="19" x14ac:dyDescent="0.2">
      <c r="D174" s="70">
        <v>982</v>
      </c>
    </row>
    <row r="175" spans="4:4" ht="19" x14ac:dyDescent="0.2">
      <c r="D175" s="70">
        <v>1020</v>
      </c>
    </row>
    <row r="176" spans="4:4" ht="19" x14ac:dyDescent="0.2">
      <c r="D176" s="70">
        <v>995</v>
      </c>
    </row>
    <row r="177" spans="4:4" ht="19" x14ac:dyDescent="0.2">
      <c r="D177" s="70">
        <v>996</v>
      </c>
    </row>
    <row r="178" spans="4:4" ht="19" x14ac:dyDescent="0.2">
      <c r="D178" s="70">
        <v>1009</v>
      </c>
    </row>
    <row r="179" spans="4:4" ht="19" x14ac:dyDescent="0.2">
      <c r="D179" s="70">
        <v>994</v>
      </c>
    </row>
    <row r="180" spans="4:4" ht="19" x14ac:dyDescent="0.2">
      <c r="D180" s="70">
        <v>992</v>
      </c>
    </row>
    <row r="181" spans="4:4" ht="19" x14ac:dyDescent="0.2">
      <c r="D181" s="70">
        <v>1007</v>
      </c>
    </row>
    <row r="182" spans="4:4" ht="19" x14ac:dyDescent="0.2">
      <c r="D182" s="70">
        <v>1006</v>
      </c>
    </row>
    <row r="183" spans="4:4" ht="19" x14ac:dyDescent="0.2">
      <c r="D183" s="70">
        <v>979</v>
      </c>
    </row>
    <row r="184" spans="4:4" ht="19" x14ac:dyDescent="0.2">
      <c r="D184" s="70">
        <v>1010</v>
      </c>
    </row>
    <row r="185" spans="4:4" ht="19" x14ac:dyDescent="0.2">
      <c r="D185" s="70">
        <v>996</v>
      </c>
    </row>
    <row r="186" spans="4:4" ht="19" x14ac:dyDescent="0.2">
      <c r="D186" s="70">
        <v>991</v>
      </c>
    </row>
    <row r="187" spans="4:4" ht="19" x14ac:dyDescent="0.2">
      <c r="D187" s="70">
        <v>1011</v>
      </c>
    </row>
  </sheetData>
  <mergeCells count="7">
    <mergeCell ref="U27:W31"/>
    <mergeCell ref="F49:G49"/>
    <mergeCell ref="F25:G25"/>
    <mergeCell ref="F33:G33"/>
    <mergeCell ref="H34:J36"/>
    <mergeCell ref="F38:G38"/>
    <mergeCell ref="H39:J47"/>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FA580-27CE-3147-A55F-71C6B72F7A2F}">
  <dimension ref="B2:V127"/>
  <sheetViews>
    <sheetView workbookViewId="0">
      <selection activeCell="H51" sqref="H51"/>
    </sheetView>
  </sheetViews>
  <sheetFormatPr baseColWidth="10" defaultRowHeight="16" x14ac:dyDescent="0.2"/>
  <cols>
    <col min="6" max="6" width="13.6640625" customWidth="1"/>
    <col min="8" max="8" width="13" customWidth="1"/>
    <col min="10" max="10" width="12.6640625" bestFit="1" customWidth="1"/>
  </cols>
  <sheetData>
    <row r="2" spans="2:7" ht="19" x14ac:dyDescent="0.2">
      <c r="B2" s="72">
        <v>12</v>
      </c>
      <c r="C2" s="72">
        <v>11.97</v>
      </c>
      <c r="D2" s="72">
        <v>12.1</v>
      </c>
      <c r="E2" s="72">
        <v>12.08</v>
      </c>
      <c r="G2" s="2">
        <f>MAX(B2:E16)</f>
        <v>12.12</v>
      </c>
    </row>
    <row r="3" spans="2:7" ht="19" x14ac:dyDescent="0.2">
      <c r="B3" s="72">
        <v>11.91</v>
      </c>
      <c r="C3" s="72">
        <v>11.94</v>
      </c>
      <c r="D3" s="72">
        <v>12.1</v>
      </c>
      <c r="E3" s="72">
        <v>11.96</v>
      </c>
      <c r="G3" s="2">
        <f>MIN(B2:E16)</f>
        <v>11.89</v>
      </c>
    </row>
    <row r="4" spans="2:7" ht="19" x14ac:dyDescent="0.2">
      <c r="B4" s="72">
        <v>11.89</v>
      </c>
      <c r="C4" s="72">
        <v>12.02</v>
      </c>
      <c r="D4" s="72">
        <v>11.97</v>
      </c>
      <c r="E4" s="72">
        <v>11.99</v>
      </c>
    </row>
    <row r="5" spans="2:7" ht="19" x14ac:dyDescent="0.2">
      <c r="B5" s="72">
        <v>12.1</v>
      </c>
      <c r="C5" s="72">
        <v>12.09</v>
      </c>
      <c r="D5" s="72">
        <v>12.05</v>
      </c>
      <c r="E5" s="72">
        <v>11.95</v>
      </c>
    </row>
    <row r="6" spans="2:7" ht="19" x14ac:dyDescent="0.2">
      <c r="B6" s="72">
        <v>12.08</v>
      </c>
      <c r="C6" s="72">
        <v>11.92</v>
      </c>
      <c r="D6" s="72">
        <v>12.12</v>
      </c>
      <c r="E6" s="72">
        <v>12.05</v>
      </c>
    </row>
    <row r="7" spans="2:7" ht="19" x14ac:dyDescent="0.2">
      <c r="B7" s="72">
        <v>11.94</v>
      </c>
      <c r="C7" s="72">
        <v>11.98</v>
      </c>
      <c r="D7" s="72">
        <v>12.06</v>
      </c>
      <c r="E7" s="72">
        <v>12.08</v>
      </c>
    </row>
    <row r="8" spans="2:7" ht="19" x14ac:dyDescent="0.2">
      <c r="B8" s="72">
        <v>12.09</v>
      </c>
      <c r="C8" s="72">
        <v>12</v>
      </c>
      <c r="D8" s="72">
        <v>12</v>
      </c>
      <c r="E8" s="72">
        <v>12.03</v>
      </c>
    </row>
    <row r="9" spans="2:7" ht="19" x14ac:dyDescent="0.2">
      <c r="B9" s="72">
        <v>12.01</v>
      </c>
      <c r="C9" s="72">
        <v>12.04</v>
      </c>
      <c r="D9" s="72">
        <v>11.99</v>
      </c>
      <c r="E9" s="72">
        <v>11.95</v>
      </c>
    </row>
    <row r="10" spans="2:7" ht="19" x14ac:dyDescent="0.2">
      <c r="B10" s="72">
        <v>12</v>
      </c>
      <c r="C10" s="72">
        <v>11.96</v>
      </c>
      <c r="D10" s="72">
        <v>11.97</v>
      </c>
      <c r="E10" s="72">
        <v>12.03</v>
      </c>
    </row>
    <row r="11" spans="2:7" ht="19" x14ac:dyDescent="0.2">
      <c r="B11" s="72">
        <v>11.92</v>
      </c>
      <c r="C11" s="72">
        <v>11.94</v>
      </c>
      <c r="D11" s="72">
        <v>12.09</v>
      </c>
      <c r="E11" s="72">
        <v>12</v>
      </c>
    </row>
    <row r="12" spans="2:7" ht="19" x14ac:dyDescent="0.2">
      <c r="B12" s="72">
        <v>11.91</v>
      </c>
      <c r="C12" s="72">
        <v>11.99</v>
      </c>
      <c r="D12" s="72">
        <v>12.05</v>
      </c>
      <c r="E12" s="72">
        <v>12.1</v>
      </c>
    </row>
    <row r="13" spans="2:7" ht="19" x14ac:dyDescent="0.2">
      <c r="B13" s="72">
        <v>12.01</v>
      </c>
      <c r="C13" s="72">
        <v>12</v>
      </c>
      <c r="D13" s="72">
        <v>12.06</v>
      </c>
      <c r="E13" s="72">
        <v>11.97</v>
      </c>
    </row>
    <row r="14" spans="2:7" ht="19" x14ac:dyDescent="0.2">
      <c r="B14" s="72">
        <v>11.98</v>
      </c>
      <c r="C14" s="72">
        <v>11.99</v>
      </c>
      <c r="D14" s="72">
        <v>12.06</v>
      </c>
      <c r="E14" s="72">
        <v>12.03</v>
      </c>
    </row>
    <row r="15" spans="2:7" ht="19" x14ac:dyDescent="0.2">
      <c r="B15" s="72">
        <v>12.02</v>
      </c>
      <c r="C15" s="72">
        <v>12</v>
      </c>
      <c r="D15" s="72">
        <v>12.05</v>
      </c>
      <c r="E15" s="72">
        <v>11.95</v>
      </c>
    </row>
    <row r="16" spans="2:7" ht="19" x14ac:dyDescent="0.2">
      <c r="B16" s="72">
        <v>12</v>
      </c>
      <c r="C16" s="72">
        <v>12.05</v>
      </c>
      <c r="D16" s="72">
        <v>12.01</v>
      </c>
      <c r="E16" s="72">
        <v>11.97</v>
      </c>
    </row>
    <row r="18" spans="2:22" x14ac:dyDescent="0.2">
      <c r="B18" s="29" t="s">
        <v>238</v>
      </c>
      <c r="C18" s="31">
        <f>MAX(B2:E16)-MIN(B2:E16)</f>
        <v>0.22999999999999865</v>
      </c>
      <c r="F18" s="29" t="s">
        <v>244</v>
      </c>
      <c r="G18" s="29" t="s">
        <v>245</v>
      </c>
      <c r="H18" s="29" t="s">
        <v>77</v>
      </c>
      <c r="I18" s="29" t="s">
        <v>263</v>
      </c>
      <c r="J18" s="29" t="s">
        <v>251</v>
      </c>
      <c r="K18" s="29" t="s">
        <v>254</v>
      </c>
      <c r="L18" s="29" t="s">
        <v>90</v>
      </c>
      <c r="M18" s="29" t="s">
        <v>255</v>
      </c>
      <c r="N18" s="29" t="s">
        <v>256</v>
      </c>
    </row>
    <row r="19" spans="2:22" x14ac:dyDescent="0.2">
      <c r="B19" s="29" t="s">
        <v>239</v>
      </c>
      <c r="C19" s="31">
        <f>1+(3.3*LOG(C24))</f>
        <v>6.8678991262660238</v>
      </c>
      <c r="D19" s="2">
        <f>ROUNDUP(C19,0)</f>
        <v>7</v>
      </c>
      <c r="F19" s="33">
        <f>(MIN(B2:E16)-C23)-0.005</f>
        <v>11.86</v>
      </c>
      <c r="G19" s="33">
        <f>(F19+$D$20)+0.005</f>
        <v>11.904999999999999</v>
      </c>
      <c r="H19" s="29">
        <f>COUNTIF(B2:E16,"&lt;11.905")</f>
        <v>1</v>
      </c>
      <c r="I19" s="33">
        <f>+H19/$H$26</f>
        <v>1.6666666666666666E-2</v>
      </c>
      <c r="J19" s="29">
        <f>+H19</f>
        <v>1</v>
      </c>
      <c r="K19" s="33">
        <f t="shared" ref="K19:K25" si="0">+(F19+G19)/2</f>
        <v>11.8825</v>
      </c>
      <c r="L19" s="29">
        <v>-3</v>
      </c>
      <c r="M19" s="29">
        <f t="shared" ref="M19:M25" si="1">+H19*L19</f>
        <v>-3</v>
      </c>
      <c r="N19" s="29">
        <f t="shared" ref="N19:N25" si="2">H19*(L19^2)</f>
        <v>9</v>
      </c>
    </row>
    <row r="20" spans="2:22" x14ac:dyDescent="0.2">
      <c r="B20" s="29" t="s">
        <v>240</v>
      </c>
      <c r="C20" s="33">
        <f>+C18/D19</f>
        <v>3.2857142857142661E-2</v>
      </c>
      <c r="D20" s="30">
        <v>0.04</v>
      </c>
      <c r="F20" s="29">
        <f>+G19</f>
        <v>11.904999999999999</v>
      </c>
      <c r="G20" s="33">
        <f>+F20+$D$20</f>
        <v>11.944999999999999</v>
      </c>
      <c r="H20" s="29">
        <f>COUNTIFS(B2:E16,"&gt;11.905",B2:E16,"&lt;11.945")</f>
        <v>7</v>
      </c>
      <c r="I20" s="33">
        <f t="shared" ref="I20:I25" si="3">+H20/$H$26</f>
        <v>0.11666666666666667</v>
      </c>
      <c r="J20" s="29">
        <f t="shared" ref="J20:J25" si="4">+J19+H20</f>
        <v>8</v>
      </c>
      <c r="K20" s="33">
        <f t="shared" si="0"/>
        <v>11.924999999999999</v>
      </c>
      <c r="L20" s="29">
        <v>-2</v>
      </c>
      <c r="M20" s="29">
        <f t="shared" si="1"/>
        <v>-14</v>
      </c>
      <c r="N20" s="29">
        <f t="shared" si="2"/>
        <v>28</v>
      </c>
    </row>
    <row r="21" spans="2:22" x14ac:dyDescent="0.2">
      <c r="B21" s="29" t="s">
        <v>241</v>
      </c>
      <c r="C21" s="29">
        <f>+D20*D19</f>
        <v>0.28000000000000003</v>
      </c>
      <c r="F21" s="29">
        <f t="shared" ref="F21:F25" si="5">+G20</f>
        <v>11.944999999999999</v>
      </c>
      <c r="G21" s="33">
        <f t="shared" ref="G21:G25" si="6">+F21+$D$20</f>
        <v>11.984999999999998</v>
      </c>
      <c r="H21" s="29">
        <f>COUNTIFS(B2:E16,"&gt;11.945",B2:E16,"&lt;11.985")</f>
        <v>12</v>
      </c>
      <c r="I21" s="33">
        <f t="shared" si="3"/>
        <v>0.2</v>
      </c>
      <c r="J21" s="29">
        <f t="shared" si="4"/>
        <v>20</v>
      </c>
      <c r="K21" s="33">
        <f t="shared" si="0"/>
        <v>11.964999999999998</v>
      </c>
      <c r="L21" s="29">
        <v>-1</v>
      </c>
      <c r="M21" s="29">
        <f t="shared" si="1"/>
        <v>-12</v>
      </c>
      <c r="N21" s="29">
        <f t="shared" si="2"/>
        <v>12</v>
      </c>
    </row>
    <row r="22" spans="2:22" x14ac:dyDescent="0.2">
      <c r="B22" s="29" t="s">
        <v>242</v>
      </c>
      <c r="C22" s="33">
        <f>+C21-C18</f>
        <v>5.0000000000001377E-2</v>
      </c>
      <c r="F22" s="29">
        <f t="shared" si="5"/>
        <v>11.984999999999998</v>
      </c>
      <c r="G22" s="33">
        <f t="shared" si="6"/>
        <v>12.024999999999997</v>
      </c>
      <c r="H22" s="29">
        <f>COUNTIFS(B2:E16,"&gt;11.985",B2:E16,"&lt;12.025")</f>
        <v>17</v>
      </c>
      <c r="I22" s="33">
        <f t="shared" si="3"/>
        <v>0.28333333333333333</v>
      </c>
      <c r="J22" s="29">
        <f t="shared" si="4"/>
        <v>37</v>
      </c>
      <c r="K22" s="33">
        <f t="shared" si="0"/>
        <v>12.004999999999997</v>
      </c>
      <c r="L22" s="29">
        <v>0</v>
      </c>
      <c r="M22" s="29">
        <f t="shared" si="1"/>
        <v>0</v>
      </c>
      <c r="N22" s="29">
        <f t="shared" si="2"/>
        <v>0</v>
      </c>
    </row>
    <row r="23" spans="2:22" x14ac:dyDescent="0.2">
      <c r="B23" s="29" t="s">
        <v>243</v>
      </c>
      <c r="C23" s="33">
        <f>+C22/2</f>
        <v>2.5000000000000688E-2</v>
      </c>
      <c r="F23" s="29">
        <f t="shared" si="5"/>
        <v>12.024999999999997</v>
      </c>
      <c r="G23" s="33">
        <f t="shared" si="6"/>
        <v>12.064999999999996</v>
      </c>
      <c r="H23" s="29">
        <f>COUNTIFS(B2:E16,"&gt;12.025",B2:E16,"&lt;12.065")</f>
        <v>12</v>
      </c>
      <c r="I23" s="33">
        <f t="shared" si="3"/>
        <v>0.2</v>
      </c>
      <c r="J23" s="29">
        <f t="shared" si="4"/>
        <v>49</v>
      </c>
      <c r="K23" s="33">
        <f>+(F23+G23)/2</f>
        <v>12.044999999999996</v>
      </c>
      <c r="L23" s="29">
        <v>1</v>
      </c>
      <c r="M23" s="29">
        <f t="shared" si="1"/>
        <v>12</v>
      </c>
      <c r="N23" s="29">
        <f t="shared" si="2"/>
        <v>12</v>
      </c>
    </row>
    <row r="24" spans="2:22" x14ac:dyDescent="0.2">
      <c r="B24" s="29" t="s">
        <v>250</v>
      </c>
      <c r="C24" s="29">
        <f>COUNT(B2:E16)</f>
        <v>60</v>
      </c>
      <c r="F24" s="29">
        <f t="shared" si="5"/>
        <v>12.064999999999996</v>
      </c>
      <c r="G24" s="33">
        <f t="shared" si="6"/>
        <v>12.104999999999995</v>
      </c>
      <c r="H24" s="29">
        <f>COUNTIFS(B2:E16,"&gt;12.065",B2:E16,"&lt;12.105")</f>
        <v>10</v>
      </c>
      <c r="I24" s="33">
        <f t="shared" si="3"/>
        <v>0.16666666666666666</v>
      </c>
      <c r="J24" s="29">
        <f t="shared" si="4"/>
        <v>59</v>
      </c>
      <c r="K24" s="33">
        <f t="shared" si="0"/>
        <v>12.084999999999996</v>
      </c>
      <c r="L24" s="29">
        <v>2</v>
      </c>
      <c r="M24" s="29">
        <f t="shared" si="1"/>
        <v>20</v>
      </c>
      <c r="N24" s="29">
        <f t="shared" si="2"/>
        <v>40</v>
      </c>
    </row>
    <row r="25" spans="2:22" x14ac:dyDescent="0.2">
      <c r="F25" s="29">
        <f t="shared" si="5"/>
        <v>12.104999999999995</v>
      </c>
      <c r="G25" s="33">
        <f t="shared" si="6"/>
        <v>12.144999999999994</v>
      </c>
      <c r="H25" s="29">
        <f>COUNTIFS(B2:E16,"&gt;12.105",B2:E16,"&lt;12.145")</f>
        <v>1</v>
      </c>
      <c r="I25" s="33">
        <f t="shared" si="3"/>
        <v>1.6666666666666666E-2</v>
      </c>
      <c r="J25" s="29">
        <f t="shared" si="4"/>
        <v>60</v>
      </c>
      <c r="K25" s="33">
        <f t="shared" si="0"/>
        <v>12.124999999999995</v>
      </c>
      <c r="L25" s="29">
        <v>3</v>
      </c>
      <c r="M25" s="29">
        <f t="shared" si="1"/>
        <v>3</v>
      </c>
      <c r="N25" s="29">
        <f t="shared" si="2"/>
        <v>9</v>
      </c>
    </row>
    <row r="26" spans="2:22" ht="17" thickBot="1" x14ac:dyDescent="0.25">
      <c r="F26" s="29"/>
      <c r="G26" s="29"/>
      <c r="H26" s="29">
        <f>SUM(H19:H25)</f>
        <v>60</v>
      </c>
      <c r="I26" s="33"/>
      <c r="J26" s="29"/>
      <c r="K26" s="29"/>
      <c r="L26" s="29"/>
      <c r="M26" s="29">
        <f>SUM(M19:M25)</f>
        <v>6</v>
      </c>
      <c r="N26" s="29">
        <f>SUM(N19:N25)</f>
        <v>110</v>
      </c>
    </row>
    <row r="27" spans="2:22" x14ac:dyDescent="0.2">
      <c r="E27" s="46" t="s">
        <v>258</v>
      </c>
      <c r="F27" s="307" t="s">
        <v>246</v>
      </c>
      <c r="G27" s="309"/>
    </row>
    <row r="28" spans="2:22" x14ac:dyDescent="0.2">
      <c r="F28" s="149" t="s">
        <v>247</v>
      </c>
      <c r="G28" s="150">
        <f>+H22-H21</f>
        <v>5</v>
      </c>
    </row>
    <row r="29" spans="2:22" x14ac:dyDescent="0.2">
      <c r="F29" s="149" t="s">
        <v>248</v>
      </c>
      <c r="G29" s="150">
        <f>+H22-H23</f>
        <v>5</v>
      </c>
      <c r="T29" s="306" t="s">
        <v>329</v>
      </c>
      <c r="U29" s="306"/>
      <c r="V29" s="306"/>
    </row>
    <row r="30" spans="2:22" x14ac:dyDescent="0.2">
      <c r="F30" s="149" t="s">
        <v>249</v>
      </c>
      <c r="G30" s="175">
        <f>+F22+((G28/(G28+G29))*D20)</f>
        <v>12.004999999999997</v>
      </c>
      <c r="T30" s="306"/>
      <c r="U30" s="306"/>
      <c r="V30" s="306"/>
    </row>
    <row r="31" spans="2:22" x14ac:dyDescent="0.2">
      <c r="F31" s="149" t="s">
        <v>253</v>
      </c>
      <c r="G31" s="151">
        <f>(C24+1)/2</f>
        <v>30.5</v>
      </c>
      <c r="T31" s="306"/>
      <c r="U31" s="306"/>
      <c r="V31" s="306"/>
    </row>
    <row r="32" spans="2:22" x14ac:dyDescent="0.2">
      <c r="F32" s="149" t="s">
        <v>252</v>
      </c>
      <c r="G32" s="175">
        <f>F21+((((C24/2)-J20)/H21)*D20)</f>
        <v>12.018333333333333</v>
      </c>
      <c r="T32" s="306"/>
      <c r="U32" s="306"/>
      <c r="V32" s="306"/>
    </row>
    <row r="33" spans="5:22" ht="17" thickBot="1" x14ac:dyDescent="0.25">
      <c r="F33" s="152" t="s">
        <v>257</v>
      </c>
      <c r="G33" s="176">
        <f>+K22+((M26*D20)/C24)</f>
        <v>12.008999999999997</v>
      </c>
      <c r="T33" s="306"/>
      <c r="U33" s="306"/>
      <c r="V33" s="306"/>
    </row>
    <row r="34" spans="5:22" ht="17" thickBot="1" x14ac:dyDescent="0.25"/>
    <row r="35" spans="5:22" x14ac:dyDescent="0.2">
      <c r="E35" s="46" t="s">
        <v>259</v>
      </c>
      <c r="F35" s="307" t="s">
        <v>246</v>
      </c>
      <c r="G35" s="308"/>
      <c r="H35" s="154"/>
      <c r="I35" s="154"/>
      <c r="J35" s="155"/>
    </row>
    <row r="36" spans="5:22" x14ac:dyDescent="0.2">
      <c r="F36" s="149" t="s">
        <v>302</v>
      </c>
      <c r="G36" s="31">
        <f>D20*SQRT((N26/C24)-((M26^2)/(C24^2)))</f>
        <v>5.4012344268077585E-2</v>
      </c>
      <c r="H36" s="310" t="s">
        <v>310</v>
      </c>
      <c r="I36" s="310"/>
      <c r="J36" s="311"/>
    </row>
    <row r="37" spans="5:22" x14ac:dyDescent="0.2">
      <c r="F37" s="149" t="s">
        <v>260</v>
      </c>
      <c r="G37" s="31">
        <f>G33+(3*G36)</f>
        <v>12.171037032804229</v>
      </c>
      <c r="H37" s="310"/>
      <c r="I37" s="310"/>
      <c r="J37" s="311"/>
    </row>
    <row r="38" spans="5:22" ht="17" thickBot="1" x14ac:dyDescent="0.25">
      <c r="F38" s="152" t="s">
        <v>261</v>
      </c>
      <c r="G38" s="156">
        <f>+G33-(3*G36)</f>
        <v>11.846962967195765</v>
      </c>
      <c r="H38" s="312"/>
      <c r="I38" s="312"/>
      <c r="J38" s="313"/>
    </row>
    <row r="39" spans="5:22" ht="17" thickBot="1" x14ac:dyDescent="0.25"/>
    <row r="40" spans="5:22" x14ac:dyDescent="0.2">
      <c r="E40" s="46" t="s">
        <v>262</v>
      </c>
      <c r="F40" s="307" t="s">
        <v>414</v>
      </c>
      <c r="G40" s="308"/>
      <c r="H40" s="314" t="s">
        <v>394</v>
      </c>
      <c r="I40" s="314"/>
      <c r="J40" s="315"/>
    </row>
    <row r="41" spans="5:22" x14ac:dyDescent="0.2">
      <c r="F41" s="149" t="s">
        <v>264</v>
      </c>
      <c r="G41" s="29" t="s">
        <v>77</v>
      </c>
      <c r="H41" s="310"/>
      <c r="I41" s="310"/>
      <c r="J41" s="311"/>
    </row>
    <row r="42" spans="5:22" x14ac:dyDescent="0.2">
      <c r="F42" s="149" t="s">
        <v>407</v>
      </c>
      <c r="G42" s="29">
        <f>H19</f>
        <v>1</v>
      </c>
      <c r="H42" s="310"/>
      <c r="I42" s="310"/>
      <c r="J42" s="311"/>
    </row>
    <row r="43" spans="5:22" x14ac:dyDescent="0.2">
      <c r="F43" s="149" t="s">
        <v>408</v>
      </c>
      <c r="G43" s="29">
        <f t="shared" ref="G43:G48" si="7">H20</f>
        <v>7</v>
      </c>
      <c r="H43" s="310"/>
      <c r="I43" s="310"/>
      <c r="J43" s="311"/>
    </row>
    <row r="44" spans="5:22" x14ac:dyDescent="0.2">
      <c r="F44" s="149" t="s">
        <v>409</v>
      </c>
      <c r="G44" s="29">
        <f t="shared" si="7"/>
        <v>12</v>
      </c>
      <c r="H44" s="310"/>
      <c r="I44" s="310"/>
      <c r="J44" s="311"/>
    </row>
    <row r="45" spans="5:22" x14ac:dyDescent="0.2">
      <c r="F45" s="149" t="s">
        <v>410</v>
      </c>
      <c r="G45" s="29">
        <f t="shared" si="7"/>
        <v>17</v>
      </c>
      <c r="H45" s="310"/>
      <c r="I45" s="310"/>
      <c r="J45" s="311"/>
    </row>
    <row r="46" spans="5:22" x14ac:dyDescent="0.2">
      <c r="F46" s="149" t="s">
        <v>411</v>
      </c>
      <c r="G46" s="29">
        <f t="shared" si="7"/>
        <v>12</v>
      </c>
      <c r="H46" s="310"/>
      <c r="I46" s="310"/>
      <c r="J46" s="311"/>
    </row>
    <row r="47" spans="5:22" x14ac:dyDescent="0.2">
      <c r="F47" s="149" t="s">
        <v>412</v>
      </c>
      <c r="G47" s="29">
        <f t="shared" si="7"/>
        <v>10</v>
      </c>
      <c r="H47" s="310"/>
      <c r="I47" s="310"/>
      <c r="J47" s="311"/>
    </row>
    <row r="48" spans="5:22" ht="17" thickBot="1" x14ac:dyDescent="0.25">
      <c r="F48" s="152" t="s">
        <v>413</v>
      </c>
      <c r="G48" s="158">
        <f t="shared" si="7"/>
        <v>1</v>
      </c>
      <c r="H48" s="312"/>
      <c r="I48" s="312"/>
      <c r="J48" s="313"/>
    </row>
    <row r="49" spans="5:14" ht="17" thickBot="1" x14ac:dyDescent="0.25"/>
    <row r="50" spans="5:14" x14ac:dyDescent="0.2">
      <c r="E50" s="46" t="s">
        <v>277</v>
      </c>
      <c r="F50" s="307" t="s">
        <v>246</v>
      </c>
      <c r="G50" s="308"/>
      <c r="H50" s="94"/>
      <c r="I50" s="94"/>
      <c r="J50" s="94"/>
      <c r="K50" s="94"/>
      <c r="L50" s="94"/>
      <c r="M50" s="94"/>
      <c r="N50" s="161"/>
    </row>
    <row r="51" spans="5:14" x14ac:dyDescent="0.2">
      <c r="F51" s="149" t="s">
        <v>292</v>
      </c>
      <c r="G51" s="33">
        <f>((1/C24)*K64)/(G36^4)</f>
        <v>2.319405634410217</v>
      </c>
      <c r="H51" t="s">
        <v>321</v>
      </c>
      <c r="N51" s="157"/>
    </row>
    <row r="52" spans="5:14" x14ac:dyDescent="0.2">
      <c r="F52" s="149" t="s">
        <v>293</v>
      </c>
      <c r="G52" s="33">
        <f>(1/C24)*(M64/(G36^3))</f>
        <v>-7.255736755870823E-2</v>
      </c>
      <c r="H52" t="s">
        <v>416</v>
      </c>
      <c r="N52" s="157"/>
    </row>
    <row r="53" spans="5:14" x14ac:dyDescent="0.2">
      <c r="F53" s="162"/>
      <c r="N53" s="157"/>
    </row>
    <row r="54" spans="5:14" x14ac:dyDescent="0.2">
      <c r="F54" s="162"/>
      <c r="N54" s="157"/>
    </row>
    <row r="55" spans="5:14" x14ac:dyDescent="0.2">
      <c r="F55" s="162"/>
      <c r="N55" s="157"/>
    </row>
    <row r="56" spans="5:14" x14ac:dyDescent="0.2">
      <c r="F56" s="149" t="str">
        <f>K18</f>
        <v>Punto medio</v>
      </c>
      <c r="G56" s="29" t="str">
        <f>H18</f>
        <v>Fo</v>
      </c>
      <c r="H56" s="29" t="s">
        <v>294</v>
      </c>
      <c r="I56" s="29" t="s">
        <v>297</v>
      </c>
      <c r="J56" s="29" t="s">
        <v>298</v>
      </c>
      <c r="K56" s="29"/>
      <c r="L56" s="29" t="s">
        <v>299</v>
      </c>
      <c r="N56" s="157"/>
    </row>
    <row r="57" spans="5:14" x14ac:dyDescent="0.2">
      <c r="F57" s="179">
        <f t="shared" ref="F57:F63" si="8">K19</f>
        <v>11.8825</v>
      </c>
      <c r="G57" s="29">
        <f t="shared" ref="G57:G63" si="9">H19</f>
        <v>1</v>
      </c>
      <c r="H57" s="29">
        <f>+F57*G57</f>
        <v>11.8825</v>
      </c>
      <c r="I57" s="31">
        <f>+F57-$G$33</f>
        <v>-0.1264999999999965</v>
      </c>
      <c r="J57" s="181">
        <f>I57^4</f>
        <v>2.5607200506247164E-4</v>
      </c>
      <c r="K57" s="181">
        <f>+J57*G57</f>
        <v>2.5607200506247164E-4</v>
      </c>
      <c r="L57" s="181">
        <f>I57^3</f>
        <v>-2.0242846249998322E-3</v>
      </c>
      <c r="M57" s="187">
        <f>+L57*G57</f>
        <v>-2.0242846249998322E-3</v>
      </c>
      <c r="N57" s="157"/>
    </row>
    <row r="58" spans="5:14" x14ac:dyDescent="0.2">
      <c r="F58" s="179">
        <f t="shared" si="8"/>
        <v>11.924999999999999</v>
      </c>
      <c r="G58" s="29">
        <f t="shared" si="9"/>
        <v>7</v>
      </c>
      <c r="H58" s="29">
        <f t="shared" ref="H58:H63" si="10">+F58*G58</f>
        <v>83.474999999999994</v>
      </c>
      <c r="I58" s="31">
        <f t="shared" ref="I58:I63" si="11">+F58-$G$33</f>
        <v>-8.3999999999997854E-2</v>
      </c>
      <c r="J58" s="181">
        <f t="shared" ref="J58:J63" si="12">I58^4</f>
        <v>4.9787135999994919E-5</v>
      </c>
      <c r="K58" s="181">
        <f t="shared" ref="K58:K63" si="13">+J58*G58</f>
        <v>3.4850995199996442E-4</v>
      </c>
      <c r="L58" s="181">
        <f t="shared" ref="L58:L63" si="14">I58^3</f>
        <v>-5.9270399999995457E-4</v>
      </c>
      <c r="M58" s="187">
        <f t="shared" ref="M58:M63" si="15">+L58*G58</f>
        <v>-4.1489279999996822E-3</v>
      </c>
      <c r="N58" s="157"/>
    </row>
    <row r="59" spans="5:14" x14ac:dyDescent="0.2">
      <c r="F59" s="179">
        <f t="shared" si="8"/>
        <v>11.964999999999998</v>
      </c>
      <c r="G59" s="29">
        <f t="shared" si="9"/>
        <v>12</v>
      </c>
      <c r="H59" s="29">
        <f t="shared" si="10"/>
        <v>143.57999999999998</v>
      </c>
      <c r="I59" s="31">
        <f t="shared" si="11"/>
        <v>-4.3999999999998707E-2</v>
      </c>
      <c r="J59" s="181">
        <f t="shared" si="12"/>
        <v>3.7480959999995592E-6</v>
      </c>
      <c r="K59" s="181">
        <f t="shared" si="13"/>
        <v>4.497715199999471E-5</v>
      </c>
      <c r="L59" s="181">
        <f t="shared" si="14"/>
        <v>-8.5183999999992481E-5</v>
      </c>
      <c r="M59" s="187">
        <f t="shared" si="15"/>
        <v>-1.0222079999999097E-3</v>
      </c>
      <c r="N59" s="157"/>
    </row>
    <row r="60" spans="5:14" x14ac:dyDescent="0.2">
      <c r="F60" s="179">
        <f t="shared" si="8"/>
        <v>12.004999999999997</v>
      </c>
      <c r="G60" s="29">
        <f t="shared" si="9"/>
        <v>17</v>
      </c>
      <c r="H60" s="29">
        <f t="shared" si="10"/>
        <v>204.08499999999995</v>
      </c>
      <c r="I60" s="31">
        <f t="shared" si="11"/>
        <v>-3.9999999999995595E-3</v>
      </c>
      <c r="J60" s="181">
        <f t="shared" si="12"/>
        <v>2.5599999999988724E-10</v>
      </c>
      <c r="K60" s="181">
        <f t="shared" si="13"/>
        <v>4.3519999999980833E-9</v>
      </c>
      <c r="L60" s="181">
        <f t="shared" si="14"/>
        <v>-6.3999999999978855E-8</v>
      </c>
      <c r="M60" s="187">
        <f t="shared" si="15"/>
        <v>-1.0879999999996404E-6</v>
      </c>
      <c r="N60" s="157"/>
    </row>
    <row r="61" spans="5:14" x14ac:dyDescent="0.2">
      <c r="F61" s="179">
        <f t="shared" si="8"/>
        <v>12.044999999999996</v>
      </c>
      <c r="G61" s="29">
        <f t="shared" si="9"/>
        <v>12</v>
      </c>
      <c r="H61" s="29">
        <f t="shared" si="10"/>
        <v>144.53999999999996</v>
      </c>
      <c r="I61" s="31">
        <f t="shared" si="11"/>
        <v>3.5999999999999588E-2</v>
      </c>
      <c r="J61" s="181">
        <f t="shared" si="12"/>
        <v>1.6796159999999231E-6</v>
      </c>
      <c r="K61" s="181">
        <f t="shared" si="13"/>
        <v>2.0155391999999077E-5</v>
      </c>
      <c r="L61" s="181">
        <f t="shared" si="14"/>
        <v>4.6655999999998396E-5</v>
      </c>
      <c r="M61" s="187">
        <f t="shared" si="15"/>
        <v>5.5987199999998081E-4</v>
      </c>
      <c r="N61" s="157"/>
    </row>
    <row r="62" spans="5:14" x14ac:dyDescent="0.2">
      <c r="F62" s="179">
        <f t="shared" si="8"/>
        <v>12.084999999999996</v>
      </c>
      <c r="G62" s="29">
        <f t="shared" si="9"/>
        <v>10</v>
      </c>
      <c r="H62" s="29">
        <f t="shared" si="10"/>
        <v>120.84999999999995</v>
      </c>
      <c r="I62" s="31">
        <f t="shared" si="11"/>
        <v>7.5999999999998735E-2</v>
      </c>
      <c r="J62" s="181">
        <f t="shared" si="12"/>
        <v>3.3362175999997776E-5</v>
      </c>
      <c r="K62" s="181">
        <f t="shared" si="13"/>
        <v>3.3362175999997776E-4</v>
      </c>
      <c r="L62" s="181">
        <f t="shared" si="14"/>
        <v>4.3897599999997804E-4</v>
      </c>
      <c r="M62" s="187">
        <f t="shared" si="15"/>
        <v>4.3897599999997801E-3</v>
      </c>
      <c r="N62" s="157"/>
    </row>
    <row r="63" spans="5:14" x14ac:dyDescent="0.2">
      <c r="F63" s="179">
        <f t="shared" si="8"/>
        <v>12.124999999999995</v>
      </c>
      <c r="G63" s="29">
        <f t="shared" si="9"/>
        <v>1</v>
      </c>
      <c r="H63" s="29">
        <f t="shared" si="10"/>
        <v>12.124999999999995</v>
      </c>
      <c r="I63" s="31">
        <f t="shared" si="11"/>
        <v>0.11599999999999788</v>
      </c>
      <c r="J63" s="181">
        <f t="shared" si="12"/>
        <v>1.8106393599998677E-4</v>
      </c>
      <c r="K63" s="181">
        <f t="shared" si="13"/>
        <v>1.8106393599998677E-4</v>
      </c>
      <c r="L63" s="181">
        <f t="shared" si="14"/>
        <v>1.5608959999999145E-3</v>
      </c>
      <c r="M63" s="187">
        <f t="shared" si="15"/>
        <v>1.5608959999999145E-3</v>
      </c>
      <c r="N63" s="157"/>
    </row>
    <row r="64" spans="5:14" ht="17" thickBot="1" x14ac:dyDescent="0.25">
      <c r="F64" s="152">
        <f>SUM(F57:F63)</f>
        <v>84.032499999999985</v>
      </c>
      <c r="G64" s="158">
        <f>SUM(G57:G63)</f>
        <v>60</v>
      </c>
      <c r="H64" s="158">
        <f>SUM(H57:H63)</f>
        <v>720.5374999999998</v>
      </c>
      <c r="I64" s="156"/>
      <c r="J64" s="156"/>
      <c r="K64" s="188">
        <f>SUM(K57:K63)</f>
        <v>1.1844045490623943E-3</v>
      </c>
      <c r="L64" s="164">
        <f>SUM(L57:L63)</f>
        <v>-6.5570862499988872E-4</v>
      </c>
      <c r="M64" s="189">
        <f>SUM(M57:M63)</f>
        <v>-6.8598062499974953E-4</v>
      </c>
      <c r="N64" s="159"/>
    </row>
    <row r="65" spans="4:13" x14ac:dyDescent="0.2">
      <c r="F65" s="29"/>
      <c r="G65" s="29"/>
      <c r="H65" s="29"/>
      <c r="I65" s="29"/>
      <c r="J65" s="29"/>
      <c r="K65" s="31"/>
      <c r="L65" s="33"/>
      <c r="M65" s="31"/>
    </row>
    <row r="66" spans="4:13" ht="24" x14ac:dyDescent="0.3">
      <c r="D66" s="171" t="s">
        <v>308</v>
      </c>
    </row>
    <row r="67" spans="4:13" ht="17" thickBot="1" x14ac:dyDescent="0.25"/>
    <row r="68" spans="4:13" ht="19" x14ac:dyDescent="0.2">
      <c r="D68" s="72">
        <v>12</v>
      </c>
      <c r="E68" s="170" t="s">
        <v>306</v>
      </c>
      <c r="F68" s="165" t="s">
        <v>295</v>
      </c>
      <c r="G68" s="182">
        <f>K70</f>
        <v>12.009500000000005</v>
      </c>
      <c r="J68" s="160" t="s">
        <v>291</v>
      </c>
      <c r="K68" s="160"/>
    </row>
    <row r="69" spans="4:13" ht="19" x14ac:dyDescent="0.2">
      <c r="D69" s="72">
        <v>11.91</v>
      </c>
      <c r="E69" s="170"/>
      <c r="F69" s="162" t="s">
        <v>296</v>
      </c>
      <c r="G69" s="163">
        <f>K72</f>
        <v>12</v>
      </c>
    </row>
    <row r="70" spans="4:13" ht="20" thickBot="1" x14ac:dyDescent="0.25">
      <c r="D70" s="72">
        <v>11.89</v>
      </c>
      <c r="E70" s="170"/>
      <c r="F70" s="168" t="s">
        <v>300</v>
      </c>
      <c r="G70" s="183">
        <f>K73</f>
        <v>12</v>
      </c>
      <c r="J70" t="s">
        <v>278</v>
      </c>
      <c r="K70">
        <v>12.009500000000005</v>
      </c>
    </row>
    <row r="71" spans="4:13" ht="20" thickBot="1" x14ac:dyDescent="0.25">
      <c r="D71" s="72">
        <v>12.1</v>
      </c>
      <c r="E71" s="170"/>
      <c r="G71" s="30"/>
      <c r="J71" t="s">
        <v>279</v>
      </c>
      <c r="K71">
        <v>7.3162036711802931E-3</v>
      </c>
    </row>
    <row r="72" spans="4:13" ht="19" x14ac:dyDescent="0.2">
      <c r="D72" s="72">
        <v>12.08</v>
      </c>
      <c r="E72" s="170" t="s">
        <v>307</v>
      </c>
      <c r="F72" s="165" t="s">
        <v>301</v>
      </c>
      <c r="G72" s="182">
        <f>K74</f>
        <v>5.6671069951885679E-2</v>
      </c>
      <c r="J72" t="s">
        <v>280</v>
      </c>
      <c r="K72">
        <v>12</v>
      </c>
    </row>
    <row r="73" spans="4:13" ht="19" x14ac:dyDescent="0.2">
      <c r="D73" s="72">
        <v>11.94</v>
      </c>
      <c r="E73" s="170"/>
      <c r="F73" s="162" t="s">
        <v>245</v>
      </c>
      <c r="G73" s="163">
        <f>G68+(3*G72)</f>
        <v>12.179513209855662</v>
      </c>
      <c r="J73" t="s">
        <v>281</v>
      </c>
      <c r="K73">
        <v>12</v>
      </c>
    </row>
    <row r="74" spans="4:13" ht="20" thickBot="1" x14ac:dyDescent="0.25">
      <c r="D74" s="72">
        <v>12.09</v>
      </c>
      <c r="E74" s="170"/>
      <c r="F74" s="168" t="s">
        <v>244</v>
      </c>
      <c r="G74" s="183">
        <f>G68-(3*G72)</f>
        <v>11.839486790144347</v>
      </c>
      <c r="J74" t="s">
        <v>282</v>
      </c>
      <c r="K74">
        <v>5.6671069951885679E-2</v>
      </c>
    </row>
    <row r="75" spans="4:13" ht="19" x14ac:dyDescent="0.2">
      <c r="D75" s="72">
        <v>12.01</v>
      </c>
      <c r="E75" s="170"/>
      <c r="J75" t="s">
        <v>283</v>
      </c>
      <c r="K75">
        <v>3.2116101694915195E-3</v>
      </c>
    </row>
    <row r="76" spans="4:13" ht="19" x14ac:dyDescent="0.2">
      <c r="D76" s="72">
        <v>12</v>
      </c>
      <c r="E76" s="170" t="s">
        <v>304</v>
      </c>
      <c r="F76" t="s">
        <v>303</v>
      </c>
      <c r="J76" t="s">
        <v>284</v>
      </c>
      <c r="K76">
        <v>-0.76819031720681297</v>
      </c>
    </row>
    <row r="77" spans="4:13" ht="20" thickBot="1" x14ac:dyDescent="0.25">
      <c r="D77" s="72">
        <v>11.92</v>
      </c>
      <c r="E77" s="170"/>
      <c r="J77" t="s">
        <v>285</v>
      </c>
      <c r="K77">
        <v>3.0561038275024259E-2</v>
      </c>
    </row>
    <row r="78" spans="4:13" ht="19" x14ac:dyDescent="0.2">
      <c r="D78" s="72">
        <v>11.91</v>
      </c>
      <c r="E78" s="170" t="s">
        <v>305</v>
      </c>
      <c r="F78" s="165" t="s">
        <v>284</v>
      </c>
      <c r="G78" s="172">
        <f>K76</f>
        <v>-0.76819031720681297</v>
      </c>
      <c r="H78" s="161" t="s">
        <v>375</v>
      </c>
      <c r="J78" t="s">
        <v>286</v>
      </c>
      <c r="K78">
        <v>0.22999999999999865</v>
      </c>
    </row>
    <row r="79" spans="4:13" ht="20" thickBot="1" x14ac:dyDescent="0.25">
      <c r="D79" s="72">
        <v>12.01</v>
      </c>
      <c r="F79" s="168" t="s">
        <v>293</v>
      </c>
      <c r="G79" s="173">
        <f>K77</f>
        <v>3.0561038275024259E-2</v>
      </c>
      <c r="H79" s="159"/>
      <c r="J79" t="s">
        <v>287</v>
      </c>
      <c r="K79">
        <v>11.89</v>
      </c>
    </row>
    <row r="80" spans="4:13" ht="19" x14ac:dyDescent="0.2">
      <c r="D80" s="72">
        <v>11.98</v>
      </c>
      <c r="J80" t="s">
        <v>288</v>
      </c>
      <c r="K80">
        <v>12.12</v>
      </c>
    </row>
    <row r="81" spans="4:11" ht="19" x14ac:dyDescent="0.2">
      <c r="D81" s="72">
        <v>12.02</v>
      </c>
      <c r="J81" t="s">
        <v>289</v>
      </c>
      <c r="K81">
        <v>720.57000000000028</v>
      </c>
    </row>
    <row r="82" spans="4:11" ht="20" thickBot="1" x14ac:dyDescent="0.25">
      <c r="D82" s="72">
        <v>12</v>
      </c>
      <c r="J82" s="1" t="s">
        <v>290</v>
      </c>
      <c r="K82" s="1">
        <v>60</v>
      </c>
    </row>
    <row r="83" spans="4:11" ht="19" x14ac:dyDescent="0.2">
      <c r="D83" s="72">
        <v>11.97</v>
      </c>
    </row>
    <row r="84" spans="4:11" ht="19" x14ac:dyDescent="0.2">
      <c r="D84" s="72">
        <v>11.94</v>
      </c>
    </row>
    <row r="85" spans="4:11" ht="19" x14ac:dyDescent="0.2">
      <c r="D85" s="72">
        <v>12.02</v>
      </c>
    </row>
    <row r="86" spans="4:11" ht="19" x14ac:dyDescent="0.2">
      <c r="D86" s="72">
        <v>12.09</v>
      </c>
    </row>
    <row r="87" spans="4:11" ht="19" x14ac:dyDescent="0.2">
      <c r="D87" s="72">
        <v>11.92</v>
      </c>
    </row>
    <row r="88" spans="4:11" ht="19" x14ac:dyDescent="0.2">
      <c r="D88" s="72">
        <v>11.98</v>
      </c>
    </row>
    <row r="89" spans="4:11" ht="19" x14ac:dyDescent="0.2">
      <c r="D89" s="72">
        <v>12</v>
      </c>
    </row>
    <row r="90" spans="4:11" ht="19" x14ac:dyDescent="0.2">
      <c r="D90" s="72">
        <v>12.04</v>
      </c>
    </row>
    <row r="91" spans="4:11" ht="19" x14ac:dyDescent="0.2">
      <c r="D91" s="72">
        <v>11.96</v>
      </c>
    </row>
    <row r="92" spans="4:11" ht="19" x14ac:dyDescent="0.2">
      <c r="D92" s="72">
        <v>11.94</v>
      </c>
    </row>
    <row r="93" spans="4:11" ht="19" x14ac:dyDescent="0.2">
      <c r="D93" s="72">
        <v>11.99</v>
      </c>
    </row>
    <row r="94" spans="4:11" ht="19" x14ac:dyDescent="0.2">
      <c r="D94" s="72">
        <v>12</v>
      </c>
    </row>
    <row r="95" spans="4:11" ht="19" x14ac:dyDescent="0.2">
      <c r="D95" s="72">
        <v>11.99</v>
      </c>
    </row>
    <row r="96" spans="4:11" ht="19" x14ac:dyDescent="0.2">
      <c r="D96" s="72">
        <v>12</v>
      </c>
    </row>
    <row r="97" spans="4:4" ht="19" x14ac:dyDescent="0.2">
      <c r="D97" s="72">
        <v>12.05</v>
      </c>
    </row>
    <row r="98" spans="4:4" ht="19" x14ac:dyDescent="0.2">
      <c r="D98" s="72">
        <v>12.1</v>
      </c>
    </row>
    <row r="99" spans="4:4" ht="19" x14ac:dyDescent="0.2">
      <c r="D99" s="72">
        <v>12.1</v>
      </c>
    </row>
    <row r="100" spans="4:4" ht="19" x14ac:dyDescent="0.2">
      <c r="D100" s="72">
        <v>11.97</v>
      </c>
    </row>
    <row r="101" spans="4:4" ht="19" x14ac:dyDescent="0.2">
      <c r="D101" s="72">
        <v>12.05</v>
      </c>
    </row>
    <row r="102" spans="4:4" ht="19" x14ac:dyDescent="0.2">
      <c r="D102" s="72">
        <v>12.12</v>
      </c>
    </row>
    <row r="103" spans="4:4" ht="19" x14ac:dyDescent="0.2">
      <c r="D103" s="72">
        <v>12.06</v>
      </c>
    </row>
    <row r="104" spans="4:4" ht="19" x14ac:dyDescent="0.2">
      <c r="D104" s="72">
        <v>12</v>
      </c>
    </row>
    <row r="105" spans="4:4" ht="19" x14ac:dyDescent="0.2">
      <c r="D105" s="72">
        <v>11.99</v>
      </c>
    </row>
    <row r="106" spans="4:4" ht="19" x14ac:dyDescent="0.2">
      <c r="D106" s="72">
        <v>11.97</v>
      </c>
    </row>
    <row r="107" spans="4:4" ht="19" x14ac:dyDescent="0.2">
      <c r="D107" s="72">
        <v>12.09</v>
      </c>
    </row>
    <row r="108" spans="4:4" ht="19" x14ac:dyDescent="0.2">
      <c r="D108" s="72">
        <v>12.05</v>
      </c>
    </row>
    <row r="109" spans="4:4" ht="19" x14ac:dyDescent="0.2">
      <c r="D109" s="72">
        <v>12.06</v>
      </c>
    </row>
    <row r="110" spans="4:4" ht="19" x14ac:dyDescent="0.2">
      <c r="D110" s="72">
        <v>12.06</v>
      </c>
    </row>
    <row r="111" spans="4:4" ht="19" x14ac:dyDescent="0.2">
      <c r="D111" s="72">
        <v>12.05</v>
      </c>
    </row>
    <row r="112" spans="4:4" ht="19" x14ac:dyDescent="0.2">
      <c r="D112" s="72">
        <v>12.01</v>
      </c>
    </row>
    <row r="113" spans="4:4" ht="19" x14ac:dyDescent="0.2">
      <c r="D113" s="72">
        <v>12.08</v>
      </c>
    </row>
    <row r="114" spans="4:4" ht="19" x14ac:dyDescent="0.2">
      <c r="D114" s="72">
        <v>11.96</v>
      </c>
    </row>
    <row r="115" spans="4:4" ht="19" x14ac:dyDescent="0.2">
      <c r="D115" s="72">
        <v>11.99</v>
      </c>
    </row>
    <row r="116" spans="4:4" ht="19" x14ac:dyDescent="0.2">
      <c r="D116" s="72">
        <v>11.95</v>
      </c>
    </row>
    <row r="117" spans="4:4" ht="19" x14ac:dyDescent="0.2">
      <c r="D117" s="72">
        <v>12.05</v>
      </c>
    </row>
    <row r="118" spans="4:4" ht="19" x14ac:dyDescent="0.2">
      <c r="D118" s="72">
        <v>12.08</v>
      </c>
    </row>
    <row r="119" spans="4:4" ht="19" x14ac:dyDescent="0.2">
      <c r="D119" s="72">
        <v>12.03</v>
      </c>
    </row>
    <row r="120" spans="4:4" ht="19" x14ac:dyDescent="0.2">
      <c r="D120" s="72">
        <v>11.95</v>
      </c>
    </row>
    <row r="121" spans="4:4" ht="19" x14ac:dyDescent="0.2">
      <c r="D121" s="72">
        <v>12.03</v>
      </c>
    </row>
    <row r="122" spans="4:4" ht="19" x14ac:dyDescent="0.2">
      <c r="D122" s="72">
        <v>12</v>
      </c>
    </row>
    <row r="123" spans="4:4" ht="19" x14ac:dyDescent="0.2">
      <c r="D123" s="72">
        <v>12.1</v>
      </c>
    </row>
    <row r="124" spans="4:4" ht="19" x14ac:dyDescent="0.2">
      <c r="D124" s="72">
        <v>11.97</v>
      </c>
    </row>
    <row r="125" spans="4:4" ht="19" x14ac:dyDescent="0.2">
      <c r="D125" s="72">
        <v>12.03</v>
      </c>
    </row>
    <row r="126" spans="4:4" ht="19" x14ac:dyDescent="0.2">
      <c r="D126" s="72">
        <v>11.95</v>
      </c>
    </row>
    <row r="127" spans="4:4" ht="19" x14ac:dyDescent="0.2">
      <c r="D127" s="72">
        <v>11.97</v>
      </c>
    </row>
  </sheetData>
  <mergeCells count="7">
    <mergeCell ref="F50:G50"/>
    <mergeCell ref="T29:V33"/>
    <mergeCell ref="F27:G27"/>
    <mergeCell ref="F35:G35"/>
    <mergeCell ref="H36:J38"/>
    <mergeCell ref="F40:G40"/>
    <mergeCell ref="H40:J4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25687-4A49-2542-A27D-5AD8D97436F1}">
  <dimension ref="C39:G42"/>
  <sheetViews>
    <sheetView zoomScale="90" zoomScaleNormal="90" workbookViewId="0">
      <selection activeCell="I41" sqref="I41"/>
    </sheetView>
  </sheetViews>
  <sheetFormatPr baseColWidth="10" defaultRowHeight="16" x14ac:dyDescent="0.2"/>
  <cols>
    <col min="7" max="7" width="12.6640625" customWidth="1"/>
  </cols>
  <sheetData>
    <row r="39" spans="3:7" ht="17" thickBot="1" x14ac:dyDescent="0.25"/>
    <row r="40" spans="3:7" ht="21" x14ac:dyDescent="0.25">
      <c r="C40" s="89" t="s">
        <v>197</v>
      </c>
      <c r="D40" s="90"/>
      <c r="E40" s="90"/>
      <c r="F40" s="90"/>
      <c r="G40" s="100" t="s">
        <v>196</v>
      </c>
    </row>
    <row r="41" spans="3:7" ht="21" x14ac:dyDescent="0.25">
      <c r="C41" s="91" t="s">
        <v>208</v>
      </c>
      <c r="D41" s="88"/>
      <c r="E41" s="88"/>
      <c r="F41" s="88"/>
      <c r="G41" s="103" t="s">
        <v>204</v>
      </c>
    </row>
    <row r="42" spans="3:7" ht="22" thickBot="1" x14ac:dyDescent="0.3">
      <c r="C42" s="92" t="s">
        <v>207</v>
      </c>
      <c r="D42" s="93"/>
      <c r="E42" s="93"/>
      <c r="F42" s="93"/>
      <c r="G42" s="102" t="s">
        <v>204</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0A186-1913-A543-8779-0D91B94397C8}">
  <dimension ref="B2:Y37"/>
  <sheetViews>
    <sheetView workbookViewId="0">
      <selection activeCell="N34" sqref="N34"/>
    </sheetView>
  </sheetViews>
  <sheetFormatPr baseColWidth="10" defaultRowHeight="16" x14ac:dyDescent="0.2"/>
  <cols>
    <col min="5" max="5" width="12.5" customWidth="1"/>
    <col min="6" max="6" width="13.33203125" customWidth="1"/>
    <col min="2000" max="2000" width="2.5" customWidth="1"/>
  </cols>
  <sheetData>
    <row r="2" spans="2:25" ht="17" x14ac:dyDescent="0.2">
      <c r="B2" s="325" t="s">
        <v>111</v>
      </c>
      <c r="C2" s="325"/>
      <c r="E2" s="12" t="s">
        <v>179</v>
      </c>
      <c r="F2" s="12">
        <v>1</v>
      </c>
      <c r="G2" s="12">
        <v>2</v>
      </c>
      <c r="H2" s="12">
        <v>3</v>
      </c>
      <c r="I2" s="12">
        <v>4</v>
      </c>
      <c r="J2" s="12">
        <v>5</v>
      </c>
      <c r="K2" s="12">
        <v>6</v>
      </c>
      <c r="L2" s="12">
        <v>7</v>
      </c>
      <c r="M2" s="12">
        <v>8</v>
      </c>
      <c r="N2" s="12">
        <v>9</v>
      </c>
      <c r="O2" s="12">
        <v>10</v>
      </c>
      <c r="P2" s="12">
        <v>11</v>
      </c>
      <c r="Q2" s="12">
        <v>12</v>
      </c>
      <c r="R2" s="12">
        <v>13</v>
      </c>
      <c r="S2" s="12">
        <v>14</v>
      </c>
      <c r="T2" s="12">
        <v>15</v>
      </c>
      <c r="U2" s="12">
        <v>16</v>
      </c>
      <c r="V2" s="12">
        <v>17</v>
      </c>
      <c r="W2" s="12">
        <v>18</v>
      </c>
      <c r="X2" s="12">
        <v>19</v>
      </c>
      <c r="Y2" s="12">
        <v>20</v>
      </c>
    </row>
    <row r="3" spans="2:25" ht="17" x14ac:dyDescent="0.2">
      <c r="B3" s="9" t="s">
        <v>439</v>
      </c>
      <c r="C3" s="9">
        <f>C12*G8</f>
        <v>15.832500000000001</v>
      </c>
      <c r="E3" s="10" t="s">
        <v>178</v>
      </c>
      <c r="F3" s="10">
        <v>177.6</v>
      </c>
      <c r="G3" s="10">
        <v>176.6</v>
      </c>
      <c r="H3" s="10">
        <v>178.4</v>
      </c>
      <c r="I3" s="10">
        <v>176.6</v>
      </c>
      <c r="J3" s="10">
        <v>177</v>
      </c>
      <c r="K3" s="10">
        <v>179.4</v>
      </c>
      <c r="L3" s="10">
        <v>178.6</v>
      </c>
      <c r="M3" s="10">
        <v>179.6</v>
      </c>
      <c r="N3" s="10">
        <v>178.8</v>
      </c>
      <c r="O3" s="10">
        <v>178.2</v>
      </c>
      <c r="P3" s="10">
        <v>179.8</v>
      </c>
      <c r="Q3" s="10">
        <v>176.4</v>
      </c>
      <c r="R3" s="10">
        <v>178.4</v>
      </c>
      <c r="S3" s="10">
        <v>178.2</v>
      </c>
      <c r="T3" s="10">
        <v>180.6</v>
      </c>
      <c r="U3" s="10">
        <v>179.6</v>
      </c>
      <c r="V3" s="10">
        <v>177.8</v>
      </c>
      <c r="W3" s="10">
        <v>178.4</v>
      </c>
      <c r="X3" s="10">
        <v>181.6</v>
      </c>
      <c r="Y3" s="10">
        <v>177.6</v>
      </c>
    </row>
    <row r="4" spans="2:25" ht="17" x14ac:dyDescent="0.2">
      <c r="B4" s="9" t="s">
        <v>440</v>
      </c>
      <c r="C4" s="203">
        <f>G8</f>
        <v>7.5</v>
      </c>
      <c r="E4" s="10" t="s">
        <v>112</v>
      </c>
      <c r="F4" s="10">
        <v>23</v>
      </c>
      <c r="G4" s="10">
        <v>8</v>
      </c>
      <c r="H4" s="10">
        <v>22</v>
      </c>
      <c r="I4" s="10">
        <v>2</v>
      </c>
      <c r="J4" s="10">
        <v>7</v>
      </c>
      <c r="K4" s="10">
        <v>8</v>
      </c>
      <c r="L4" s="10">
        <v>5</v>
      </c>
      <c r="M4" s="10">
        <v>6</v>
      </c>
      <c r="N4" s="10">
        <v>7</v>
      </c>
      <c r="O4" s="10">
        <v>4</v>
      </c>
      <c r="P4" s="10">
        <v>9</v>
      </c>
      <c r="Q4" s="10">
        <v>8</v>
      </c>
      <c r="R4" s="10">
        <v>4</v>
      </c>
      <c r="S4" s="10">
        <v>4</v>
      </c>
      <c r="T4" s="10">
        <v>6</v>
      </c>
      <c r="U4" s="10">
        <v>6</v>
      </c>
      <c r="V4" s="10">
        <v>1</v>
      </c>
      <c r="W4" s="10">
        <v>9</v>
      </c>
      <c r="X4" s="10">
        <v>7</v>
      </c>
      <c r="Y4" s="10">
        <v>4</v>
      </c>
    </row>
    <row r="5" spans="2:25" x14ac:dyDescent="0.2">
      <c r="B5" s="9" t="s">
        <v>441</v>
      </c>
      <c r="C5" s="9">
        <f>C13*G8</f>
        <v>0</v>
      </c>
    </row>
    <row r="6" spans="2:25" ht="17" x14ac:dyDescent="0.2">
      <c r="E6" s="216" t="s">
        <v>450</v>
      </c>
      <c r="F6" s="217" t="s">
        <v>417</v>
      </c>
      <c r="G6">
        <v>2.33</v>
      </c>
      <c r="H6" s="46"/>
    </row>
    <row r="7" spans="2:25" ht="16" customHeight="1" x14ac:dyDescent="0.2">
      <c r="B7" s="325" t="s">
        <v>442</v>
      </c>
      <c r="C7" s="325"/>
      <c r="F7" s="8" t="s">
        <v>418</v>
      </c>
      <c r="G7">
        <f>AVERAGE(F3:Y3)</f>
        <v>178.45999999999998</v>
      </c>
      <c r="M7" s="192"/>
      <c r="N7" s="192"/>
    </row>
    <row r="8" spans="2:25" x14ac:dyDescent="0.2">
      <c r="B8" s="9" t="s">
        <v>439</v>
      </c>
      <c r="C8" s="9">
        <f>G7+(C14*G8)</f>
        <v>182.80999999999997</v>
      </c>
      <c r="F8" s="8" t="s">
        <v>419</v>
      </c>
      <c r="G8">
        <f>AVERAGE(F4:Y4)</f>
        <v>7.5</v>
      </c>
      <c r="L8" s="192"/>
      <c r="M8" s="192"/>
      <c r="N8" s="192"/>
    </row>
    <row r="9" spans="2:25" x14ac:dyDescent="0.2">
      <c r="B9" s="9" t="s">
        <v>440</v>
      </c>
      <c r="C9" s="203">
        <f>G7</f>
        <v>178.45999999999998</v>
      </c>
      <c r="F9" s="8" t="s">
        <v>420</v>
      </c>
      <c r="G9" s="2">
        <f>G8/G6</f>
        <v>3.2188841201716736</v>
      </c>
    </row>
    <row r="10" spans="2:25" x14ac:dyDescent="0.2">
      <c r="B10" s="9" t="s">
        <v>441</v>
      </c>
      <c r="C10" s="9">
        <f>G7-(C14*G8)</f>
        <v>174.10999999999999</v>
      </c>
      <c r="F10" s="8" t="s">
        <v>424</v>
      </c>
      <c r="G10" s="8"/>
    </row>
    <row r="11" spans="2:25" x14ac:dyDescent="0.2">
      <c r="F11" s="35" t="s">
        <v>436</v>
      </c>
      <c r="G11">
        <f>G12+1.06</f>
        <v>179.06</v>
      </c>
    </row>
    <row r="12" spans="2:25" x14ac:dyDescent="0.2">
      <c r="B12" s="35" t="s">
        <v>443</v>
      </c>
      <c r="C12" s="35">
        <v>2.1110000000000002</v>
      </c>
      <c r="F12" s="35" t="s">
        <v>438</v>
      </c>
      <c r="G12">
        <v>178</v>
      </c>
    </row>
    <row r="13" spans="2:25" x14ac:dyDescent="0.2">
      <c r="B13" s="35" t="s">
        <v>444</v>
      </c>
      <c r="C13" s="35">
        <v>0</v>
      </c>
      <c r="F13" s="35" t="s">
        <v>437</v>
      </c>
      <c r="G13">
        <f>G12-1.06</f>
        <v>176.94</v>
      </c>
    </row>
    <row r="14" spans="2:25" ht="17" thickBot="1" x14ac:dyDescent="0.25">
      <c r="B14" s="35" t="s">
        <v>24</v>
      </c>
      <c r="C14" s="35">
        <v>0.57999999999999996</v>
      </c>
    </row>
    <row r="15" spans="2:25" ht="16" customHeight="1" x14ac:dyDescent="0.2">
      <c r="F15" s="35" t="s">
        <v>421</v>
      </c>
      <c r="G15" s="33">
        <f>(G11-G7)/G9</f>
        <v>0.18640000000000709</v>
      </c>
      <c r="H15" s="329" t="s">
        <v>445</v>
      </c>
      <c r="I15" s="320">
        <f>MIN(G15,G16)</f>
        <v>0.18640000000000709</v>
      </c>
      <c r="J15" s="3"/>
      <c r="K15" s="3"/>
      <c r="L15" s="3"/>
      <c r="M15" s="3"/>
    </row>
    <row r="16" spans="2:25" ht="17" thickBot="1" x14ac:dyDescent="0.25">
      <c r="F16" s="35" t="s">
        <v>422</v>
      </c>
      <c r="G16" s="33">
        <f>(G7-G13)/G9</f>
        <v>0.47221333333332771</v>
      </c>
      <c r="H16" s="319"/>
      <c r="I16" s="313"/>
      <c r="J16" s="3"/>
      <c r="K16" s="3"/>
      <c r="L16" s="3"/>
      <c r="M16" s="3"/>
    </row>
    <row r="17" spans="5:17" ht="17" thickBot="1" x14ac:dyDescent="0.25"/>
    <row r="18" spans="5:17" ht="16" customHeight="1" thickBot="1" x14ac:dyDescent="0.25">
      <c r="E18" s="46" t="s">
        <v>451</v>
      </c>
      <c r="F18" s="326" t="s">
        <v>423</v>
      </c>
      <c r="G18" s="327"/>
      <c r="H18" s="327"/>
      <c r="I18" s="327"/>
      <c r="J18" s="328"/>
    </row>
    <row r="19" spans="5:17" ht="17" thickBot="1" x14ac:dyDescent="0.25"/>
    <row r="20" spans="5:17" x14ac:dyDescent="0.2">
      <c r="E20" s="46" t="s">
        <v>452</v>
      </c>
      <c r="F20" s="204" t="s">
        <v>446</v>
      </c>
      <c r="G20" s="205">
        <f>G7+(3*G9)</f>
        <v>188.11665236051499</v>
      </c>
      <c r="H20" s="270" t="s">
        <v>448</v>
      </c>
      <c r="I20" s="270"/>
      <c r="J20" s="270"/>
      <c r="K20" s="270"/>
      <c r="L20" s="270"/>
      <c r="M20" s="270"/>
      <c r="N20" s="271"/>
    </row>
    <row r="21" spans="5:17" x14ac:dyDescent="0.2">
      <c r="E21" s="46"/>
      <c r="F21" s="149" t="s">
        <v>447</v>
      </c>
      <c r="G21" s="31">
        <f>G7-(3*G9)</f>
        <v>168.80334763948497</v>
      </c>
      <c r="H21" s="321"/>
      <c r="I21" s="321"/>
      <c r="J21" s="321"/>
      <c r="K21" s="321"/>
      <c r="L21" s="321"/>
      <c r="M21" s="321"/>
      <c r="N21" s="322"/>
    </row>
    <row r="22" spans="5:17" ht="17" thickBot="1" x14ac:dyDescent="0.25">
      <c r="E22" s="46"/>
      <c r="F22" s="323" t="s">
        <v>425</v>
      </c>
      <c r="G22" s="324"/>
      <c r="H22" s="1" t="s">
        <v>449</v>
      </c>
      <c r="I22" s="1"/>
      <c r="J22" s="1"/>
      <c r="K22" s="1"/>
      <c r="L22" s="1"/>
      <c r="M22" s="1"/>
      <c r="N22" s="159"/>
    </row>
    <row r="23" spans="5:17" x14ac:dyDescent="0.2">
      <c r="E23" s="46"/>
    </row>
    <row r="25" spans="5:17" x14ac:dyDescent="0.2">
      <c r="E25" s="46" t="s">
        <v>453</v>
      </c>
      <c r="H25" s="35" t="s">
        <v>426</v>
      </c>
      <c r="N25" s="193"/>
    </row>
    <row r="26" spans="5:17" x14ac:dyDescent="0.2">
      <c r="F26" s="8" t="s">
        <v>427</v>
      </c>
      <c r="G26" s="30">
        <f>(G11-G7)/G9</f>
        <v>0.18640000000000709</v>
      </c>
      <c r="H26" s="197">
        <f>_xlfn.NORM.S.DIST(G26,TRUE)</f>
        <v>0.57393445378526753</v>
      </c>
      <c r="M26" s="194"/>
      <c r="N26" s="195"/>
      <c r="O26" s="196"/>
      <c r="P26" s="195"/>
    </row>
    <row r="27" spans="5:17" x14ac:dyDescent="0.2">
      <c r="F27" s="8" t="s">
        <v>428</v>
      </c>
      <c r="G27" s="30">
        <f>(G13-G7)/G9</f>
        <v>-0.47221333333332771</v>
      </c>
      <c r="H27" s="197">
        <f>_xlfn.NORM.S.DIST(G27,TRUE)</f>
        <v>0.31838726181316312</v>
      </c>
      <c r="I27" t="s">
        <v>429</v>
      </c>
      <c r="M27" s="198"/>
      <c r="N27" s="193"/>
      <c r="P27" s="193"/>
    </row>
    <row r="28" spans="5:17" x14ac:dyDescent="0.2">
      <c r="F28" s="8"/>
      <c r="L28" s="199">
        <f>H27</f>
        <v>0.31838726181316312</v>
      </c>
      <c r="M28" s="198"/>
      <c r="N28" s="193"/>
      <c r="P28" s="193"/>
      <c r="Q28" s="20">
        <f>G30-L28</f>
        <v>0.42606554621473247</v>
      </c>
    </row>
    <row r="29" spans="5:17" ht="17" thickBot="1" x14ac:dyDescent="0.25">
      <c r="F29" s="8" t="s">
        <v>430</v>
      </c>
      <c r="G29" s="199">
        <f>H26-H27</f>
        <v>0.2555471919721044</v>
      </c>
      <c r="L29" s="6" t="s">
        <v>431</v>
      </c>
      <c r="M29" s="200"/>
      <c r="N29" s="201"/>
      <c r="O29" s="6"/>
      <c r="P29" s="201"/>
      <c r="Q29" s="6" t="s">
        <v>432</v>
      </c>
    </row>
    <row r="30" spans="5:17" x14ac:dyDescent="0.2">
      <c r="F30" s="207" t="s">
        <v>433</v>
      </c>
      <c r="G30" s="208">
        <f>1-G29</f>
        <v>0.7444528080278956</v>
      </c>
      <c r="H30" s="94"/>
      <c r="I30" s="94"/>
      <c r="J30" s="94"/>
      <c r="K30" s="161"/>
    </row>
    <row r="31" spans="5:17" x14ac:dyDescent="0.2">
      <c r="F31" s="209" t="s">
        <v>434</v>
      </c>
      <c r="G31" s="210">
        <f>+G30*1000000</f>
        <v>744452.80802789563</v>
      </c>
      <c r="K31" s="157"/>
    </row>
    <row r="32" spans="5:17" ht="16" customHeight="1" x14ac:dyDescent="0.2">
      <c r="F32" s="209" t="s">
        <v>435</v>
      </c>
      <c r="G32" s="214" t="e">
        <f>0.8406+SQRT(29.37-2.221*LN(G31))</f>
        <v>#NUM!</v>
      </c>
      <c r="I32" s="206"/>
      <c r="J32" s="206"/>
      <c r="K32" s="212"/>
      <c r="L32" s="206"/>
    </row>
    <row r="33" spans="6:12" x14ac:dyDescent="0.2">
      <c r="F33" s="209" t="s">
        <v>454</v>
      </c>
      <c r="G33" s="215" t="s">
        <v>455</v>
      </c>
      <c r="H33" s="206"/>
      <c r="I33" s="206"/>
      <c r="J33" s="206"/>
      <c r="K33" s="212"/>
      <c r="L33" s="206"/>
    </row>
    <row r="34" spans="6:12" x14ac:dyDescent="0.2">
      <c r="F34" s="318" t="s">
        <v>480</v>
      </c>
      <c r="G34" s="310"/>
      <c r="H34" s="310"/>
      <c r="I34" s="310"/>
      <c r="J34" s="310"/>
      <c r="K34" s="311"/>
      <c r="L34" s="206"/>
    </row>
    <row r="35" spans="6:12" x14ac:dyDescent="0.2">
      <c r="F35" s="318"/>
      <c r="G35" s="310"/>
      <c r="H35" s="310"/>
      <c r="I35" s="310"/>
      <c r="J35" s="310"/>
      <c r="K35" s="311"/>
      <c r="L35" s="206"/>
    </row>
    <row r="36" spans="6:12" x14ac:dyDescent="0.2">
      <c r="F36" s="318"/>
      <c r="G36" s="310"/>
      <c r="H36" s="310"/>
      <c r="I36" s="310"/>
      <c r="J36" s="310"/>
      <c r="K36" s="311"/>
    </row>
    <row r="37" spans="6:12" ht="16" customHeight="1" thickBot="1" x14ac:dyDescent="0.25">
      <c r="F37" s="319"/>
      <c r="G37" s="312"/>
      <c r="H37" s="312"/>
      <c r="I37" s="312"/>
      <c r="J37" s="312"/>
      <c r="K37" s="313"/>
    </row>
  </sheetData>
  <mergeCells count="8">
    <mergeCell ref="F34:K37"/>
    <mergeCell ref="I15:I16"/>
    <mergeCell ref="H20:N21"/>
    <mergeCell ref="F22:G22"/>
    <mergeCell ref="B2:C2"/>
    <mergeCell ref="B7:C7"/>
    <mergeCell ref="F18:J18"/>
    <mergeCell ref="H15:H16"/>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9BD7D-8CBD-7B4E-ACA7-D0FF5748BCB9}">
  <dimension ref="B2:AF41"/>
  <sheetViews>
    <sheetView workbookViewId="0">
      <selection activeCell="G35" sqref="G35"/>
    </sheetView>
  </sheetViews>
  <sheetFormatPr baseColWidth="10" defaultRowHeight="16" x14ac:dyDescent="0.2"/>
  <cols>
    <col min="2000" max="2000" width="2.5" customWidth="1"/>
  </cols>
  <sheetData>
    <row r="2" spans="2:32" x14ac:dyDescent="0.2">
      <c r="B2" s="73"/>
      <c r="C2" s="330" t="s">
        <v>179</v>
      </c>
      <c r="D2" s="330"/>
      <c r="E2" s="330"/>
      <c r="F2" s="330"/>
      <c r="G2" s="330"/>
      <c r="H2" s="330"/>
      <c r="I2" s="330"/>
      <c r="J2" s="330"/>
      <c r="K2" s="330"/>
      <c r="L2" s="330"/>
    </row>
    <row r="3" spans="2:32" x14ac:dyDescent="0.2">
      <c r="B3" s="69"/>
      <c r="C3" s="69">
        <v>1</v>
      </c>
      <c r="D3" s="69">
        <v>2</v>
      </c>
      <c r="E3" s="69">
        <v>3</v>
      </c>
      <c r="F3" s="69">
        <v>4</v>
      </c>
      <c r="G3" s="69">
        <v>5</v>
      </c>
      <c r="H3" s="69">
        <v>6</v>
      </c>
      <c r="I3" s="69">
        <v>7</v>
      </c>
      <c r="J3" s="69">
        <v>8</v>
      </c>
      <c r="K3" s="69">
        <v>9</v>
      </c>
      <c r="L3" s="69">
        <v>10</v>
      </c>
      <c r="M3" s="69">
        <v>11</v>
      </c>
      <c r="N3" s="69">
        <v>12</v>
      </c>
      <c r="O3" s="69">
        <v>13</v>
      </c>
      <c r="P3" s="69">
        <v>14</v>
      </c>
      <c r="Q3" s="69">
        <v>15</v>
      </c>
      <c r="R3" s="69">
        <v>16</v>
      </c>
      <c r="S3" s="69">
        <v>17</v>
      </c>
      <c r="T3" s="69">
        <v>18</v>
      </c>
      <c r="U3" s="69">
        <v>19</v>
      </c>
      <c r="V3" s="69">
        <v>20</v>
      </c>
      <c r="W3" s="69">
        <v>21</v>
      </c>
      <c r="X3" s="69">
        <v>22</v>
      </c>
      <c r="Y3" s="69">
        <v>23</v>
      </c>
      <c r="Z3" s="69">
        <v>24</v>
      </c>
      <c r="AA3" s="69">
        <v>25</v>
      </c>
      <c r="AB3" s="69">
        <v>26</v>
      </c>
      <c r="AC3" s="69">
        <v>27</v>
      </c>
      <c r="AD3" s="69">
        <v>28</v>
      </c>
      <c r="AE3" s="69">
        <v>29</v>
      </c>
      <c r="AF3" s="69">
        <v>30</v>
      </c>
    </row>
    <row r="4" spans="2:32" ht="17" x14ac:dyDescent="0.2">
      <c r="B4" s="69" t="s">
        <v>178</v>
      </c>
      <c r="C4" s="69">
        <v>100.2</v>
      </c>
      <c r="D4" s="69">
        <v>100.4</v>
      </c>
      <c r="E4" s="69">
        <v>99.58</v>
      </c>
      <c r="F4" s="69">
        <v>100.04</v>
      </c>
      <c r="G4" s="69">
        <v>99.12</v>
      </c>
      <c r="H4" s="213"/>
      <c r="I4" s="213"/>
      <c r="J4" s="69">
        <v>99.78</v>
      </c>
      <c r="K4" s="69">
        <v>100.84</v>
      </c>
      <c r="L4" s="69">
        <v>99.66</v>
      </c>
      <c r="M4" s="69">
        <v>101.16</v>
      </c>
      <c r="N4" s="69">
        <v>100.08</v>
      </c>
      <c r="O4" s="213"/>
      <c r="P4" s="69">
        <v>99.3</v>
      </c>
      <c r="Q4" s="69">
        <v>100.4</v>
      </c>
      <c r="R4" s="69">
        <v>100.1</v>
      </c>
      <c r="S4" s="69">
        <v>100.64</v>
      </c>
      <c r="T4" s="69">
        <v>99.94</v>
      </c>
      <c r="U4" s="69">
        <v>99.98</v>
      </c>
      <c r="V4" s="69">
        <v>101.1</v>
      </c>
      <c r="W4" s="69">
        <v>100.14</v>
      </c>
      <c r="X4" s="69">
        <v>99.68</v>
      </c>
      <c r="Y4" s="69">
        <v>99.6</v>
      </c>
      <c r="Z4" s="69">
        <v>101.58</v>
      </c>
      <c r="AA4" s="69">
        <v>100</v>
      </c>
      <c r="AB4" s="69">
        <v>101.3</v>
      </c>
      <c r="AC4" s="69">
        <v>101.6</v>
      </c>
      <c r="AD4" s="69"/>
      <c r="AE4" s="213"/>
      <c r="AF4" s="213"/>
    </row>
    <row r="5" spans="2:32" ht="17" x14ac:dyDescent="0.2">
      <c r="B5" s="69" t="s">
        <v>110</v>
      </c>
      <c r="C5" s="69">
        <v>1.6</v>
      </c>
      <c r="D5" s="69">
        <v>2.2000000000000002</v>
      </c>
      <c r="E5" s="69">
        <v>2.2999999999999998</v>
      </c>
      <c r="F5" s="69">
        <v>2.6</v>
      </c>
      <c r="G5" s="69">
        <v>3.3</v>
      </c>
      <c r="H5" s="69">
        <v>4.7</v>
      </c>
      <c r="I5" s="69">
        <v>3</v>
      </c>
      <c r="J5" s="69">
        <v>2.4</v>
      </c>
      <c r="K5" s="69">
        <v>4.3</v>
      </c>
      <c r="L5" s="69">
        <v>2.8</v>
      </c>
      <c r="M5" s="69">
        <v>2.6</v>
      </c>
      <c r="N5" s="69">
        <v>4.4000000000000004</v>
      </c>
      <c r="O5" s="69">
        <v>1.8</v>
      </c>
      <c r="P5" s="69">
        <v>2.9</v>
      </c>
      <c r="Q5" s="69">
        <v>2.4</v>
      </c>
      <c r="R5" s="69">
        <v>4.3</v>
      </c>
      <c r="S5" s="69">
        <v>1.8</v>
      </c>
      <c r="T5" s="69">
        <v>4.4000000000000004</v>
      </c>
      <c r="U5" s="69">
        <v>2.2999999999999998</v>
      </c>
      <c r="V5" s="69">
        <v>1.9</v>
      </c>
      <c r="W5" s="69">
        <v>1.8</v>
      </c>
      <c r="X5" s="69">
        <v>3.5</v>
      </c>
      <c r="Y5" s="69">
        <v>3.7</v>
      </c>
      <c r="Z5" s="69">
        <v>2.1</v>
      </c>
      <c r="AA5" s="69">
        <v>1.5</v>
      </c>
      <c r="AB5" s="69">
        <v>1.9</v>
      </c>
      <c r="AC5" s="69">
        <v>2.1</v>
      </c>
      <c r="AD5" s="69">
        <v>1.9</v>
      </c>
      <c r="AE5" s="69">
        <v>3</v>
      </c>
      <c r="AF5" s="69">
        <v>1.5</v>
      </c>
    </row>
    <row r="6" spans="2:32" x14ac:dyDescent="0.2">
      <c r="B6" s="191"/>
      <c r="C6" s="191"/>
      <c r="D6" s="191"/>
      <c r="E6" s="191"/>
      <c r="F6" s="191"/>
      <c r="G6" s="191"/>
      <c r="H6" s="191"/>
      <c r="I6" s="191"/>
      <c r="J6" s="191"/>
      <c r="K6" s="191"/>
      <c r="L6" s="191"/>
      <c r="M6" s="191"/>
      <c r="N6" s="191"/>
      <c r="O6" s="191"/>
      <c r="P6" s="191"/>
      <c r="Q6" s="191"/>
      <c r="R6" s="191"/>
      <c r="S6" s="191"/>
      <c r="T6" s="191"/>
      <c r="U6" s="191"/>
      <c r="V6" s="191"/>
      <c r="W6" s="191"/>
      <c r="X6" s="191"/>
      <c r="Y6" s="191"/>
      <c r="Z6" s="191"/>
      <c r="AA6" s="191"/>
      <c r="AB6" s="191"/>
      <c r="AC6" s="191"/>
      <c r="AD6" s="191"/>
      <c r="AE6" s="191"/>
      <c r="AF6" s="191"/>
    </row>
    <row r="8" spans="2:32" ht="17" x14ac:dyDescent="0.2">
      <c r="B8" s="325" t="s">
        <v>111</v>
      </c>
      <c r="C8" s="325"/>
      <c r="E8" s="216" t="s">
        <v>456</v>
      </c>
      <c r="F8" s="217" t="s">
        <v>417</v>
      </c>
      <c r="G8">
        <v>2.33</v>
      </c>
      <c r="H8" s="46"/>
    </row>
    <row r="9" spans="2:32" x14ac:dyDescent="0.2">
      <c r="B9" s="9" t="s">
        <v>439</v>
      </c>
      <c r="C9" s="203">
        <f>C18*G10</f>
        <v>5.6997</v>
      </c>
      <c r="F9" s="8" t="s">
        <v>418</v>
      </c>
      <c r="G9" s="2">
        <f>AVERAGE(C4:AF4)</f>
        <v>100.25916666666667</v>
      </c>
      <c r="H9" s="2"/>
      <c r="M9" s="192"/>
      <c r="N9" s="192"/>
    </row>
    <row r="10" spans="2:32" x14ac:dyDescent="0.2">
      <c r="B10" s="9" t="s">
        <v>440</v>
      </c>
      <c r="C10" s="203">
        <f>G10</f>
        <v>2.6999999999999997</v>
      </c>
      <c r="F10" s="8" t="s">
        <v>419</v>
      </c>
      <c r="G10" s="2">
        <f>AVERAGE(C5:AF5)</f>
        <v>2.6999999999999997</v>
      </c>
      <c r="L10" s="192"/>
      <c r="M10" s="192"/>
      <c r="N10" s="192"/>
    </row>
    <row r="11" spans="2:32" x14ac:dyDescent="0.2">
      <c r="B11" s="9" t="s">
        <v>441</v>
      </c>
      <c r="C11" s="9">
        <f>C19*G10</f>
        <v>0</v>
      </c>
      <c r="F11" s="8" t="s">
        <v>420</v>
      </c>
      <c r="G11" s="2">
        <f>G10/G8</f>
        <v>1.1587982832618025</v>
      </c>
    </row>
    <row r="12" spans="2:32" x14ac:dyDescent="0.2">
      <c r="F12" s="8" t="s">
        <v>424</v>
      </c>
      <c r="G12" s="8"/>
    </row>
    <row r="13" spans="2:32" x14ac:dyDescent="0.2">
      <c r="B13" s="325" t="s">
        <v>442</v>
      </c>
      <c r="C13" s="325"/>
      <c r="F13" s="35" t="s">
        <v>436</v>
      </c>
      <c r="G13">
        <f>G14+2</f>
        <v>102</v>
      </c>
    </row>
    <row r="14" spans="2:32" x14ac:dyDescent="0.2">
      <c r="B14" s="9" t="s">
        <v>439</v>
      </c>
      <c r="C14" s="203">
        <f>G9+(C20*G10)</f>
        <v>101.82516666666668</v>
      </c>
      <c r="F14" s="35" t="s">
        <v>438</v>
      </c>
      <c r="G14">
        <v>100</v>
      </c>
    </row>
    <row r="15" spans="2:32" x14ac:dyDescent="0.2">
      <c r="B15" s="9" t="s">
        <v>440</v>
      </c>
      <c r="C15" s="203">
        <f>G9</f>
        <v>100.25916666666667</v>
      </c>
      <c r="F15" s="35" t="s">
        <v>437</v>
      </c>
      <c r="G15">
        <f>G14-2</f>
        <v>98</v>
      </c>
    </row>
    <row r="16" spans="2:32" ht="17" thickBot="1" x14ac:dyDescent="0.25">
      <c r="B16" s="9" t="s">
        <v>441</v>
      </c>
      <c r="C16" s="203">
        <f>G9-(C20*G10)</f>
        <v>98.69316666666667</v>
      </c>
    </row>
    <row r="17" spans="2:17" x14ac:dyDescent="0.2">
      <c r="F17" s="35" t="s">
        <v>421</v>
      </c>
      <c r="G17" s="33">
        <f>(G13-G9)/G11</f>
        <v>1.5022746913580198</v>
      </c>
      <c r="H17" s="329" t="s">
        <v>445</v>
      </c>
      <c r="I17" s="320">
        <f>MIN(G17,G18)</f>
        <v>1.5022746913580198</v>
      </c>
      <c r="J17" s="3"/>
      <c r="K17" s="3"/>
      <c r="L17" s="3"/>
      <c r="M17" s="3"/>
    </row>
    <row r="18" spans="2:17" ht="17" thickBot="1" x14ac:dyDescent="0.25">
      <c r="B18" s="35" t="s">
        <v>443</v>
      </c>
      <c r="C18" s="35">
        <v>2.1110000000000002</v>
      </c>
      <c r="F18" s="35" t="s">
        <v>422</v>
      </c>
      <c r="G18" s="33">
        <f>(G9-G15)/G11</f>
        <v>1.9495771604938323</v>
      </c>
      <c r="H18" s="319"/>
      <c r="I18" s="313"/>
      <c r="J18" s="3"/>
      <c r="K18" s="3"/>
      <c r="L18" s="3"/>
      <c r="M18" s="3"/>
    </row>
    <row r="19" spans="2:17" ht="17" thickBot="1" x14ac:dyDescent="0.25">
      <c r="B19" s="35" t="s">
        <v>444</v>
      </c>
      <c r="C19" s="35">
        <v>0</v>
      </c>
    </row>
    <row r="20" spans="2:17" ht="17" thickBot="1" x14ac:dyDescent="0.25">
      <c r="B20" s="35" t="s">
        <v>24</v>
      </c>
      <c r="C20" s="35">
        <v>0.57999999999999996</v>
      </c>
      <c r="E20" s="46" t="s">
        <v>457</v>
      </c>
      <c r="F20" s="326" t="s">
        <v>423</v>
      </c>
      <c r="G20" s="327"/>
      <c r="H20" s="327"/>
      <c r="I20" s="327"/>
      <c r="J20" s="328"/>
    </row>
    <row r="21" spans="2:17" ht="17" thickBot="1" x14ac:dyDescent="0.25"/>
    <row r="22" spans="2:17" x14ac:dyDescent="0.2">
      <c r="E22" s="46" t="s">
        <v>458</v>
      </c>
      <c r="F22" s="204" t="s">
        <v>446</v>
      </c>
      <c r="G22" s="205">
        <f>G9+(3*G11)</f>
        <v>103.73556151645208</v>
      </c>
      <c r="H22" s="270" t="s">
        <v>448</v>
      </c>
      <c r="I22" s="270"/>
      <c r="J22" s="270"/>
      <c r="K22" s="270"/>
      <c r="L22" s="270"/>
      <c r="M22" s="270"/>
      <c r="N22" s="271"/>
    </row>
    <row r="23" spans="2:17" x14ac:dyDescent="0.2">
      <c r="E23" s="46"/>
      <c r="F23" s="149" t="s">
        <v>447</v>
      </c>
      <c r="G23" s="31">
        <f>G9-(3*G11)</f>
        <v>96.782771816881265</v>
      </c>
      <c r="H23" s="321"/>
      <c r="I23" s="321"/>
      <c r="J23" s="321"/>
      <c r="K23" s="321"/>
      <c r="L23" s="321"/>
      <c r="M23" s="321"/>
      <c r="N23" s="322"/>
    </row>
    <row r="24" spans="2:17" ht="17" thickBot="1" x14ac:dyDescent="0.25">
      <c r="E24" s="46"/>
      <c r="F24" s="323" t="s">
        <v>425</v>
      </c>
      <c r="G24" s="324"/>
      <c r="H24" s="1" t="s">
        <v>464</v>
      </c>
      <c r="I24" s="1"/>
      <c r="J24" s="1"/>
      <c r="K24" s="1"/>
      <c r="L24" s="1"/>
      <c r="M24" s="1"/>
      <c r="N24" s="159"/>
    </row>
    <row r="25" spans="2:17" x14ac:dyDescent="0.2">
      <c r="E25" s="46"/>
    </row>
    <row r="27" spans="2:17" x14ac:dyDescent="0.2">
      <c r="E27" s="46" t="s">
        <v>459</v>
      </c>
      <c r="H27" s="35" t="s">
        <v>426</v>
      </c>
      <c r="N27" s="193"/>
    </row>
    <row r="28" spans="2:17" x14ac:dyDescent="0.2">
      <c r="F28" s="8" t="s">
        <v>427</v>
      </c>
      <c r="G28" s="30">
        <f>(G13-G9)/G11</f>
        <v>1.5022746913580198</v>
      </c>
      <c r="H28" s="197">
        <f>_xlfn.NORM.S.DIST(G28,TRUE)</f>
        <v>0.93348690898998266</v>
      </c>
      <c r="M28" s="194"/>
      <c r="N28" s="195"/>
      <c r="O28" s="196"/>
      <c r="P28" s="195"/>
    </row>
    <row r="29" spans="2:17" x14ac:dyDescent="0.2">
      <c r="F29" s="8" t="s">
        <v>428</v>
      </c>
      <c r="G29" s="30">
        <f>(G15-G9)/G11</f>
        <v>-1.9495771604938323</v>
      </c>
      <c r="H29" s="197">
        <f>_xlfn.NORM.S.DIST(G29,TRUE)</f>
        <v>2.5613268908580279E-2</v>
      </c>
      <c r="I29" t="s">
        <v>429</v>
      </c>
      <c r="M29" s="198"/>
      <c r="N29" s="193"/>
      <c r="P29" s="193"/>
    </row>
    <row r="30" spans="2:17" x14ac:dyDescent="0.2">
      <c r="F30" s="8"/>
      <c r="L30" s="199">
        <f>H29</f>
        <v>2.5613268908580279E-2</v>
      </c>
      <c r="M30" s="198"/>
      <c r="N30" s="193"/>
      <c r="P30" s="193"/>
      <c r="Q30" s="20">
        <f>G32-L30</f>
        <v>6.6513091010017358E-2</v>
      </c>
    </row>
    <row r="31" spans="2:17" ht="17" thickBot="1" x14ac:dyDescent="0.25">
      <c r="F31" s="8" t="s">
        <v>430</v>
      </c>
      <c r="G31" s="199">
        <f>H28-H29</f>
        <v>0.90787364008140237</v>
      </c>
      <c r="L31" s="6" t="s">
        <v>431</v>
      </c>
      <c r="M31" s="200"/>
      <c r="N31" s="201"/>
      <c r="O31" s="6"/>
      <c r="P31" s="201"/>
      <c r="Q31" s="6" t="s">
        <v>432</v>
      </c>
    </row>
    <row r="32" spans="2:17" x14ac:dyDescent="0.2">
      <c r="F32" s="207" t="s">
        <v>433</v>
      </c>
      <c r="G32" s="208">
        <f>1-G31</f>
        <v>9.2126359918597633E-2</v>
      </c>
      <c r="H32" s="94"/>
      <c r="I32" s="94"/>
      <c r="J32" s="161"/>
    </row>
    <row r="33" spans="6:12" x14ac:dyDescent="0.2">
      <c r="F33" s="209" t="s">
        <v>434</v>
      </c>
      <c r="G33" s="210">
        <f>+G32*1000000</f>
        <v>92126.359918597635</v>
      </c>
      <c r="J33" s="157"/>
    </row>
    <row r="34" spans="6:12" x14ac:dyDescent="0.2">
      <c r="F34" s="209" t="s">
        <v>435</v>
      </c>
      <c r="G34" s="30">
        <f>0.8406+SQRT(29.37-2.221*LN(G33))</f>
        <v>2.836078563021422</v>
      </c>
      <c r="I34" s="206"/>
      <c r="J34" s="212"/>
      <c r="K34" s="206"/>
      <c r="L34" s="206"/>
    </row>
    <row r="35" spans="6:12" x14ac:dyDescent="0.2">
      <c r="F35" s="209" t="s">
        <v>454</v>
      </c>
      <c r="G35" s="30">
        <v>0.94590592579706922</v>
      </c>
      <c r="H35" s="206"/>
      <c r="I35" s="206"/>
      <c r="J35" s="212"/>
      <c r="K35" s="206"/>
      <c r="L35" s="206"/>
    </row>
    <row r="36" spans="6:12" ht="16" customHeight="1" x14ac:dyDescent="0.2">
      <c r="F36" s="318" t="s">
        <v>465</v>
      </c>
      <c r="G36" s="310"/>
      <c r="H36" s="310"/>
      <c r="I36" s="310"/>
      <c r="J36" s="311"/>
      <c r="K36" s="206"/>
      <c r="L36" s="206"/>
    </row>
    <row r="37" spans="6:12" x14ac:dyDescent="0.2">
      <c r="F37" s="318"/>
      <c r="G37" s="310"/>
      <c r="H37" s="310"/>
      <c r="I37" s="310"/>
      <c r="J37" s="311"/>
      <c r="K37" s="206"/>
      <c r="L37" s="206"/>
    </row>
    <row r="38" spans="6:12" x14ac:dyDescent="0.2">
      <c r="F38" s="318"/>
      <c r="G38" s="310"/>
      <c r="H38" s="310"/>
      <c r="I38" s="310"/>
      <c r="J38" s="311"/>
    </row>
    <row r="39" spans="6:12" x14ac:dyDescent="0.2">
      <c r="F39" s="318"/>
      <c r="G39" s="310"/>
      <c r="H39" s="310"/>
      <c r="I39" s="310"/>
      <c r="J39" s="311"/>
    </row>
    <row r="40" spans="6:12" x14ac:dyDescent="0.2">
      <c r="F40" s="318"/>
      <c r="G40" s="310"/>
      <c r="H40" s="310"/>
      <c r="I40" s="310"/>
      <c r="J40" s="311"/>
    </row>
    <row r="41" spans="6:12" ht="17" thickBot="1" x14ac:dyDescent="0.25">
      <c r="F41" s="319"/>
      <c r="G41" s="312"/>
      <c r="H41" s="312"/>
      <c r="I41" s="312"/>
      <c r="J41" s="313"/>
    </row>
  </sheetData>
  <mergeCells count="9">
    <mergeCell ref="C2:L2"/>
    <mergeCell ref="B8:C8"/>
    <mergeCell ref="B13:C13"/>
    <mergeCell ref="F36:J41"/>
    <mergeCell ref="H17:H18"/>
    <mergeCell ref="I17:I18"/>
    <mergeCell ref="F20:J20"/>
    <mergeCell ref="H22:N23"/>
    <mergeCell ref="F24:G2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E559C-E5B2-BD44-BC34-E1F0B192CCEC}">
  <dimension ref="B2:V39"/>
  <sheetViews>
    <sheetView topLeftCell="D1" workbookViewId="0">
      <selection activeCell="G32" sqref="G32"/>
    </sheetView>
  </sheetViews>
  <sheetFormatPr baseColWidth="10" defaultRowHeight="16" x14ac:dyDescent="0.2"/>
  <cols>
    <col min="2000" max="2000" width="2.5" customWidth="1"/>
  </cols>
  <sheetData>
    <row r="2" spans="2:22" x14ac:dyDescent="0.2">
      <c r="B2" s="74" t="s">
        <v>179</v>
      </c>
      <c r="C2" s="75">
        <v>1</v>
      </c>
      <c r="D2" s="75">
        <v>2</v>
      </c>
      <c r="E2" s="75">
        <v>3</v>
      </c>
      <c r="F2" s="75">
        <v>4</v>
      </c>
      <c r="G2" s="75">
        <v>5</v>
      </c>
      <c r="H2" s="75">
        <v>6</v>
      </c>
      <c r="I2" s="75">
        <v>7</v>
      </c>
      <c r="J2" s="75">
        <v>8</v>
      </c>
      <c r="K2" s="75">
        <v>9</v>
      </c>
      <c r="L2" s="75">
        <v>10</v>
      </c>
      <c r="M2" s="75">
        <v>11</v>
      </c>
      <c r="N2" s="75">
        <v>12</v>
      </c>
      <c r="O2" s="75">
        <v>13</v>
      </c>
      <c r="P2" s="75">
        <v>14</v>
      </c>
      <c r="Q2" s="75">
        <v>15</v>
      </c>
      <c r="R2" s="75">
        <v>16</v>
      </c>
      <c r="S2" s="75">
        <v>17</v>
      </c>
      <c r="T2" s="75">
        <v>18</v>
      </c>
      <c r="U2" s="75">
        <v>19</v>
      </c>
      <c r="V2" s="75">
        <v>20</v>
      </c>
    </row>
    <row r="3" spans="2:22" x14ac:dyDescent="0.2">
      <c r="B3" s="74" t="s">
        <v>178</v>
      </c>
      <c r="C3" s="76">
        <v>30.3</v>
      </c>
      <c r="D3" s="76">
        <v>30.2</v>
      </c>
      <c r="E3" s="76">
        <v>28</v>
      </c>
      <c r="F3" s="76">
        <v>27</v>
      </c>
      <c r="G3" s="76">
        <v>29</v>
      </c>
      <c r="H3" s="76">
        <v>30.5</v>
      </c>
      <c r="I3" s="76">
        <v>26.6</v>
      </c>
      <c r="J3" s="76">
        <v>26.5</v>
      </c>
      <c r="K3" s="76">
        <v>26.6</v>
      </c>
      <c r="L3" s="76">
        <v>26.7</v>
      </c>
      <c r="M3" s="76">
        <v>26.4</v>
      </c>
      <c r="N3" s="76">
        <v>30.4</v>
      </c>
      <c r="O3" s="76">
        <v>29</v>
      </c>
      <c r="P3" s="76">
        <v>28</v>
      </c>
      <c r="Q3" s="76">
        <v>29</v>
      </c>
      <c r="R3" s="76">
        <v>29.5</v>
      </c>
      <c r="S3" s="76">
        <v>28</v>
      </c>
      <c r="T3" s="76">
        <v>29.4</v>
      </c>
      <c r="U3" s="76">
        <v>29.3</v>
      </c>
      <c r="V3" s="76">
        <v>30</v>
      </c>
    </row>
    <row r="4" spans="2:22" x14ac:dyDescent="0.2">
      <c r="B4" s="74" t="s">
        <v>110</v>
      </c>
      <c r="C4" s="76">
        <v>5</v>
      </c>
      <c r="D4" s="76">
        <v>8</v>
      </c>
      <c r="E4" s="76">
        <v>6</v>
      </c>
      <c r="F4" s="76">
        <v>4</v>
      </c>
      <c r="G4" s="76">
        <v>5</v>
      </c>
      <c r="H4" s="76">
        <v>2</v>
      </c>
      <c r="I4" s="76">
        <v>7</v>
      </c>
      <c r="J4" s="76">
        <v>4</v>
      </c>
      <c r="K4" s="76">
        <v>3</v>
      </c>
      <c r="L4" s="76">
        <v>7</v>
      </c>
      <c r="M4" s="76">
        <v>4</v>
      </c>
      <c r="N4" s="76">
        <v>6</v>
      </c>
      <c r="O4" s="76">
        <v>3</v>
      </c>
      <c r="P4" s="76">
        <v>7</v>
      </c>
      <c r="Q4" s="76">
        <v>4</v>
      </c>
      <c r="R4" s="76">
        <v>7</v>
      </c>
      <c r="S4" s="76">
        <v>5</v>
      </c>
      <c r="T4" s="76">
        <v>2</v>
      </c>
      <c r="U4" s="76">
        <v>3</v>
      </c>
      <c r="V4" s="76">
        <v>7</v>
      </c>
    </row>
    <row r="6" spans="2:22" ht="17" x14ac:dyDescent="0.2">
      <c r="B6" s="325" t="s">
        <v>111</v>
      </c>
      <c r="C6" s="325"/>
      <c r="E6" s="216" t="s">
        <v>456</v>
      </c>
      <c r="F6" s="217" t="s">
        <v>417</v>
      </c>
      <c r="G6">
        <v>2.5299999999999998</v>
      </c>
      <c r="H6" s="46"/>
    </row>
    <row r="7" spans="2:22" x14ac:dyDescent="0.2">
      <c r="B7" s="9" t="s">
        <v>439</v>
      </c>
      <c r="C7" s="203">
        <f>C16*G8</f>
        <v>9.9</v>
      </c>
      <c r="F7" s="8" t="s">
        <v>418</v>
      </c>
      <c r="G7">
        <f>AVERAGE(C3:V3)</f>
        <v>28.519999999999992</v>
      </c>
      <c r="H7" s="2"/>
      <c r="M7" s="192"/>
      <c r="N7" s="192"/>
    </row>
    <row r="8" spans="2:22" x14ac:dyDescent="0.2">
      <c r="B8" s="9" t="s">
        <v>440</v>
      </c>
      <c r="C8" s="203">
        <f>G8</f>
        <v>4.95</v>
      </c>
      <c r="F8" s="8" t="s">
        <v>419</v>
      </c>
      <c r="G8" s="2">
        <f>AVERAGE(C4:V4)</f>
        <v>4.95</v>
      </c>
      <c r="L8" s="192"/>
      <c r="M8" s="192"/>
      <c r="N8" s="192"/>
    </row>
    <row r="9" spans="2:22" x14ac:dyDescent="0.2">
      <c r="B9" s="9" t="s">
        <v>441</v>
      </c>
      <c r="C9" s="9">
        <f>C17*G8</f>
        <v>0</v>
      </c>
      <c r="F9" s="8" t="s">
        <v>420</v>
      </c>
      <c r="G9" s="2">
        <f>G8/G6</f>
        <v>1.956521739130435</v>
      </c>
    </row>
    <row r="10" spans="2:22" x14ac:dyDescent="0.2">
      <c r="F10" s="8" t="s">
        <v>424</v>
      </c>
      <c r="G10" s="8"/>
    </row>
    <row r="11" spans="2:22" x14ac:dyDescent="0.2">
      <c r="B11" s="325" t="s">
        <v>442</v>
      </c>
      <c r="C11" s="325"/>
      <c r="F11" s="35" t="s">
        <v>436</v>
      </c>
      <c r="G11">
        <f>G12+7</f>
        <v>36</v>
      </c>
    </row>
    <row r="12" spans="2:22" x14ac:dyDescent="0.2">
      <c r="B12" s="9" t="s">
        <v>439</v>
      </c>
      <c r="C12" s="203">
        <f>G7+(C18*G8)</f>
        <v>30.895999999999994</v>
      </c>
      <c r="F12" s="35" t="s">
        <v>438</v>
      </c>
      <c r="G12">
        <v>29</v>
      </c>
    </row>
    <row r="13" spans="2:22" x14ac:dyDescent="0.2">
      <c r="B13" s="9" t="s">
        <v>440</v>
      </c>
      <c r="C13" s="203">
        <f>G7</f>
        <v>28.519999999999992</v>
      </c>
      <c r="F13" s="35" t="s">
        <v>437</v>
      </c>
      <c r="G13">
        <f>G12-7</f>
        <v>22</v>
      </c>
    </row>
    <row r="14" spans="2:22" ht="17" thickBot="1" x14ac:dyDescent="0.25">
      <c r="B14" s="9" t="s">
        <v>441</v>
      </c>
      <c r="C14" s="203">
        <f>G7-(C18*G8)</f>
        <v>26.143999999999991</v>
      </c>
    </row>
    <row r="15" spans="2:22" x14ac:dyDescent="0.2">
      <c r="F15" s="35" t="s">
        <v>421</v>
      </c>
      <c r="G15" s="33">
        <f>(G11-G7)/G9</f>
        <v>3.8231111111111145</v>
      </c>
      <c r="H15" s="329" t="s">
        <v>445</v>
      </c>
      <c r="I15" s="320">
        <f>MIN(G15,G16)</f>
        <v>3.3324444444444401</v>
      </c>
      <c r="J15" s="3"/>
      <c r="K15" s="3"/>
      <c r="L15" s="3"/>
      <c r="M15" s="3"/>
    </row>
    <row r="16" spans="2:22" ht="17" thickBot="1" x14ac:dyDescent="0.25">
      <c r="B16" s="35" t="s">
        <v>443</v>
      </c>
      <c r="C16" s="35">
        <v>2</v>
      </c>
      <c r="F16" s="35" t="s">
        <v>422</v>
      </c>
      <c r="G16" s="33">
        <f>(G7-G13)/G9</f>
        <v>3.3324444444444401</v>
      </c>
      <c r="H16" s="319"/>
      <c r="I16" s="313"/>
      <c r="J16" s="3"/>
      <c r="K16" s="3"/>
      <c r="L16" s="3"/>
      <c r="M16" s="3"/>
    </row>
    <row r="17" spans="2:17" ht="17" thickBot="1" x14ac:dyDescent="0.25">
      <c r="B17" s="35" t="s">
        <v>444</v>
      </c>
      <c r="C17" s="35">
        <v>0</v>
      </c>
    </row>
    <row r="18" spans="2:17" ht="17" thickBot="1" x14ac:dyDescent="0.25">
      <c r="B18" s="35" t="s">
        <v>24</v>
      </c>
      <c r="C18" s="35">
        <v>0.48</v>
      </c>
      <c r="E18" s="46" t="s">
        <v>457</v>
      </c>
      <c r="F18" s="326" t="s">
        <v>423</v>
      </c>
      <c r="G18" s="327"/>
      <c r="H18" s="327"/>
      <c r="I18" s="327"/>
      <c r="J18" s="328"/>
    </row>
    <row r="19" spans="2:17" ht="17" thickBot="1" x14ac:dyDescent="0.25"/>
    <row r="20" spans="2:17" x14ac:dyDescent="0.2">
      <c r="E20" s="46" t="s">
        <v>458</v>
      </c>
      <c r="F20" s="204" t="s">
        <v>446</v>
      </c>
      <c r="G20" s="205">
        <f>G7+(3*G9)</f>
        <v>34.389565217391294</v>
      </c>
      <c r="H20" s="270" t="s">
        <v>460</v>
      </c>
      <c r="I20" s="270"/>
      <c r="J20" s="270"/>
      <c r="K20" s="270"/>
      <c r="L20" s="270"/>
      <c r="M20" s="270"/>
      <c r="N20" s="271"/>
    </row>
    <row r="21" spans="2:17" x14ac:dyDescent="0.2">
      <c r="E21" s="46"/>
      <c r="F21" s="149" t="s">
        <v>447</v>
      </c>
      <c r="G21" s="31">
        <f>G7-(3*G9)</f>
        <v>22.650434782608688</v>
      </c>
      <c r="H21" s="321"/>
      <c r="I21" s="321"/>
      <c r="J21" s="321"/>
      <c r="K21" s="321"/>
      <c r="L21" s="321"/>
      <c r="M21" s="321"/>
      <c r="N21" s="322"/>
    </row>
    <row r="22" spans="2:17" ht="17" thickBot="1" x14ac:dyDescent="0.25">
      <c r="E22" s="46"/>
      <c r="F22" s="323" t="s">
        <v>425</v>
      </c>
      <c r="G22" s="324"/>
      <c r="H22" s="1" t="s">
        <v>461</v>
      </c>
      <c r="I22" s="1"/>
      <c r="J22" s="1"/>
      <c r="K22" s="1"/>
      <c r="L22" s="1"/>
      <c r="M22" s="1"/>
      <c r="N22" s="159"/>
    </row>
    <row r="23" spans="2:17" x14ac:dyDescent="0.2">
      <c r="E23" s="46"/>
    </row>
    <row r="25" spans="2:17" x14ac:dyDescent="0.2">
      <c r="E25" s="46" t="s">
        <v>459</v>
      </c>
      <c r="H25" s="35" t="s">
        <v>426</v>
      </c>
      <c r="N25" s="193"/>
    </row>
    <row r="26" spans="2:17" x14ac:dyDescent="0.2">
      <c r="F26" s="8" t="s">
        <v>427</v>
      </c>
      <c r="G26" s="30">
        <f>(G11-G7)/G9</f>
        <v>3.8231111111111145</v>
      </c>
      <c r="H26" s="197">
        <f>_xlfn.NORM.S.DIST(G26,TRUE)</f>
        <v>0.99993411081982175</v>
      </c>
      <c r="M26" s="194"/>
      <c r="N26" s="195"/>
      <c r="O26" s="196"/>
      <c r="P26" s="195"/>
    </row>
    <row r="27" spans="2:17" x14ac:dyDescent="0.2">
      <c r="F27" s="8" t="s">
        <v>428</v>
      </c>
      <c r="G27" s="30">
        <f>(G13-G7)/G9</f>
        <v>-3.3324444444444401</v>
      </c>
      <c r="H27" s="197">
        <f>_xlfn.NORM.S.DIST(G27,TRUE)</f>
        <v>4.3043328067136465E-4</v>
      </c>
      <c r="I27" t="s">
        <v>429</v>
      </c>
      <c r="M27" s="198"/>
      <c r="N27" s="193"/>
      <c r="P27" s="193"/>
    </row>
    <row r="28" spans="2:17" x14ac:dyDescent="0.2">
      <c r="F28" s="8"/>
      <c r="L28" s="199">
        <f>H27</f>
        <v>4.3043328067136465E-4</v>
      </c>
      <c r="M28" s="198"/>
      <c r="N28" s="193"/>
      <c r="P28" s="193"/>
      <c r="Q28" s="20">
        <f>G30-L28</f>
        <v>6.5889180178265068E-5</v>
      </c>
    </row>
    <row r="29" spans="2:17" ht="17" thickBot="1" x14ac:dyDescent="0.25">
      <c r="F29" s="8" t="s">
        <v>430</v>
      </c>
      <c r="G29" s="199">
        <f>H26-H27</f>
        <v>0.99950367753915037</v>
      </c>
      <c r="L29" s="6" t="s">
        <v>431</v>
      </c>
      <c r="M29" s="200"/>
      <c r="N29" s="201"/>
      <c r="O29" s="6"/>
      <c r="P29" s="201"/>
      <c r="Q29" s="6" t="s">
        <v>432</v>
      </c>
    </row>
    <row r="30" spans="2:17" x14ac:dyDescent="0.2">
      <c r="F30" s="207" t="s">
        <v>433</v>
      </c>
      <c r="G30" s="208">
        <f>1-G29</f>
        <v>4.9632246084962972E-4</v>
      </c>
      <c r="H30" s="94"/>
      <c r="I30" s="94"/>
      <c r="J30" s="161"/>
    </row>
    <row r="31" spans="2:17" x14ac:dyDescent="0.2">
      <c r="F31" s="209" t="s">
        <v>434</v>
      </c>
      <c r="G31" s="2">
        <f>+G30*1000000</f>
        <v>496.32246084962969</v>
      </c>
      <c r="J31" s="157"/>
    </row>
    <row r="32" spans="2:17" x14ac:dyDescent="0.2">
      <c r="F32" s="209" t="s">
        <v>435</v>
      </c>
      <c r="G32" s="211">
        <f>0.8406+SQRT(29.37-2.221*LN(G31))</f>
        <v>4.7882260478204026</v>
      </c>
      <c r="I32" s="206"/>
      <c r="J32" s="212"/>
      <c r="K32" s="206"/>
      <c r="L32" s="206"/>
    </row>
    <row r="33" spans="6:12" x14ac:dyDescent="0.2">
      <c r="F33" s="209" t="s">
        <v>454</v>
      </c>
      <c r="G33">
        <v>1.6020000000000001</v>
      </c>
      <c r="H33" s="206"/>
      <c r="I33" s="206"/>
      <c r="J33" s="212"/>
      <c r="K33" s="206"/>
      <c r="L33" s="206"/>
    </row>
    <row r="34" spans="6:12" x14ac:dyDescent="0.2">
      <c r="F34" s="318" t="s">
        <v>486</v>
      </c>
      <c r="G34" s="310"/>
      <c r="H34" s="310"/>
      <c r="I34" s="310"/>
      <c r="J34" s="311"/>
      <c r="K34" s="206"/>
      <c r="L34" s="206"/>
    </row>
    <row r="35" spans="6:12" x14ac:dyDescent="0.2">
      <c r="F35" s="318"/>
      <c r="G35" s="310"/>
      <c r="H35" s="310"/>
      <c r="I35" s="310"/>
      <c r="J35" s="311"/>
      <c r="K35" s="206"/>
      <c r="L35" s="206"/>
    </row>
    <row r="36" spans="6:12" x14ac:dyDescent="0.2">
      <c r="F36" s="318"/>
      <c r="G36" s="310"/>
      <c r="H36" s="310"/>
      <c r="I36" s="310"/>
      <c r="J36" s="311"/>
    </row>
    <row r="37" spans="6:12" x14ac:dyDescent="0.2">
      <c r="F37" s="318"/>
      <c r="G37" s="310"/>
      <c r="H37" s="310"/>
      <c r="I37" s="310"/>
      <c r="J37" s="311"/>
    </row>
    <row r="38" spans="6:12" x14ac:dyDescent="0.2">
      <c r="F38" s="318"/>
      <c r="G38" s="310"/>
      <c r="H38" s="310"/>
      <c r="I38" s="310"/>
      <c r="J38" s="311"/>
    </row>
    <row r="39" spans="6:12" ht="17" thickBot="1" x14ac:dyDescent="0.25">
      <c r="F39" s="319"/>
      <c r="G39" s="312"/>
      <c r="H39" s="312"/>
      <c r="I39" s="312"/>
      <c r="J39" s="313"/>
    </row>
  </sheetData>
  <mergeCells count="8">
    <mergeCell ref="F22:G22"/>
    <mergeCell ref="F34:J39"/>
    <mergeCell ref="B6:C6"/>
    <mergeCell ref="B11:C11"/>
    <mergeCell ref="H15:H16"/>
    <mergeCell ref="I15:I16"/>
    <mergeCell ref="F18:J18"/>
    <mergeCell ref="H20:N2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11E5E-FE1B-3848-B32E-D6DC54DA3358}">
  <dimension ref="B2:Z39"/>
  <sheetViews>
    <sheetView topLeftCell="C4" workbookViewId="0">
      <selection activeCell="U16" sqref="U16"/>
    </sheetView>
  </sheetViews>
  <sheetFormatPr baseColWidth="10" defaultRowHeight="16" x14ac:dyDescent="0.2"/>
  <cols>
    <col min="2000" max="2000" width="2.5" customWidth="1"/>
  </cols>
  <sheetData>
    <row r="2" spans="2:26" ht="17" x14ac:dyDescent="0.2">
      <c r="B2" s="73" t="s">
        <v>179</v>
      </c>
      <c r="C2" s="69">
        <v>1</v>
      </c>
      <c r="D2" s="69">
        <v>2</v>
      </c>
      <c r="E2" s="69">
        <v>3</v>
      </c>
      <c r="F2" s="69">
        <v>4</v>
      </c>
      <c r="G2" s="69">
        <v>5</v>
      </c>
      <c r="H2" s="69">
        <v>6</v>
      </c>
      <c r="I2" s="69">
        <v>7</v>
      </c>
      <c r="J2" s="69">
        <v>8</v>
      </c>
      <c r="K2" s="69">
        <v>9</v>
      </c>
      <c r="L2" s="69">
        <v>10</v>
      </c>
      <c r="M2" s="69">
        <v>11</v>
      </c>
      <c r="N2" s="69">
        <v>12</v>
      </c>
      <c r="O2" s="69">
        <v>13</v>
      </c>
      <c r="P2" s="69">
        <v>14</v>
      </c>
      <c r="Q2" s="69">
        <v>15</v>
      </c>
      <c r="R2" s="69">
        <v>16</v>
      </c>
      <c r="S2" s="69">
        <v>17</v>
      </c>
      <c r="T2" s="69">
        <v>18</v>
      </c>
      <c r="U2" s="69">
        <v>19</v>
      </c>
      <c r="V2" s="69">
        <v>20</v>
      </c>
      <c r="W2" s="69">
        <v>21</v>
      </c>
      <c r="X2" s="69">
        <v>22</v>
      </c>
      <c r="Y2" s="69">
        <v>23</v>
      </c>
      <c r="Z2" s="69">
        <v>24</v>
      </c>
    </row>
    <row r="3" spans="2:26" ht="17" x14ac:dyDescent="0.2">
      <c r="B3" s="73" t="s">
        <v>178</v>
      </c>
      <c r="C3" s="69">
        <v>63.5</v>
      </c>
      <c r="D3" s="69">
        <v>63.6</v>
      </c>
      <c r="E3" s="69">
        <v>63.7</v>
      </c>
      <c r="F3" s="69">
        <v>63.9</v>
      </c>
      <c r="G3" s="69">
        <v>63.4</v>
      </c>
      <c r="H3" s="69">
        <v>63</v>
      </c>
      <c r="I3" s="69">
        <v>63.2</v>
      </c>
      <c r="J3" s="69">
        <v>63.3</v>
      </c>
      <c r="K3" s="69">
        <v>63.7</v>
      </c>
      <c r="L3" s="69">
        <v>63.5</v>
      </c>
      <c r="M3" s="69">
        <v>63.3</v>
      </c>
      <c r="N3" s="69">
        <v>63.6</v>
      </c>
      <c r="O3" s="69">
        <v>63.3</v>
      </c>
      <c r="P3" s="69">
        <v>63.4</v>
      </c>
      <c r="Q3" s="69">
        <v>63.4</v>
      </c>
      <c r="R3" s="69">
        <v>63.5</v>
      </c>
      <c r="S3" s="69">
        <v>63.6</v>
      </c>
      <c r="T3" s="69">
        <v>63.8</v>
      </c>
      <c r="U3" s="69">
        <v>63.5</v>
      </c>
      <c r="V3" s="69">
        <v>63.9</v>
      </c>
      <c r="W3" s="69">
        <v>63.2</v>
      </c>
      <c r="X3" s="69">
        <v>63.3</v>
      </c>
      <c r="Y3" s="69">
        <v>64</v>
      </c>
      <c r="Z3" s="69">
        <v>63.4</v>
      </c>
    </row>
    <row r="4" spans="2:26" ht="17" x14ac:dyDescent="0.2">
      <c r="B4" s="73" t="s">
        <v>110</v>
      </c>
      <c r="C4" s="69">
        <v>1.2</v>
      </c>
      <c r="D4" s="69">
        <v>1</v>
      </c>
      <c r="E4" s="69">
        <v>1.5</v>
      </c>
      <c r="F4" s="69">
        <v>1.4</v>
      </c>
      <c r="G4" s="69">
        <v>0.9</v>
      </c>
      <c r="H4" s="69">
        <v>1</v>
      </c>
      <c r="I4" s="69">
        <v>1.1000000000000001</v>
      </c>
      <c r="J4" s="69">
        <v>1.3</v>
      </c>
      <c r="K4" s="69">
        <v>1.2</v>
      </c>
      <c r="L4" s="69">
        <v>1.3</v>
      </c>
      <c r="M4" s="69">
        <v>1.5</v>
      </c>
      <c r="N4" s="69">
        <v>0.9</v>
      </c>
      <c r="O4" s="69">
        <v>1.3</v>
      </c>
      <c r="P4" s="69">
        <v>1.2</v>
      </c>
      <c r="Q4" s="69">
        <v>1</v>
      </c>
      <c r="R4" s="69">
        <v>1.1000000000000001</v>
      </c>
      <c r="S4" s="69">
        <v>1.5</v>
      </c>
      <c r="T4" s="69">
        <v>1.4</v>
      </c>
      <c r="U4" s="69">
        <v>0.9</v>
      </c>
      <c r="V4" s="69">
        <v>0.8</v>
      </c>
      <c r="W4" s="69">
        <v>1.4</v>
      </c>
      <c r="X4" s="69">
        <v>1.3</v>
      </c>
      <c r="Y4" s="69">
        <v>1.1000000000000001</v>
      </c>
      <c r="Z4" s="69">
        <v>1</v>
      </c>
    </row>
    <row r="6" spans="2:26" ht="17" x14ac:dyDescent="0.2">
      <c r="B6" s="325" t="s">
        <v>111</v>
      </c>
      <c r="C6" s="325"/>
      <c r="E6" s="216" t="s">
        <v>577</v>
      </c>
      <c r="F6" s="217" t="s">
        <v>417</v>
      </c>
      <c r="G6">
        <v>2.33</v>
      </c>
      <c r="H6" s="46"/>
    </row>
    <row r="7" spans="2:26" x14ac:dyDescent="0.2">
      <c r="B7" s="9" t="s">
        <v>439</v>
      </c>
      <c r="C7" s="203">
        <f>C16*G8</f>
        <v>2.4892208333333334</v>
      </c>
      <c r="F7" s="8" t="s">
        <v>418</v>
      </c>
      <c r="G7">
        <f>AVERAGE(C3:Z3)</f>
        <v>63.5</v>
      </c>
      <c r="H7" s="2"/>
      <c r="M7" s="192"/>
      <c r="N7" s="192"/>
    </row>
    <row r="8" spans="2:26" x14ac:dyDescent="0.2">
      <c r="B8" s="9" t="s">
        <v>440</v>
      </c>
      <c r="C8" s="203">
        <f>G8</f>
        <v>1.1791666666666667</v>
      </c>
      <c r="F8" s="8" t="s">
        <v>419</v>
      </c>
      <c r="G8" s="2">
        <f>AVERAGE(C4:Z4)</f>
        <v>1.1791666666666667</v>
      </c>
      <c r="L8" s="192"/>
      <c r="M8" s="192"/>
      <c r="N8" s="192"/>
    </row>
    <row r="9" spans="2:26" x14ac:dyDescent="0.2">
      <c r="B9" s="9" t="s">
        <v>441</v>
      </c>
      <c r="C9" s="9">
        <f>C17*G8</f>
        <v>0</v>
      </c>
      <c r="F9" s="8" t="s">
        <v>420</v>
      </c>
      <c r="G9" s="2">
        <f>G8/G6</f>
        <v>0.50608011444921319</v>
      </c>
    </row>
    <row r="10" spans="2:26" x14ac:dyDescent="0.2">
      <c r="F10" s="8" t="s">
        <v>424</v>
      </c>
      <c r="G10" s="8"/>
    </row>
    <row r="11" spans="2:26" x14ac:dyDescent="0.2">
      <c r="B11" s="325" t="s">
        <v>442</v>
      </c>
      <c r="C11" s="325"/>
      <c r="F11" s="35" t="s">
        <v>436</v>
      </c>
      <c r="G11">
        <f>G12+2</f>
        <v>65.5</v>
      </c>
    </row>
    <row r="12" spans="2:26" x14ac:dyDescent="0.2">
      <c r="B12" s="9" t="s">
        <v>439</v>
      </c>
      <c r="C12" s="203">
        <f>G7+(C18*G8)</f>
        <v>64.183916666666661</v>
      </c>
      <c r="F12" s="35" t="s">
        <v>438</v>
      </c>
      <c r="G12">
        <v>63.5</v>
      </c>
    </row>
    <row r="13" spans="2:26" x14ac:dyDescent="0.2">
      <c r="B13" s="9" t="s">
        <v>440</v>
      </c>
      <c r="C13" s="203">
        <f>G7</f>
        <v>63.5</v>
      </c>
      <c r="F13" s="35" t="s">
        <v>437</v>
      </c>
      <c r="G13">
        <f>G12-2</f>
        <v>61.5</v>
      </c>
    </row>
    <row r="14" spans="2:26" ht="17" thickBot="1" x14ac:dyDescent="0.25">
      <c r="B14" s="9" t="s">
        <v>441</v>
      </c>
      <c r="C14" s="203">
        <f>G7-(C18*G8)</f>
        <v>62.816083333333331</v>
      </c>
    </row>
    <row r="15" spans="2:26" x14ac:dyDescent="0.2">
      <c r="F15" s="35" t="s">
        <v>421</v>
      </c>
      <c r="G15" s="33">
        <f>(G11-G7)/G9</f>
        <v>3.9519434628975261</v>
      </c>
      <c r="H15" s="329" t="s">
        <v>445</v>
      </c>
      <c r="I15" s="320">
        <f>MIN(G15,G16)</f>
        <v>3.9519434628975261</v>
      </c>
      <c r="J15" s="331" t="s">
        <v>468</v>
      </c>
      <c r="K15" s="321"/>
      <c r="L15" s="3"/>
      <c r="M15" s="3"/>
    </row>
    <row r="16" spans="2:26" ht="17" thickBot="1" x14ac:dyDescent="0.25">
      <c r="B16" s="35" t="s">
        <v>443</v>
      </c>
      <c r="C16" s="35">
        <v>2.1110000000000002</v>
      </c>
      <c r="F16" s="35" t="s">
        <v>422</v>
      </c>
      <c r="G16" s="33">
        <f>(G7-G13)/G9</f>
        <v>3.9519434628975261</v>
      </c>
      <c r="H16" s="319"/>
      <c r="I16" s="313"/>
      <c r="J16" s="3"/>
      <c r="K16" s="3"/>
      <c r="L16" s="3"/>
      <c r="M16" s="3"/>
    </row>
    <row r="17" spans="2:17" ht="17" thickBot="1" x14ac:dyDescent="0.25">
      <c r="B17" s="35" t="s">
        <v>444</v>
      </c>
      <c r="C17" s="35">
        <v>0</v>
      </c>
    </row>
    <row r="18" spans="2:17" ht="17" thickBot="1" x14ac:dyDescent="0.25">
      <c r="B18" s="35" t="s">
        <v>24</v>
      </c>
      <c r="C18" s="35">
        <v>0.57999999999999996</v>
      </c>
      <c r="E18" s="46" t="s">
        <v>578</v>
      </c>
      <c r="F18" s="326" t="s">
        <v>423</v>
      </c>
      <c r="G18" s="327"/>
      <c r="H18" s="327"/>
      <c r="I18" s="327"/>
      <c r="J18" s="328"/>
    </row>
    <row r="19" spans="2:17" ht="17" thickBot="1" x14ac:dyDescent="0.25"/>
    <row r="20" spans="2:17" x14ac:dyDescent="0.2">
      <c r="E20" s="46" t="s">
        <v>584</v>
      </c>
      <c r="F20" s="204" t="s">
        <v>446</v>
      </c>
      <c r="G20" s="205">
        <f>G7+(3*G9)</f>
        <v>65.018240343347642</v>
      </c>
      <c r="H20" s="270" t="s">
        <v>460</v>
      </c>
      <c r="I20" s="270"/>
      <c r="J20" s="270"/>
      <c r="K20" s="270"/>
      <c r="L20" s="270"/>
      <c r="M20" s="270"/>
      <c r="N20" s="271"/>
    </row>
    <row r="21" spans="2:17" x14ac:dyDescent="0.2">
      <c r="E21" s="46"/>
      <c r="F21" s="149" t="s">
        <v>447</v>
      </c>
      <c r="G21" s="31">
        <f>G7-(3*G9)</f>
        <v>61.981759656652358</v>
      </c>
      <c r="H21" s="321"/>
      <c r="I21" s="321"/>
      <c r="J21" s="321"/>
      <c r="K21" s="321"/>
      <c r="L21" s="321"/>
      <c r="M21" s="321"/>
      <c r="N21" s="322"/>
    </row>
    <row r="22" spans="2:17" ht="17" thickBot="1" x14ac:dyDescent="0.25">
      <c r="E22" s="46"/>
      <c r="F22" s="323" t="s">
        <v>425</v>
      </c>
      <c r="G22" s="324"/>
      <c r="H22" s="1" t="s">
        <v>462</v>
      </c>
      <c r="I22" s="1"/>
      <c r="J22" s="1"/>
      <c r="K22" s="1"/>
      <c r="L22" s="1"/>
      <c r="M22" s="1"/>
      <c r="N22" s="159"/>
    </row>
    <row r="23" spans="2:17" x14ac:dyDescent="0.2">
      <c r="E23" s="46"/>
    </row>
    <row r="25" spans="2:17" x14ac:dyDescent="0.2">
      <c r="E25" s="46" t="s">
        <v>586</v>
      </c>
      <c r="H25" s="35" t="s">
        <v>426</v>
      </c>
      <c r="N25" s="193"/>
    </row>
    <row r="26" spans="2:17" x14ac:dyDescent="0.2">
      <c r="F26" s="8" t="s">
        <v>427</v>
      </c>
      <c r="G26" s="30">
        <f>(G11-G7)/G9</f>
        <v>3.9519434628975261</v>
      </c>
      <c r="H26" s="197">
        <f>_xlfn.NORM.S.DIST(G26,TRUE)</f>
        <v>0.99996124047124824</v>
      </c>
      <c r="M26" s="194"/>
      <c r="N26" s="195"/>
      <c r="O26" s="196"/>
      <c r="P26" s="195"/>
    </row>
    <row r="27" spans="2:17" x14ac:dyDescent="0.2">
      <c r="F27" s="8" t="s">
        <v>428</v>
      </c>
      <c r="G27" s="30">
        <f>(G13-G7)/G9</f>
        <v>-3.9519434628975261</v>
      </c>
      <c r="H27" s="197">
        <f>_xlfn.NORM.S.DIST(G27,TRUE)</f>
        <v>3.8759528751717858E-5</v>
      </c>
      <c r="I27" t="s">
        <v>429</v>
      </c>
      <c r="M27" s="198"/>
      <c r="N27" s="193"/>
      <c r="P27" s="193"/>
    </row>
    <row r="28" spans="2:17" x14ac:dyDescent="0.2">
      <c r="F28" s="8"/>
      <c r="L28" s="199">
        <f>H27</f>
        <v>3.8759528751717858E-5</v>
      </c>
      <c r="M28" s="198"/>
      <c r="N28" s="193"/>
      <c r="P28" s="193"/>
      <c r="Q28" s="20">
        <f>G30-L28</f>
        <v>3.8759528751809975E-5</v>
      </c>
    </row>
    <row r="29" spans="2:17" ht="17" thickBot="1" x14ac:dyDescent="0.25">
      <c r="F29" s="8" t="s">
        <v>430</v>
      </c>
      <c r="G29" s="199">
        <f>H26-H27</f>
        <v>0.99992248094249647</v>
      </c>
      <c r="L29" s="6" t="s">
        <v>431</v>
      </c>
      <c r="M29" s="200"/>
      <c r="N29" s="201"/>
      <c r="O29" s="6"/>
      <c r="P29" s="201"/>
      <c r="Q29" s="6" t="s">
        <v>432</v>
      </c>
    </row>
    <row r="30" spans="2:17" x14ac:dyDescent="0.2">
      <c r="F30" s="207" t="s">
        <v>433</v>
      </c>
      <c r="G30" s="246">
        <f>1-G29</f>
        <v>7.7519057503527833E-5</v>
      </c>
      <c r="H30" s="94"/>
      <c r="I30" s="94"/>
      <c r="J30" s="161"/>
    </row>
    <row r="31" spans="2:17" x14ac:dyDescent="0.2">
      <c r="F31" s="209" t="s">
        <v>434</v>
      </c>
      <c r="G31" s="2">
        <f>+G30*1000000</f>
        <v>77.519057503527833</v>
      </c>
      <c r="J31" s="157"/>
    </row>
    <row r="32" spans="2:17" x14ac:dyDescent="0.2">
      <c r="F32" s="209" t="s">
        <v>435</v>
      </c>
      <c r="G32" s="30">
        <f>0.8406+SQRT(29.37-2.221*LN(G31))</f>
        <v>5.2799115028481101</v>
      </c>
      <c r="I32" s="206"/>
      <c r="J32" s="212"/>
      <c r="K32" s="206"/>
      <c r="L32" s="206"/>
    </row>
    <row r="33" spans="6:12" x14ac:dyDescent="0.2">
      <c r="F33" s="209" t="s">
        <v>454</v>
      </c>
      <c r="G33" s="30">
        <v>1.7623707959398762</v>
      </c>
      <c r="H33" s="206"/>
      <c r="I33" s="206"/>
      <c r="J33" s="212"/>
      <c r="K33" s="206"/>
      <c r="L33" s="206"/>
    </row>
    <row r="34" spans="6:12" ht="16" customHeight="1" x14ac:dyDescent="0.2">
      <c r="F34" s="318" t="s">
        <v>463</v>
      </c>
      <c r="G34" s="310"/>
      <c r="H34" s="310"/>
      <c r="I34" s="310"/>
      <c r="J34" s="311"/>
      <c r="K34" s="206"/>
      <c r="L34" s="206"/>
    </row>
    <row r="35" spans="6:12" x14ac:dyDescent="0.2">
      <c r="F35" s="318"/>
      <c r="G35" s="310"/>
      <c r="H35" s="310"/>
      <c r="I35" s="310"/>
      <c r="J35" s="311"/>
      <c r="K35" s="206"/>
      <c r="L35" s="206"/>
    </row>
    <row r="36" spans="6:12" x14ac:dyDescent="0.2">
      <c r="F36" s="318"/>
      <c r="G36" s="310"/>
      <c r="H36" s="310"/>
      <c r="I36" s="310"/>
      <c r="J36" s="311"/>
    </row>
    <row r="37" spans="6:12" x14ac:dyDescent="0.2">
      <c r="F37" s="318"/>
      <c r="G37" s="310"/>
      <c r="H37" s="310"/>
      <c r="I37" s="310"/>
      <c r="J37" s="311"/>
    </row>
    <row r="38" spans="6:12" x14ac:dyDescent="0.2">
      <c r="F38" s="318"/>
      <c r="G38" s="310"/>
      <c r="H38" s="310"/>
      <c r="I38" s="310"/>
      <c r="J38" s="311"/>
    </row>
    <row r="39" spans="6:12" ht="17" thickBot="1" x14ac:dyDescent="0.25">
      <c r="F39" s="319"/>
      <c r="G39" s="312"/>
      <c r="H39" s="312"/>
      <c r="I39" s="312"/>
      <c r="J39" s="313"/>
    </row>
  </sheetData>
  <mergeCells count="9">
    <mergeCell ref="F22:G22"/>
    <mergeCell ref="F34:J39"/>
    <mergeCell ref="J15:K15"/>
    <mergeCell ref="B6:C6"/>
    <mergeCell ref="B11:C11"/>
    <mergeCell ref="H15:H16"/>
    <mergeCell ref="I15:I16"/>
    <mergeCell ref="F18:J18"/>
    <mergeCell ref="H20:N2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8B580-46A8-BF46-828E-64ED0462356E}">
  <dimension ref="B1:AF40"/>
  <sheetViews>
    <sheetView zoomScaleNormal="100" workbookViewId="0">
      <selection activeCell="D34" sqref="D34"/>
    </sheetView>
  </sheetViews>
  <sheetFormatPr baseColWidth="10" defaultRowHeight="16" x14ac:dyDescent="0.2"/>
  <sheetData>
    <row r="1" spans="2:32" x14ac:dyDescent="0.2">
      <c r="B1" s="218" t="s">
        <v>181</v>
      </c>
      <c r="C1" s="219">
        <v>1</v>
      </c>
      <c r="D1" s="219">
        <v>2</v>
      </c>
      <c r="E1" s="219">
        <v>3</v>
      </c>
      <c r="F1" s="219">
        <v>4</v>
      </c>
      <c r="G1" s="219">
        <v>5</v>
      </c>
      <c r="H1" s="219">
        <v>6</v>
      </c>
      <c r="I1" s="219">
        <v>7</v>
      </c>
      <c r="J1" s="219">
        <v>8</v>
      </c>
      <c r="K1" s="219">
        <v>9</v>
      </c>
      <c r="L1" s="219">
        <v>10</v>
      </c>
      <c r="M1" s="219">
        <v>11</v>
      </c>
      <c r="N1" s="219">
        <v>12</v>
      </c>
      <c r="O1" s="219">
        <v>13</v>
      </c>
      <c r="P1" s="219">
        <v>14</v>
      </c>
      <c r="Q1" s="219">
        <v>15</v>
      </c>
      <c r="R1" s="219">
        <v>16</v>
      </c>
      <c r="S1" s="219">
        <v>17</v>
      </c>
      <c r="T1" s="219">
        <v>18</v>
      </c>
      <c r="U1" s="219">
        <v>19</v>
      </c>
      <c r="V1" s="219">
        <v>20</v>
      </c>
      <c r="W1" s="219">
        <v>21</v>
      </c>
      <c r="X1" s="219">
        <v>22</v>
      </c>
      <c r="Y1" s="219">
        <v>23</v>
      </c>
      <c r="Z1" s="219">
        <v>24</v>
      </c>
      <c r="AA1" s="219">
        <v>25</v>
      </c>
      <c r="AB1" s="219">
        <v>26</v>
      </c>
      <c r="AC1" s="219">
        <v>27</v>
      </c>
      <c r="AD1" s="219">
        <v>28</v>
      </c>
      <c r="AE1" s="219">
        <v>29</v>
      </c>
      <c r="AF1" s="219">
        <v>30</v>
      </c>
    </row>
    <row r="2" spans="2:32" x14ac:dyDescent="0.2">
      <c r="B2" s="218" t="s">
        <v>178</v>
      </c>
      <c r="C2" s="220">
        <v>2.016</v>
      </c>
      <c r="D2" s="220">
        <v>2.0009999999999999</v>
      </c>
      <c r="E2" s="220">
        <v>2.012</v>
      </c>
      <c r="F2" s="220">
        <v>1.99</v>
      </c>
      <c r="G2" s="220">
        <v>1.9950000000000001</v>
      </c>
      <c r="H2" s="221">
        <v>2.08</v>
      </c>
      <c r="I2" s="220">
        <v>2.0270000000000001</v>
      </c>
      <c r="J2" s="220">
        <v>2.0019999999999998</v>
      </c>
      <c r="K2" s="220">
        <v>2.04</v>
      </c>
      <c r="L2" s="220">
        <v>2.0030000000000001</v>
      </c>
      <c r="M2" s="220">
        <v>2.0299999999999998</v>
      </c>
      <c r="N2" s="220">
        <v>1.9950000000000001</v>
      </c>
      <c r="O2" s="220">
        <v>1.99</v>
      </c>
      <c r="P2" s="220">
        <v>2.04</v>
      </c>
      <c r="Q2" s="220">
        <v>1.99</v>
      </c>
      <c r="R2" s="220">
        <v>2</v>
      </c>
      <c r="S2" s="221">
        <v>2.08</v>
      </c>
      <c r="T2" s="221">
        <v>2.0699999999999998</v>
      </c>
      <c r="U2" s="221">
        <v>2.08</v>
      </c>
      <c r="V2" s="221">
        <v>2.09</v>
      </c>
      <c r="W2" s="220">
        <v>2.0190000000000001</v>
      </c>
      <c r="X2" s="220">
        <v>2.0299999999999998</v>
      </c>
      <c r="Y2" s="220">
        <v>2</v>
      </c>
      <c r="Z2" s="220">
        <v>2.0009999999999999</v>
      </c>
      <c r="AA2" s="220">
        <v>2.0009999999999999</v>
      </c>
      <c r="AB2" s="220">
        <v>2.016</v>
      </c>
      <c r="AC2" s="220">
        <v>2.0070000000000001</v>
      </c>
      <c r="AD2" s="220">
        <v>2.024</v>
      </c>
      <c r="AE2" s="220">
        <v>2.0310000000000001</v>
      </c>
      <c r="AF2" s="220">
        <v>2.0259999999999998</v>
      </c>
    </row>
    <row r="3" spans="2:32" x14ac:dyDescent="0.2">
      <c r="B3" s="218" t="s">
        <v>110</v>
      </c>
      <c r="C3" s="220">
        <v>2.5999999999999999E-2</v>
      </c>
      <c r="D3" s="220">
        <v>3.5999999999999997E-2</v>
      </c>
      <c r="E3" s="220">
        <v>6.7000000000000004E-2</v>
      </c>
      <c r="F3" s="220">
        <v>3.2000000000000001E-2</v>
      </c>
      <c r="G3" s="220">
        <v>8.4000000000000005E-2</v>
      </c>
      <c r="H3" s="220">
        <v>0.1</v>
      </c>
      <c r="I3" s="220">
        <v>4.9000000000000002E-2</v>
      </c>
      <c r="J3" s="220">
        <v>0.09</v>
      </c>
      <c r="K3" s="220">
        <v>2.1999999999999999E-2</v>
      </c>
      <c r="L3" s="220">
        <v>2.3E-2</v>
      </c>
      <c r="M3" s="220">
        <v>0.11</v>
      </c>
      <c r="N3" s="220">
        <v>9.1999999999999998E-2</v>
      </c>
      <c r="O3" s="220">
        <v>6.2E-2</v>
      </c>
      <c r="P3" s="220">
        <v>7.0000000000000007E-2</v>
      </c>
      <c r="Q3" s="220">
        <v>0.04</v>
      </c>
      <c r="R3" s="220">
        <v>6.4000000000000001E-2</v>
      </c>
      <c r="S3" s="220">
        <v>0.11</v>
      </c>
      <c r="T3" s="220">
        <v>0.12</v>
      </c>
      <c r="U3" s="220">
        <v>0.09</v>
      </c>
      <c r="V3" s="220">
        <v>0.11</v>
      </c>
      <c r="W3" s="220">
        <v>3.5999999999999997E-2</v>
      </c>
      <c r="X3" s="220">
        <v>1.4E-2</v>
      </c>
      <c r="Y3" s="220">
        <v>0.1</v>
      </c>
      <c r="Z3" s="220">
        <v>0.02</v>
      </c>
      <c r="AA3" s="220">
        <v>5.8999999999999997E-2</v>
      </c>
      <c r="AB3" s="220">
        <v>9.4E-2</v>
      </c>
      <c r="AC3" s="220">
        <v>0.05</v>
      </c>
      <c r="AD3" s="220">
        <v>8.8999999999999996E-2</v>
      </c>
      <c r="AE3" s="220">
        <v>1.7000000000000001E-2</v>
      </c>
      <c r="AF3" s="220">
        <v>4.2000000000000003E-2</v>
      </c>
    </row>
    <row r="5" spans="2:32" ht="17" x14ac:dyDescent="0.2">
      <c r="B5" s="325" t="s">
        <v>111</v>
      </c>
      <c r="C5" s="325"/>
      <c r="E5" s="216" t="s">
        <v>456</v>
      </c>
      <c r="F5" s="217" t="s">
        <v>417</v>
      </c>
      <c r="G5">
        <v>2.33</v>
      </c>
      <c r="H5" s="46"/>
    </row>
    <row r="6" spans="2:32" x14ac:dyDescent="0.2">
      <c r="B6" s="9" t="s">
        <v>439</v>
      </c>
      <c r="C6" s="203">
        <f>C15*G7</f>
        <v>0.13496326666666669</v>
      </c>
      <c r="F6" s="8" t="s">
        <v>418</v>
      </c>
      <c r="G6" s="30">
        <f>AVERAGE(C2:AF2)</f>
        <v>2.0228666666666659</v>
      </c>
      <c r="H6" s="2"/>
      <c r="M6" s="192"/>
      <c r="N6" s="192"/>
    </row>
    <row r="7" spans="2:32" x14ac:dyDescent="0.2">
      <c r="B7" s="9" t="s">
        <v>440</v>
      </c>
      <c r="C7" s="203">
        <f>G7</f>
        <v>6.3933333333333342E-2</v>
      </c>
      <c r="F7" s="8" t="s">
        <v>419</v>
      </c>
      <c r="G7" s="2">
        <f>AVERAGE(C3:AF3)</f>
        <v>6.3933333333333342E-2</v>
      </c>
      <c r="L7" s="192"/>
      <c r="M7" s="192"/>
      <c r="N7" s="192"/>
    </row>
    <row r="8" spans="2:32" x14ac:dyDescent="0.2">
      <c r="B8" s="9" t="s">
        <v>441</v>
      </c>
      <c r="C8" s="9">
        <f>C16*G7</f>
        <v>0</v>
      </c>
      <c r="F8" s="8" t="s">
        <v>420</v>
      </c>
      <c r="G8" s="2">
        <f>G7/G5</f>
        <v>2.7439198855507871E-2</v>
      </c>
    </row>
    <row r="9" spans="2:32" x14ac:dyDescent="0.2">
      <c r="F9" s="8" t="s">
        <v>424</v>
      </c>
      <c r="G9" s="8"/>
    </row>
    <row r="10" spans="2:32" x14ac:dyDescent="0.2">
      <c r="B10" s="325" t="s">
        <v>442</v>
      </c>
      <c r="C10" s="325"/>
      <c r="F10" s="35" t="s">
        <v>436</v>
      </c>
      <c r="G10">
        <f>G11+0.08</f>
        <v>2.08</v>
      </c>
    </row>
    <row r="11" spans="2:32" x14ac:dyDescent="0.2">
      <c r="B11" s="9" t="s">
        <v>439</v>
      </c>
      <c r="C11" s="203">
        <f>G6+(C17*G7)</f>
        <v>2.0599479999999994</v>
      </c>
      <c r="F11" s="35" t="s">
        <v>438</v>
      </c>
      <c r="G11">
        <v>2</v>
      </c>
    </row>
    <row r="12" spans="2:32" x14ac:dyDescent="0.2">
      <c r="B12" s="9" t="s">
        <v>440</v>
      </c>
      <c r="C12" s="203">
        <f>G6</f>
        <v>2.0228666666666659</v>
      </c>
      <c r="F12" s="35" t="s">
        <v>437</v>
      </c>
      <c r="G12">
        <f>G11-0.08</f>
        <v>1.92</v>
      </c>
    </row>
    <row r="13" spans="2:32" ht="17" thickBot="1" x14ac:dyDescent="0.25">
      <c r="B13" s="9" t="s">
        <v>441</v>
      </c>
      <c r="C13" s="203">
        <f>G6-(C17*G7)</f>
        <v>1.9857853333333326</v>
      </c>
    </row>
    <row r="14" spans="2:32" x14ac:dyDescent="0.2">
      <c r="F14" s="35" t="s">
        <v>421</v>
      </c>
      <c r="G14" s="33">
        <f>(G10-G6)/G8</f>
        <v>2.0821793534932516</v>
      </c>
      <c r="H14" s="329" t="s">
        <v>445</v>
      </c>
      <c r="I14" s="320">
        <f>MIN(G14,G15)</f>
        <v>2.0821793534932516</v>
      </c>
      <c r="J14" s="3"/>
      <c r="K14" s="3"/>
      <c r="L14" s="3"/>
      <c r="M14" s="3"/>
    </row>
    <row r="15" spans="2:32" ht="17" thickBot="1" x14ac:dyDescent="0.25">
      <c r="B15" s="35" t="s">
        <v>443</v>
      </c>
      <c r="C15" s="35">
        <v>2.1110000000000002</v>
      </c>
      <c r="F15" s="35" t="s">
        <v>422</v>
      </c>
      <c r="G15" s="33">
        <f>(G6-G12)/G8</f>
        <v>3.7488946819603508</v>
      </c>
      <c r="H15" s="319"/>
      <c r="I15" s="313"/>
      <c r="J15" s="3"/>
      <c r="K15" s="3"/>
      <c r="L15" s="3"/>
      <c r="M15" s="3"/>
    </row>
    <row r="16" spans="2:32" ht="17" thickBot="1" x14ac:dyDescent="0.25">
      <c r="B16" s="35" t="s">
        <v>444</v>
      </c>
      <c r="C16" s="35">
        <v>0</v>
      </c>
    </row>
    <row r="17" spans="2:17" ht="17" thickBot="1" x14ac:dyDescent="0.25">
      <c r="B17" s="35" t="s">
        <v>24</v>
      </c>
      <c r="C17" s="35">
        <v>0.57999999999999996</v>
      </c>
      <c r="E17" s="46" t="s">
        <v>457</v>
      </c>
      <c r="F17" s="326" t="s">
        <v>423</v>
      </c>
      <c r="G17" s="327"/>
      <c r="H17" s="327"/>
      <c r="I17" s="327"/>
      <c r="J17" s="328"/>
    </row>
    <row r="18" spans="2:17" ht="17" thickBot="1" x14ac:dyDescent="0.25"/>
    <row r="19" spans="2:17" ht="16" customHeight="1" x14ac:dyDescent="0.2">
      <c r="E19" s="46" t="s">
        <v>458</v>
      </c>
      <c r="F19" s="204" t="s">
        <v>446</v>
      </c>
      <c r="G19" s="205">
        <f>G6+(3*G8)</f>
        <v>2.1051842632331894</v>
      </c>
      <c r="H19" s="270" t="s">
        <v>466</v>
      </c>
      <c r="I19" s="270"/>
      <c r="J19" s="270"/>
      <c r="K19" s="270"/>
      <c r="L19" s="270"/>
      <c r="M19" s="270"/>
      <c r="N19" s="270"/>
      <c r="O19" s="271"/>
    </row>
    <row r="20" spans="2:17" x14ac:dyDescent="0.2">
      <c r="E20" s="46"/>
      <c r="F20" s="149" t="s">
        <v>447</v>
      </c>
      <c r="G20" s="31">
        <f>G6-(3*G8)</f>
        <v>1.9405490701001422</v>
      </c>
      <c r="H20" s="321"/>
      <c r="I20" s="321"/>
      <c r="J20" s="321"/>
      <c r="K20" s="321"/>
      <c r="L20" s="321"/>
      <c r="M20" s="321"/>
      <c r="N20" s="321"/>
      <c r="O20" s="322"/>
    </row>
    <row r="21" spans="2:17" ht="17" thickBot="1" x14ac:dyDescent="0.25">
      <c r="E21" s="46"/>
      <c r="F21" s="323" t="s">
        <v>425</v>
      </c>
      <c r="G21" s="324"/>
      <c r="H21" s="1" t="s">
        <v>467</v>
      </c>
      <c r="I21" s="1"/>
      <c r="J21" s="1"/>
      <c r="K21" s="1"/>
      <c r="L21" s="1"/>
      <c r="M21" s="1"/>
      <c r="N21" s="1"/>
      <c r="O21" s="159"/>
    </row>
    <row r="22" spans="2:17" x14ac:dyDescent="0.2">
      <c r="E22" s="46"/>
    </row>
    <row r="24" spans="2:17" x14ac:dyDescent="0.2">
      <c r="E24" s="46" t="s">
        <v>459</v>
      </c>
      <c r="H24" s="35" t="s">
        <v>426</v>
      </c>
      <c r="N24" s="193"/>
    </row>
    <row r="25" spans="2:17" x14ac:dyDescent="0.2">
      <c r="F25" s="8" t="s">
        <v>427</v>
      </c>
      <c r="G25" s="30">
        <f>(G10-G6)/G8</f>
        <v>2.0821793534932516</v>
      </c>
      <c r="H25" s="197">
        <f>_xlfn.NORM.S.DIST(G25,TRUE)</f>
        <v>0.98133695479113414</v>
      </c>
      <c r="M25" s="194"/>
      <c r="N25" s="195"/>
      <c r="O25" s="196"/>
      <c r="P25" s="195"/>
    </row>
    <row r="26" spans="2:17" x14ac:dyDescent="0.2">
      <c r="F26" s="8" t="s">
        <v>428</v>
      </c>
      <c r="G26" s="30">
        <f>(G12-G6)/G8</f>
        <v>-3.7488946819603508</v>
      </c>
      <c r="H26" s="197">
        <f>_xlfn.NORM.S.DIST(G26,TRUE)</f>
        <v>8.8807824311756242E-5</v>
      </c>
      <c r="I26" t="s">
        <v>429</v>
      </c>
      <c r="M26" s="198"/>
      <c r="N26" s="193"/>
      <c r="P26" s="193"/>
    </row>
    <row r="27" spans="2:17" x14ac:dyDescent="0.2">
      <c r="F27" s="8"/>
      <c r="L27" s="199">
        <f>H26</f>
        <v>8.8807824311756242E-5</v>
      </c>
      <c r="M27" s="198"/>
      <c r="N27" s="193"/>
      <c r="P27" s="193"/>
      <c r="Q27" s="20">
        <f>G29-L27</f>
        <v>1.8663045208865855E-2</v>
      </c>
    </row>
    <row r="28" spans="2:17" ht="17" thickBot="1" x14ac:dyDescent="0.25">
      <c r="F28" s="8" t="s">
        <v>430</v>
      </c>
      <c r="G28" s="199">
        <f>H25-H26</f>
        <v>0.98124814696682239</v>
      </c>
      <c r="L28" s="6" t="s">
        <v>431</v>
      </c>
      <c r="M28" s="200"/>
      <c r="N28" s="201"/>
      <c r="O28" s="6"/>
      <c r="P28" s="201"/>
      <c r="Q28" s="6" t="s">
        <v>432</v>
      </c>
    </row>
    <row r="29" spans="2:17" x14ac:dyDescent="0.2">
      <c r="F29" s="207" t="s">
        <v>433</v>
      </c>
      <c r="G29" s="208">
        <f>1-G28</f>
        <v>1.8751853033177612E-2</v>
      </c>
      <c r="H29" s="94"/>
      <c r="I29" s="94"/>
      <c r="J29" s="161"/>
    </row>
    <row r="30" spans="2:17" x14ac:dyDescent="0.2">
      <c r="F30" s="209" t="s">
        <v>434</v>
      </c>
      <c r="G30" s="2">
        <f>+G29*1000000</f>
        <v>18751.853033177613</v>
      </c>
      <c r="J30" s="157"/>
    </row>
    <row r="31" spans="2:17" x14ac:dyDescent="0.2">
      <c r="F31" s="209" t="s">
        <v>435</v>
      </c>
      <c r="G31" s="211">
        <f>0.8406+SQRT(29.37-2.221*LN(G30))</f>
        <v>3.582401363000745</v>
      </c>
      <c r="I31" s="206"/>
      <c r="J31" s="212"/>
      <c r="K31" s="206"/>
      <c r="L31" s="206"/>
    </row>
    <row r="32" spans="2:17" x14ac:dyDescent="0.2">
      <c r="F32" s="209" t="s">
        <v>454</v>
      </c>
      <c r="G32">
        <v>1.198</v>
      </c>
      <c r="H32" s="206"/>
      <c r="I32" s="206"/>
      <c r="J32" s="212"/>
      <c r="K32" s="206"/>
      <c r="L32" s="206"/>
    </row>
    <row r="33" spans="6:12" ht="16" customHeight="1" x14ac:dyDescent="0.2">
      <c r="F33" s="318" t="s">
        <v>469</v>
      </c>
      <c r="G33" s="310"/>
      <c r="H33" s="310"/>
      <c r="I33" s="310"/>
      <c r="J33" s="311"/>
      <c r="K33" s="206"/>
      <c r="L33" s="206"/>
    </row>
    <row r="34" spans="6:12" x14ac:dyDescent="0.2">
      <c r="F34" s="318"/>
      <c r="G34" s="310"/>
      <c r="H34" s="310"/>
      <c r="I34" s="310"/>
      <c r="J34" s="311"/>
      <c r="K34" s="206"/>
      <c r="L34" s="206"/>
    </row>
    <row r="35" spans="6:12" x14ac:dyDescent="0.2">
      <c r="F35" s="318"/>
      <c r="G35" s="310"/>
      <c r="H35" s="310"/>
      <c r="I35" s="310"/>
      <c r="J35" s="311"/>
    </row>
    <row r="36" spans="6:12" x14ac:dyDescent="0.2">
      <c r="F36" s="318"/>
      <c r="G36" s="310"/>
      <c r="H36" s="310"/>
      <c r="I36" s="310"/>
      <c r="J36" s="311"/>
    </row>
    <row r="37" spans="6:12" x14ac:dyDescent="0.2">
      <c r="F37" s="318"/>
      <c r="G37" s="310"/>
      <c r="H37" s="310"/>
      <c r="I37" s="310"/>
      <c r="J37" s="311"/>
    </row>
    <row r="38" spans="6:12" x14ac:dyDescent="0.2">
      <c r="F38" s="318"/>
      <c r="G38" s="310"/>
      <c r="H38" s="310"/>
      <c r="I38" s="310"/>
      <c r="J38" s="311"/>
    </row>
    <row r="39" spans="6:12" x14ac:dyDescent="0.2">
      <c r="F39" s="318"/>
      <c r="G39" s="310"/>
      <c r="H39" s="310"/>
      <c r="I39" s="310"/>
      <c r="J39" s="311"/>
    </row>
    <row r="40" spans="6:12" ht="17" thickBot="1" x14ac:dyDescent="0.25">
      <c r="F40" s="319"/>
      <c r="G40" s="312"/>
      <c r="H40" s="312"/>
      <c r="I40" s="312"/>
      <c r="J40" s="313"/>
    </row>
  </sheetData>
  <mergeCells count="8">
    <mergeCell ref="F21:G21"/>
    <mergeCell ref="H19:O20"/>
    <mergeCell ref="F33:J40"/>
    <mergeCell ref="B5:C5"/>
    <mergeCell ref="B10:C10"/>
    <mergeCell ref="H14:H15"/>
    <mergeCell ref="I14:I15"/>
    <mergeCell ref="F17:J17"/>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88D0D-9ABD-9445-913A-2496D5467864}">
  <dimension ref="B2:AG39"/>
  <sheetViews>
    <sheetView workbookViewId="0">
      <selection activeCell="F18" sqref="F18:J18"/>
    </sheetView>
  </sheetViews>
  <sheetFormatPr baseColWidth="10" defaultRowHeight="16" x14ac:dyDescent="0.2"/>
  <sheetData>
    <row r="2" spans="2:33" x14ac:dyDescent="0.2">
      <c r="B2" s="332" t="s">
        <v>181</v>
      </c>
      <c r="C2" s="332"/>
      <c r="D2" s="78">
        <v>1</v>
      </c>
      <c r="E2" s="78">
        <v>2</v>
      </c>
      <c r="F2" s="78">
        <v>3</v>
      </c>
      <c r="G2" s="78">
        <v>4</v>
      </c>
      <c r="H2" s="78">
        <v>5</v>
      </c>
      <c r="I2" s="78">
        <v>6</v>
      </c>
      <c r="J2" s="78">
        <v>7</v>
      </c>
      <c r="K2" s="78">
        <v>8</v>
      </c>
      <c r="L2" s="78">
        <v>9</v>
      </c>
      <c r="M2" s="78">
        <v>10</v>
      </c>
      <c r="N2" s="78">
        <v>11</v>
      </c>
      <c r="O2" s="78">
        <v>12</v>
      </c>
      <c r="P2" s="78">
        <v>13</v>
      </c>
      <c r="Q2" s="78">
        <v>14</v>
      </c>
      <c r="R2" s="78">
        <v>15</v>
      </c>
      <c r="S2" s="78">
        <v>16</v>
      </c>
      <c r="T2" s="78">
        <v>17</v>
      </c>
      <c r="U2" s="78">
        <v>18</v>
      </c>
      <c r="V2" s="78">
        <v>19</v>
      </c>
      <c r="W2" s="78">
        <v>20</v>
      </c>
      <c r="X2" s="78">
        <v>21</v>
      </c>
      <c r="Y2" s="78">
        <v>22</v>
      </c>
      <c r="Z2" s="78">
        <v>23</v>
      </c>
      <c r="AA2" s="78">
        <v>24</v>
      </c>
      <c r="AB2" s="78">
        <v>25</v>
      </c>
      <c r="AC2" s="78">
        <v>26</v>
      </c>
      <c r="AD2" s="78">
        <v>27</v>
      </c>
      <c r="AE2" s="78">
        <v>28</v>
      </c>
      <c r="AF2" s="78">
        <v>29</v>
      </c>
      <c r="AG2" s="78">
        <v>30</v>
      </c>
    </row>
    <row r="3" spans="2:33" x14ac:dyDescent="0.2">
      <c r="B3" s="330" t="s">
        <v>182</v>
      </c>
      <c r="C3" s="330"/>
      <c r="D3" s="78">
        <v>100</v>
      </c>
      <c r="E3" s="78">
        <v>101</v>
      </c>
      <c r="F3" s="78">
        <v>102</v>
      </c>
      <c r="G3" s="78">
        <v>103</v>
      </c>
      <c r="H3" s="78">
        <v>102</v>
      </c>
      <c r="I3" s="78">
        <v>101</v>
      </c>
      <c r="J3" s="78">
        <v>100</v>
      </c>
      <c r="K3" s="78">
        <v>99</v>
      </c>
      <c r="L3" s="78">
        <v>98</v>
      </c>
      <c r="M3" s="222">
        <v>97</v>
      </c>
      <c r="N3" s="78">
        <v>98</v>
      </c>
      <c r="O3" s="78">
        <v>99</v>
      </c>
      <c r="P3" s="78">
        <v>100</v>
      </c>
      <c r="Q3" s="78">
        <v>101</v>
      </c>
      <c r="R3" s="78">
        <v>102</v>
      </c>
      <c r="S3" s="78">
        <v>103</v>
      </c>
      <c r="T3" s="78">
        <v>102</v>
      </c>
      <c r="U3" s="78">
        <v>101</v>
      </c>
      <c r="V3" s="78">
        <v>100</v>
      </c>
      <c r="W3" s="78">
        <v>99</v>
      </c>
      <c r="X3" s="78">
        <v>98</v>
      </c>
      <c r="Y3" s="222">
        <v>97</v>
      </c>
      <c r="Z3" s="78">
        <v>98</v>
      </c>
      <c r="AA3" s="78">
        <v>99</v>
      </c>
      <c r="AB3" s="78">
        <v>100</v>
      </c>
      <c r="AC3" s="78">
        <v>101</v>
      </c>
      <c r="AD3" s="78">
        <v>102</v>
      </c>
      <c r="AE3" s="78">
        <v>103</v>
      </c>
      <c r="AF3" s="78">
        <v>102</v>
      </c>
      <c r="AG3" s="78">
        <v>101</v>
      </c>
    </row>
    <row r="4" spans="2:33" x14ac:dyDescent="0.2">
      <c r="B4" s="330" t="s">
        <v>183</v>
      </c>
      <c r="C4" s="330"/>
      <c r="D4" s="78">
        <v>1</v>
      </c>
      <c r="E4" s="78">
        <v>6.9</v>
      </c>
      <c r="F4" s="78">
        <v>3.7</v>
      </c>
      <c r="G4" s="78">
        <v>7.1</v>
      </c>
      <c r="H4" s="78">
        <v>2</v>
      </c>
      <c r="I4" s="78">
        <v>5.6</v>
      </c>
      <c r="J4" s="78">
        <v>5.4</v>
      </c>
      <c r="K4" s="78">
        <v>6.4</v>
      </c>
      <c r="L4" s="78">
        <v>4.3</v>
      </c>
      <c r="M4" s="78">
        <v>3.3</v>
      </c>
      <c r="N4" s="78">
        <v>4.4000000000000004</v>
      </c>
      <c r="O4" s="78">
        <v>8.4</v>
      </c>
      <c r="P4" s="78">
        <v>2.6</v>
      </c>
      <c r="Q4" s="78">
        <v>3.7</v>
      </c>
      <c r="R4" s="78">
        <v>6.8</v>
      </c>
      <c r="S4" s="78">
        <v>8.1</v>
      </c>
      <c r="T4" s="78">
        <v>9.9</v>
      </c>
      <c r="U4" s="78">
        <v>8.1999999999999993</v>
      </c>
      <c r="V4" s="78">
        <v>5.2</v>
      </c>
      <c r="W4" s="78">
        <v>5.9</v>
      </c>
      <c r="X4" s="78">
        <v>6.6</v>
      </c>
      <c r="Y4" s="78">
        <v>3.2</v>
      </c>
      <c r="Z4" s="78">
        <v>7.3</v>
      </c>
      <c r="AA4" s="78">
        <v>7.4</v>
      </c>
      <c r="AB4" s="78">
        <v>9.8000000000000007</v>
      </c>
      <c r="AC4" s="78">
        <v>4</v>
      </c>
      <c r="AD4" s="78">
        <v>5</v>
      </c>
      <c r="AE4" s="78">
        <v>7.4</v>
      </c>
      <c r="AF4" s="78">
        <v>7.7</v>
      </c>
      <c r="AG4" s="78">
        <v>2.6</v>
      </c>
    </row>
    <row r="6" spans="2:33" ht="17" x14ac:dyDescent="0.2">
      <c r="B6" s="325" t="s">
        <v>111</v>
      </c>
      <c r="C6" s="325"/>
      <c r="E6" s="216" t="s">
        <v>456</v>
      </c>
      <c r="F6" s="217" t="s">
        <v>417</v>
      </c>
      <c r="G6">
        <v>2.33</v>
      </c>
      <c r="H6" s="46"/>
    </row>
    <row r="7" spans="2:33" x14ac:dyDescent="0.2">
      <c r="B7" s="9" t="s">
        <v>439</v>
      </c>
      <c r="C7" s="203">
        <f>C16*G8</f>
        <v>11.955296666666667</v>
      </c>
      <c r="F7" s="8" t="s">
        <v>418</v>
      </c>
      <c r="G7">
        <f>AVERAGE(D3:AG3)</f>
        <v>100.3</v>
      </c>
      <c r="H7" s="2"/>
      <c r="M7" s="192"/>
      <c r="N7" s="192"/>
    </row>
    <row r="8" spans="2:33" x14ac:dyDescent="0.2">
      <c r="B8" s="9" t="s">
        <v>440</v>
      </c>
      <c r="C8" s="203">
        <f>G8</f>
        <v>5.6633333333333331</v>
      </c>
      <c r="F8" s="8" t="s">
        <v>419</v>
      </c>
      <c r="G8" s="2">
        <f>AVERAGE(D4:AG4)</f>
        <v>5.6633333333333331</v>
      </c>
      <c r="L8" s="192"/>
      <c r="M8" s="192"/>
      <c r="N8" s="192"/>
    </row>
    <row r="9" spans="2:33" x14ac:dyDescent="0.2">
      <c r="B9" s="9" t="s">
        <v>441</v>
      </c>
      <c r="C9" s="9">
        <f>C17*G8</f>
        <v>0</v>
      </c>
      <c r="F9" s="8" t="s">
        <v>420</v>
      </c>
      <c r="G9" s="2">
        <f>G8/G6</f>
        <v>2.4306151645207437</v>
      </c>
    </row>
    <row r="10" spans="2:33" x14ac:dyDescent="0.2">
      <c r="F10" s="8" t="s">
        <v>424</v>
      </c>
      <c r="G10" s="8"/>
    </row>
    <row r="11" spans="2:33" x14ac:dyDescent="0.2">
      <c r="B11" s="325" t="s">
        <v>442</v>
      </c>
      <c r="C11" s="325"/>
      <c r="F11" s="35" t="s">
        <v>436</v>
      </c>
      <c r="G11">
        <f>G12+3</f>
        <v>103</v>
      </c>
    </row>
    <row r="12" spans="2:33" x14ac:dyDescent="0.2">
      <c r="B12" s="9" t="s">
        <v>439</v>
      </c>
      <c r="C12" s="203">
        <f>G7+(C18*G8)</f>
        <v>103.58473333333333</v>
      </c>
      <c r="F12" s="35" t="s">
        <v>438</v>
      </c>
      <c r="G12">
        <v>100</v>
      </c>
    </row>
    <row r="13" spans="2:33" x14ac:dyDescent="0.2">
      <c r="B13" s="9" t="s">
        <v>440</v>
      </c>
      <c r="C13" s="203">
        <f>G7</f>
        <v>100.3</v>
      </c>
      <c r="F13" s="35" t="s">
        <v>437</v>
      </c>
      <c r="G13">
        <f>G12-3</f>
        <v>97</v>
      </c>
    </row>
    <row r="14" spans="2:33" ht="17" thickBot="1" x14ac:dyDescent="0.25">
      <c r="B14" s="9" t="s">
        <v>441</v>
      </c>
      <c r="C14" s="203">
        <f>G7-(C18*G8)</f>
        <v>97.015266666666662</v>
      </c>
    </row>
    <row r="15" spans="2:33" x14ac:dyDescent="0.2">
      <c r="F15" s="35" t="s">
        <v>421</v>
      </c>
      <c r="G15" s="33">
        <f>(G11-G7)/G9</f>
        <v>1.1108298999411432</v>
      </c>
      <c r="H15" s="329" t="s">
        <v>445</v>
      </c>
      <c r="I15" s="320">
        <f>MIN(G15,G16)</f>
        <v>1.1108298999411432</v>
      </c>
      <c r="J15" s="331"/>
      <c r="K15" s="321"/>
      <c r="L15" s="3"/>
      <c r="M15" s="3"/>
    </row>
    <row r="16" spans="2:33" ht="17" thickBot="1" x14ac:dyDescent="0.25">
      <c r="B16" s="35" t="s">
        <v>443</v>
      </c>
      <c r="C16" s="35">
        <v>2.1110000000000002</v>
      </c>
      <c r="F16" s="35" t="s">
        <v>422</v>
      </c>
      <c r="G16" s="33">
        <f>(G7-G13)/G9</f>
        <v>1.3576809888169501</v>
      </c>
      <c r="H16" s="319"/>
      <c r="I16" s="313"/>
      <c r="J16" s="3"/>
      <c r="K16" s="3"/>
      <c r="L16" s="3"/>
      <c r="M16" s="3"/>
    </row>
    <row r="17" spans="2:17" ht="17" thickBot="1" x14ac:dyDescent="0.25">
      <c r="B17" s="35" t="s">
        <v>444</v>
      </c>
      <c r="C17" s="35">
        <v>0</v>
      </c>
    </row>
    <row r="18" spans="2:17" ht="17" thickBot="1" x14ac:dyDescent="0.25">
      <c r="B18" s="35" t="s">
        <v>24</v>
      </c>
      <c r="C18" s="35">
        <v>0.57999999999999996</v>
      </c>
      <c r="E18" s="46" t="s">
        <v>457</v>
      </c>
      <c r="F18" s="326" t="s">
        <v>423</v>
      </c>
      <c r="G18" s="327"/>
      <c r="H18" s="327"/>
      <c r="I18" s="327"/>
      <c r="J18" s="328"/>
    </row>
    <row r="19" spans="2:17" ht="17" thickBot="1" x14ac:dyDescent="0.25"/>
    <row r="20" spans="2:17" x14ac:dyDescent="0.2">
      <c r="E20" s="46" t="s">
        <v>458</v>
      </c>
      <c r="F20" s="204" t="s">
        <v>446</v>
      </c>
      <c r="G20" s="205">
        <f>G7+(3*G9)</f>
        <v>107.59184549356223</v>
      </c>
      <c r="H20" s="270" t="s">
        <v>448</v>
      </c>
      <c r="I20" s="270"/>
      <c r="J20" s="270"/>
      <c r="K20" s="270"/>
      <c r="L20" s="270"/>
      <c r="M20" s="270"/>
      <c r="N20" s="271"/>
    </row>
    <row r="21" spans="2:17" x14ac:dyDescent="0.2">
      <c r="E21" s="46"/>
      <c r="F21" s="149" t="s">
        <v>447</v>
      </c>
      <c r="G21" s="31">
        <f>G7-(3*G9)</f>
        <v>93.008154506437762</v>
      </c>
      <c r="H21" s="321"/>
      <c r="I21" s="321"/>
      <c r="J21" s="321"/>
      <c r="K21" s="321"/>
      <c r="L21" s="321"/>
      <c r="M21" s="321"/>
      <c r="N21" s="322"/>
    </row>
    <row r="22" spans="2:17" ht="17" thickBot="1" x14ac:dyDescent="0.25">
      <c r="E22" s="46"/>
      <c r="F22" s="323" t="s">
        <v>425</v>
      </c>
      <c r="G22" s="324"/>
      <c r="H22" s="1" t="s">
        <v>470</v>
      </c>
      <c r="I22" s="1"/>
      <c r="J22" s="1"/>
      <c r="K22" s="1"/>
      <c r="L22" s="1"/>
      <c r="M22" s="1"/>
      <c r="N22" s="159"/>
    </row>
    <row r="23" spans="2:17" x14ac:dyDescent="0.2">
      <c r="E23" s="46"/>
    </row>
    <row r="25" spans="2:17" x14ac:dyDescent="0.2">
      <c r="E25" s="46" t="s">
        <v>459</v>
      </c>
      <c r="H25" s="35" t="s">
        <v>426</v>
      </c>
      <c r="N25" s="193"/>
    </row>
    <row r="26" spans="2:17" x14ac:dyDescent="0.2">
      <c r="F26" s="8" t="s">
        <v>427</v>
      </c>
      <c r="G26" s="30">
        <f>(G11-G7)/G9</f>
        <v>1.1108298999411432</v>
      </c>
      <c r="H26" s="197">
        <f>_xlfn.NORM.S.DIST(G26,TRUE)</f>
        <v>0.86667921311949181</v>
      </c>
      <c r="M26" s="194"/>
      <c r="N26" s="195"/>
      <c r="O26" s="196"/>
      <c r="P26" s="195"/>
    </row>
    <row r="27" spans="2:17" x14ac:dyDescent="0.2">
      <c r="F27" s="8" t="s">
        <v>428</v>
      </c>
      <c r="G27" s="30">
        <f>(G13-G7)/G9</f>
        <v>-1.3576809888169501</v>
      </c>
      <c r="H27" s="197">
        <f>_xlfn.NORM.S.DIST(G27,TRUE)</f>
        <v>8.7282465898756975E-2</v>
      </c>
      <c r="I27" t="s">
        <v>429</v>
      </c>
      <c r="M27" s="198"/>
      <c r="N27" s="193"/>
      <c r="P27" s="193"/>
    </row>
    <row r="28" spans="2:17" x14ac:dyDescent="0.2">
      <c r="F28" s="8"/>
      <c r="L28" s="199">
        <f>H27</f>
        <v>8.7282465898756975E-2</v>
      </c>
      <c r="M28" s="198"/>
      <c r="N28" s="193"/>
      <c r="P28" s="193"/>
      <c r="Q28" s="20">
        <f>G30-L28</f>
        <v>0.13332078688050819</v>
      </c>
    </row>
    <row r="29" spans="2:17" ht="17" thickBot="1" x14ac:dyDescent="0.25">
      <c r="F29" s="8" t="s">
        <v>430</v>
      </c>
      <c r="G29" s="199">
        <f>H26-H27</f>
        <v>0.77939674722073482</v>
      </c>
      <c r="L29" s="6" t="s">
        <v>431</v>
      </c>
      <c r="M29" s="200"/>
      <c r="N29" s="201"/>
      <c r="O29" s="6"/>
      <c r="P29" s="201"/>
      <c r="Q29" s="6" t="s">
        <v>432</v>
      </c>
    </row>
    <row r="30" spans="2:17" x14ac:dyDescent="0.2">
      <c r="F30" s="207" t="s">
        <v>433</v>
      </c>
      <c r="G30" s="208">
        <f>1-G29</f>
        <v>0.22060325277926518</v>
      </c>
      <c r="H30" s="94"/>
      <c r="I30" s="94"/>
      <c r="J30" s="161"/>
    </row>
    <row r="31" spans="2:17" x14ac:dyDescent="0.2">
      <c r="F31" s="209" t="s">
        <v>434</v>
      </c>
      <c r="G31" s="2">
        <f>+G30*1000000</f>
        <v>220603.25277926517</v>
      </c>
      <c r="J31" s="157"/>
    </row>
    <row r="32" spans="2:17" x14ac:dyDescent="0.2">
      <c r="F32" s="209" t="s">
        <v>435</v>
      </c>
      <c r="G32" s="211">
        <f>0.8406+SQRT(29.37-2.221*LN(G31))</f>
        <v>2.2697770248665421</v>
      </c>
      <c r="I32" s="206"/>
      <c r="J32" s="212"/>
      <c r="K32" s="206"/>
      <c r="L32" s="206"/>
    </row>
    <row r="33" spans="6:12" x14ac:dyDescent="0.2">
      <c r="F33" s="209" t="s">
        <v>454</v>
      </c>
      <c r="G33">
        <v>0.76900000000000002</v>
      </c>
      <c r="H33" s="206"/>
      <c r="I33" s="206"/>
      <c r="J33" s="212"/>
      <c r="K33" s="206"/>
      <c r="L33" s="206"/>
    </row>
    <row r="34" spans="6:12" x14ac:dyDescent="0.2">
      <c r="F34" s="318" t="s">
        <v>471</v>
      </c>
      <c r="G34" s="310"/>
      <c r="H34" s="310"/>
      <c r="I34" s="310"/>
      <c r="J34" s="311"/>
      <c r="K34" s="206"/>
      <c r="L34" s="206"/>
    </row>
    <row r="35" spans="6:12" x14ac:dyDescent="0.2">
      <c r="F35" s="318"/>
      <c r="G35" s="310"/>
      <c r="H35" s="310"/>
      <c r="I35" s="310"/>
      <c r="J35" s="311"/>
      <c r="K35" s="206"/>
      <c r="L35" s="206"/>
    </row>
    <row r="36" spans="6:12" x14ac:dyDescent="0.2">
      <c r="F36" s="318"/>
      <c r="G36" s="310"/>
      <c r="H36" s="310"/>
      <c r="I36" s="310"/>
      <c r="J36" s="311"/>
    </row>
    <row r="37" spans="6:12" x14ac:dyDescent="0.2">
      <c r="F37" s="318"/>
      <c r="G37" s="310"/>
      <c r="H37" s="310"/>
      <c r="I37" s="310"/>
      <c r="J37" s="311"/>
    </row>
    <row r="38" spans="6:12" x14ac:dyDescent="0.2">
      <c r="F38" s="318"/>
      <c r="G38" s="310"/>
      <c r="H38" s="310"/>
      <c r="I38" s="310"/>
      <c r="J38" s="311"/>
    </row>
    <row r="39" spans="6:12" ht="17" thickBot="1" x14ac:dyDescent="0.25">
      <c r="F39" s="319"/>
      <c r="G39" s="312"/>
      <c r="H39" s="312"/>
      <c r="I39" s="312"/>
      <c r="J39" s="313"/>
    </row>
  </sheetData>
  <mergeCells count="12">
    <mergeCell ref="B2:C2"/>
    <mergeCell ref="B3:C3"/>
    <mergeCell ref="B4:C4"/>
    <mergeCell ref="B6:C6"/>
    <mergeCell ref="B11:C11"/>
    <mergeCell ref="F22:G22"/>
    <mergeCell ref="F34:J39"/>
    <mergeCell ref="H15:H16"/>
    <mergeCell ref="I15:I16"/>
    <mergeCell ref="J15:K15"/>
    <mergeCell ref="F18:J18"/>
    <mergeCell ref="H20:N2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A86FB-8C3A-DF43-89DB-D47CF2AB5581}">
  <dimension ref="B2:AA39"/>
  <sheetViews>
    <sheetView topLeftCell="D1" workbookViewId="0">
      <selection activeCell="G16" sqref="G16"/>
    </sheetView>
  </sheetViews>
  <sheetFormatPr baseColWidth="10" defaultRowHeight="16" x14ac:dyDescent="0.2"/>
  <sheetData>
    <row r="2" spans="2:27" x14ac:dyDescent="0.2">
      <c r="B2" s="202" t="s">
        <v>184</v>
      </c>
      <c r="C2" s="223">
        <v>1</v>
      </c>
      <c r="D2" s="223">
        <v>2</v>
      </c>
      <c r="E2" s="223">
        <v>3</v>
      </c>
      <c r="F2" s="223">
        <v>4</v>
      </c>
      <c r="G2" s="223">
        <v>5</v>
      </c>
      <c r="H2" s="223">
        <v>6</v>
      </c>
      <c r="I2" s="223">
        <v>7</v>
      </c>
      <c r="J2" s="223">
        <v>8</v>
      </c>
      <c r="K2" s="223">
        <v>9</v>
      </c>
      <c r="L2" s="223">
        <v>10</v>
      </c>
      <c r="M2" s="223">
        <v>11</v>
      </c>
      <c r="N2" s="223">
        <v>12</v>
      </c>
      <c r="O2" s="223">
        <v>13</v>
      </c>
      <c r="P2" s="223">
        <v>14</v>
      </c>
      <c r="Q2" s="223">
        <v>15</v>
      </c>
      <c r="R2" s="223">
        <v>16</v>
      </c>
      <c r="S2" s="223">
        <v>17</v>
      </c>
      <c r="T2" s="223">
        <v>18</v>
      </c>
      <c r="U2" s="223">
        <v>19</v>
      </c>
      <c r="V2" s="223">
        <v>20</v>
      </c>
      <c r="W2" s="223">
        <v>21</v>
      </c>
      <c r="X2" s="223">
        <v>22</v>
      </c>
      <c r="Y2" s="223">
        <v>23</v>
      </c>
      <c r="Z2" s="223">
        <v>24</v>
      </c>
      <c r="AA2" s="223">
        <v>25</v>
      </c>
    </row>
    <row r="3" spans="2:27" x14ac:dyDescent="0.2">
      <c r="B3" s="202" t="s">
        <v>185</v>
      </c>
      <c r="C3" s="224">
        <v>99.5</v>
      </c>
      <c r="D3" s="224">
        <v>80.25</v>
      </c>
      <c r="E3" s="224">
        <v>92.25</v>
      </c>
      <c r="F3" s="224">
        <v>84.25</v>
      </c>
      <c r="G3" s="224">
        <v>99</v>
      </c>
      <c r="H3" s="224">
        <v>89</v>
      </c>
      <c r="I3" s="224">
        <v>97.5</v>
      </c>
      <c r="J3" s="224">
        <v>93.5</v>
      </c>
      <c r="K3" s="224">
        <v>94.25</v>
      </c>
      <c r="L3" s="224">
        <v>89.25</v>
      </c>
      <c r="M3" s="224">
        <v>98.25</v>
      </c>
      <c r="N3" s="224">
        <v>85.5</v>
      </c>
      <c r="O3" s="224">
        <v>86.25</v>
      </c>
      <c r="P3" s="224">
        <v>93.75</v>
      </c>
      <c r="Q3" s="224">
        <v>94.25</v>
      </c>
      <c r="R3" s="224">
        <v>97</v>
      </c>
      <c r="S3" s="224">
        <v>95</v>
      </c>
      <c r="T3" s="224">
        <v>90.5</v>
      </c>
      <c r="U3" s="224">
        <v>93.75</v>
      </c>
      <c r="V3" s="224">
        <v>86.5</v>
      </c>
      <c r="W3" s="224">
        <v>89.5</v>
      </c>
      <c r="X3" s="224">
        <v>88.25</v>
      </c>
      <c r="Y3" s="224">
        <v>96.25</v>
      </c>
      <c r="Z3" s="224">
        <v>95.5</v>
      </c>
      <c r="AA3" s="224">
        <v>89.25</v>
      </c>
    </row>
    <row r="4" spans="2:27" x14ac:dyDescent="0.2">
      <c r="B4" s="202" t="s">
        <v>186</v>
      </c>
      <c r="C4" s="225">
        <v>30</v>
      </c>
      <c r="D4" s="225">
        <v>7</v>
      </c>
      <c r="E4" s="225">
        <v>27</v>
      </c>
      <c r="F4" s="225">
        <v>13</v>
      </c>
      <c r="G4" s="225">
        <v>12</v>
      </c>
      <c r="H4" s="225">
        <v>21</v>
      </c>
      <c r="I4" s="225">
        <v>16</v>
      </c>
      <c r="J4" s="225">
        <v>6</v>
      </c>
      <c r="K4" s="225">
        <v>11</v>
      </c>
      <c r="L4" s="225">
        <v>15</v>
      </c>
      <c r="M4" s="225">
        <v>16</v>
      </c>
      <c r="N4" s="225">
        <v>11</v>
      </c>
      <c r="O4" s="225">
        <v>20</v>
      </c>
      <c r="P4" s="225">
        <v>13</v>
      </c>
      <c r="Q4" s="225">
        <v>7</v>
      </c>
      <c r="R4" s="225">
        <v>24</v>
      </c>
      <c r="S4" s="225">
        <v>10</v>
      </c>
      <c r="T4" s="225">
        <v>16</v>
      </c>
      <c r="U4" s="225">
        <v>14</v>
      </c>
      <c r="V4" s="225">
        <v>28</v>
      </c>
      <c r="W4" s="225">
        <v>4</v>
      </c>
      <c r="X4" s="225">
        <v>30</v>
      </c>
      <c r="Y4" s="225">
        <v>7</v>
      </c>
      <c r="Z4" s="225">
        <v>7</v>
      </c>
      <c r="AA4" s="225">
        <v>7</v>
      </c>
    </row>
    <row r="6" spans="2:27" ht="17" x14ac:dyDescent="0.2">
      <c r="B6" s="325" t="s">
        <v>111</v>
      </c>
      <c r="C6" s="325"/>
      <c r="E6" s="216" t="s">
        <v>456</v>
      </c>
      <c r="F6" s="217" t="s">
        <v>417</v>
      </c>
      <c r="G6">
        <v>2.06</v>
      </c>
      <c r="H6" s="46"/>
    </row>
    <row r="7" spans="2:27" x14ac:dyDescent="0.2">
      <c r="B7" s="9" t="s">
        <v>439</v>
      </c>
      <c r="C7" s="203">
        <f>C16*G8</f>
        <v>33.926400000000001</v>
      </c>
      <c r="F7" s="8" t="s">
        <v>418</v>
      </c>
      <c r="G7" s="2">
        <f>AVERAGE(C3:AA3)</f>
        <v>91.93</v>
      </c>
      <c r="H7" s="2"/>
      <c r="M7" s="192"/>
      <c r="N7" s="192"/>
    </row>
    <row r="8" spans="2:27" x14ac:dyDescent="0.2">
      <c r="B8" s="9" t="s">
        <v>440</v>
      </c>
      <c r="C8" s="203">
        <f>G8</f>
        <v>14.88</v>
      </c>
      <c r="F8" s="8" t="s">
        <v>419</v>
      </c>
      <c r="G8" s="2">
        <f>AVERAGE(C4:AA4)</f>
        <v>14.88</v>
      </c>
      <c r="L8" s="192"/>
      <c r="M8" s="192"/>
      <c r="N8" s="192"/>
    </row>
    <row r="9" spans="2:27" x14ac:dyDescent="0.2">
      <c r="B9" s="9" t="s">
        <v>441</v>
      </c>
      <c r="C9" s="9">
        <f>C17*G8</f>
        <v>0</v>
      </c>
      <c r="F9" s="8" t="s">
        <v>420</v>
      </c>
      <c r="G9" s="2">
        <f>G8/G6</f>
        <v>7.2233009708737868</v>
      </c>
    </row>
    <row r="10" spans="2:27" x14ac:dyDescent="0.2">
      <c r="F10" s="8" t="s">
        <v>424</v>
      </c>
      <c r="G10" s="8"/>
    </row>
    <row r="11" spans="2:27" x14ac:dyDescent="0.2">
      <c r="B11" s="325" t="s">
        <v>442</v>
      </c>
      <c r="C11" s="325"/>
      <c r="F11" s="35" t="s">
        <v>436</v>
      </c>
      <c r="G11">
        <f>+G12+27.5</f>
        <v>130</v>
      </c>
    </row>
    <row r="12" spans="2:27" x14ac:dyDescent="0.2">
      <c r="B12" s="9" t="s">
        <v>439</v>
      </c>
      <c r="C12" s="203">
        <f>G7+(C18*G8)</f>
        <v>102.79240000000001</v>
      </c>
      <c r="F12" s="35" t="s">
        <v>438</v>
      </c>
      <c r="G12">
        <v>102.5</v>
      </c>
    </row>
    <row r="13" spans="2:27" x14ac:dyDescent="0.2">
      <c r="B13" s="9" t="s">
        <v>440</v>
      </c>
      <c r="C13" s="203">
        <f>G7</f>
        <v>91.93</v>
      </c>
      <c r="F13" s="35" t="s">
        <v>437</v>
      </c>
      <c r="G13">
        <f>+G12-27.5</f>
        <v>75</v>
      </c>
    </row>
    <row r="14" spans="2:27" ht="17" thickBot="1" x14ac:dyDescent="0.25">
      <c r="B14" s="9" t="s">
        <v>441</v>
      </c>
      <c r="C14" s="203">
        <f>G7-(C18*G8)</f>
        <v>81.067599999999999</v>
      </c>
    </row>
    <row r="15" spans="2:27" x14ac:dyDescent="0.2">
      <c r="F15" s="35" t="s">
        <v>421</v>
      </c>
      <c r="G15" s="33">
        <f>(G11-G7)/G9</f>
        <v>5.2704435483870959</v>
      </c>
      <c r="H15" s="329" t="s">
        <v>445</v>
      </c>
      <c r="I15" s="320">
        <f>MIN(G15,G16)</f>
        <v>2.3438037634408611</v>
      </c>
      <c r="J15" s="331"/>
      <c r="K15" s="321"/>
      <c r="L15" s="3"/>
      <c r="M15" s="3"/>
    </row>
    <row r="16" spans="2:27" ht="17" thickBot="1" x14ac:dyDescent="0.25">
      <c r="B16" s="35" t="s">
        <v>443</v>
      </c>
      <c r="C16" s="35">
        <v>2.2799999999999998</v>
      </c>
      <c r="F16" s="35" t="s">
        <v>422</v>
      </c>
      <c r="G16" s="33">
        <f>(G7-G13)/G9</f>
        <v>2.3438037634408611</v>
      </c>
      <c r="H16" s="319"/>
      <c r="I16" s="313"/>
      <c r="J16" s="3"/>
      <c r="K16" s="3"/>
      <c r="L16" s="3"/>
      <c r="M16" s="3"/>
    </row>
    <row r="17" spans="2:17" ht="17" thickBot="1" x14ac:dyDescent="0.25">
      <c r="B17" s="35" t="s">
        <v>444</v>
      </c>
      <c r="C17" s="35">
        <v>0</v>
      </c>
    </row>
    <row r="18" spans="2:17" ht="17" thickBot="1" x14ac:dyDescent="0.25">
      <c r="B18" s="35" t="s">
        <v>24</v>
      </c>
      <c r="C18" s="35">
        <v>0.73</v>
      </c>
      <c r="E18" s="46" t="s">
        <v>457</v>
      </c>
      <c r="F18" s="326" t="s">
        <v>423</v>
      </c>
      <c r="G18" s="327"/>
      <c r="H18" s="327"/>
      <c r="I18" s="327"/>
      <c r="J18" s="328"/>
    </row>
    <row r="19" spans="2:17" ht="17" thickBot="1" x14ac:dyDescent="0.25"/>
    <row r="20" spans="2:17" x14ac:dyDescent="0.2">
      <c r="E20" s="46" t="s">
        <v>458</v>
      </c>
      <c r="F20" s="204" t="s">
        <v>446</v>
      </c>
      <c r="G20" s="205">
        <f>G7+(3*G9)</f>
        <v>113.59990291262136</v>
      </c>
      <c r="H20" s="270" t="s">
        <v>472</v>
      </c>
      <c r="I20" s="270"/>
      <c r="J20" s="270"/>
      <c r="K20" s="270"/>
      <c r="L20" s="270"/>
      <c r="M20" s="270"/>
      <c r="N20" s="271"/>
    </row>
    <row r="21" spans="2:17" x14ac:dyDescent="0.2">
      <c r="E21" s="46"/>
      <c r="F21" s="149" t="s">
        <v>447</v>
      </c>
      <c r="G21" s="31">
        <f>G7-(3*G9)</f>
        <v>70.260097087378654</v>
      </c>
      <c r="H21" s="321"/>
      <c r="I21" s="321"/>
      <c r="J21" s="321"/>
      <c r="K21" s="321"/>
      <c r="L21" s="321"/>
      <c r="M21" s="321"/>
      <c r="N21" s="322"/>
    </row>
    <row r="22" spans="2:17" ht="17" thickBot="1" x14ac:dyDescent="0.25">
      <c r="E22" s="46"/>
      <c r="F22" s="323" t="s">
        <v>425</v>
      </c>
      <c r="G22" s="324"/>
      <c r="H22" s="1" t="s">
        <v>473</v>
      </c>
      <c r="I22" s="1"/>
      <c r="J22" s="1"/>
      <c r="K22" s="1"/>
      <c r="L22" s="1"/>
      <c r="M22" s="1"/>
      <c r="N22" s="159"/>
    </row>
    <row r="23" spans="2:17" x14ac:dyDescent="0.2">
      <c r="E23" s="46"/>
    </row>
    <row r="25" spans="2:17" x14ac:dyDescent="0.2">
      <c r="E25" s="46" t="s">
        <v>459</v>
      </c>
      <c r="H25" s="35" t="s">
        <v>426</v>
      </c>
      <c r="N25" s="193"/>
    </row>
    <row r="26" spans="2:17" x14ac:dyDescent="0.2">
      <c r="F26" s="8" t="s">
        <v>427</v>
      </c>
      <c r="G26" s="30">
        <f>(G11-G7)/G9</f>
        <v>5.2704435483870959</v>
      </c>
      <c r="H26" s="197">
        <f>_xlfn.NORM.S.DIST(G26,TRUE)</f>
        <v>0.99999993195276049</v>
      </c>
      <c r="M26" s="194"/>
      <c r="N26" s="195"/>
      <c r="O26" s="196"/>
      <c r="P26" s="195"/>
    </row>
    <row r="27" spans="2:17" x14ac:dyDescent="0.2">
      <c r="F27" s="8" t="s">
        <v>428</v>
      </c>
      <c r="G27" s="30">
        <f>(G13-G7)/G9</f>
        <v>-2.3438037634408611</v>
      </c>
      <c r="H27" s="197">
        <f>_xlfn.NORM.S.DIST(G27,TRUE)</f>
        <v>9.5441057711248521E-3</v>
      </c>
      <c r="I27" t="s">
        <v>429</v>
      </c>
      <c r="M27" s="198"/>
      <c r="N27" s="193"/>
      <c r="P27" s="193"/>
    </row>
    <row r="28" spans="2:17" x14ac:dyDescent="0.2">
      <c r="F28" s="8"/>
      <c r="L28" s="199">
        <f>H27</f>
        <v>9.5441057711248521E-3</v>
      </c>
      <c r="M28" s="198"/>
      <c r="N28" s="193"/>
      <c r="P28" s="193"/>
      <c r="Q28" s="20">
        <f>G30-L28</f>
        <v>6.804723951328584E-8</v>
      </c>
    </row>
    <row r="29" spans="2:17" ht="17" thickBot="1" x14ac:dyDescent="0.25">
      <c r="F29" s="8" t="s">
        <v>430</v>
      </c>
      <c r="G29" s="199">
        <f>H26-H27</f>
        <v>0.99045582618163563</v>
      </c>
      <c r="L29" s="6" t="s">
        <v>431</v>
      </c>
      <c r="M29" s="200"/>
      <c r="N29" s="201"/>
      <c r="O29" s="6"/>
      <c r="P29" s="201"/>
      <c r="Q29" s="6" t="s">
        <v>432</v>
      </c>
    </row>
    <row r="30" spans="2:17" x14ac:dyDescent="0.2">
      <c r="F30" s="207" t="s">
        <v>433</v>
      </c>
      <c r="G30" s="208">
        <f>1-G29</f>
        <v>9.5441738183643654E-3</v>
      </c>
      <c r="H30" s="94"/>
      <c r="I30" s="94"/>
      <c r="J30" s="161"/>
    </row>
    <row r="31" spans="2:17" x14ac:dyDescent="0.2">
      <c r="F31" s="209" t="s">
        <v>434</v>
      </c>
      <c r="G31" s="2">
        <f>+G30*1000000</f>
        <v>9544.1738183643647</v>
      </c>
      <c r="J31" s="157"/>
    </row>
    <row r="32" spans="2:17" x14ac:dyDescent="0.2">
      <c r="F32" s="209" t="s">
        <v>435</v>
      </c>
      <c r="G32" s="211">
        <f>0.8406+SQRT(29.37-2.221*LN(G31))</f>
        <v>3.8435074250231809</v>
      </c>
      <c r="I32" s="206"/>
      <c r="J32" s="212"/>
      <c r="K32" s="206"/>
      <c r="L32" s="206"/>
    </row>
    <row r="33" spans="6:12" x14ac:dyDescent="0.2">
      <c r="F33" s="209" t="s">
        <v>454</v>
      </c>
      <c r="G33">
        <v>1.264</v>
      </c>
      <c r="H33" s="206"/>
      <c r="I33" s="206"/>
      <c r="J33" s="212"/>
      <c r="K33" s="206"/>
      <c r="L33" s="206"/>
    </row>
    <row r="34" spans="6:12" x14ac:dyDescent="0.2">
      <c r="F34" s="318" t="s">
        <v>474</v>
      </c>
      <c r="G34" s="310"/>
      <c r="H34" s="310"/>
      <c r="I34" s="310"/>
      <c r="J34" s="311"/>
      <c r="K34" s="206"/>
      <c r="L34" s="206"/>
    </row>
    <row r="35" spans="6:12" x14ac:dyDescent="0.2">
      <c r="F35" s="318"/>
      <c r="G35" s="310"/>
      <c r="H35" s="310"/>
      <c r="I35" s="310"/>
      <c r="J35" s="311"/>
      <c r="K35" s="206"/>
      <c r="L35" s="206"/>
    </row>
    <row r="36" spans="6:12" x14ac:dyDescent="0.2">
      <c r="F36" s="318"/>
      <c r="G36" s="310"/>
      <c r="H36" s="310"/>
      <c r="I36" s="310"/>
      <c r="J36" s="311"/>
    </row>
    <row r="37" spans="6:12" x14ac:dyDescent="0.2">
      <c r="F37" s="318"/>
      <c r="G37" s="310"/>
      <c r="H37" s="310"/>
      <c r="I37" s="310"/>
      <c r="J37" s="311"/>
    </row>
    <row r="38" spans="6:12" x14ac:dyDescent="0.2">
      <c r="F38" s="318"/>
      <c r="G38" s="310"/>
      <c r="H38" s="310"/>
      <c r="I38" s="310"/>
      <c r="J38" s="311"/>
    </row>
    <row r="39" spans="6:12" ht="17" thickBot="1" x14ac:dyDescent="0.25">
      <c r="F39" s="319"/>
      <c r="G39" s="312"/>
      <c r="H39" s="312"/>
      <c r="I39" s="312"/>
      <c r="J39" s="313"/>
    </row>
  </sheetData>
  <mergeCells count="9">
    <mergeCell ref="H20:N21"/>
    <mergeCell ref="F22:G22"/>
    <mergeCell ref="F34:J39"/>
    <mergeCell ref="B6:C6"/>
    <mergeCell ref="B11:C11"/>
    <mergeCell ref="H15:H16"/>
    <mergeCell ref="I15:I16"/>
    <mergeCell ref="J15:K15"/>
    <mergeCell ref="F18:J1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80204-CF86-BF49-BCEB-B9069BFE1BDA}">
  <dimension ref="B2:AA43"/>
  <sheetViews>
    <sheetView topLeftCell="D1" workbookViewId="0">
      <selection activeCell="M16" sqref="M16"/>
    </sheetView>
  </sheetViews>
  <sheetFormatPr baseColWidth="10" defaultRowHeight="16" x14ac:dyDescent="0.2"/>
  <sheetData>
    <row r="2" spans="2:27" x14ac:dyDescent="0.2">
      <c r="B2" s="190" t="s">
        <v>179</v>
      </c>
      <c r="C2" s="190">
        <v>1</v>
      </c>
      <c r="D2" s="190">
        <v>2</v>
      </c>
      <c r="E2" s="190">
        <v>3</v>
      </c>
      <c r="F2" s="190">
        <v>4</v>
      </c>
      <c r="G2" s="190">
        <v>5</v>
      </c>
      <c r="H2" s="190">
        <v>6</v>
      </c>
      <c r="I2" s="190">
        <v>7</v>
      </c>
      <c r="J2" s="190">
        <v>8</v>
      </c>
      <c r="K2" s="190">
        <v>9</v>
      </c>
      <c r="L2" s="190">
        <v>10</v>
      </c>
      <c r="M2" s="190">
        <v>11</v>
      </c>
      <c r="N2" s="190">
        <v>12</v>
      </c>
      <c r="O2" s="190">
        <v>13</v>
      </c>
      <c r="P2" s="190">
        <v>14</v>
      </c>
      <c r="Q2" s="190">
        <v>15</v>
      </c>
      <c r="R2" s="190">
        <v>16</v>
      </c>
      <c r="S2" s="190">
        <v>17</v>
      </c>
      <c r="T2" s="190">
        <v>18</v>
      </c>
      <c r="U2" s="190">
        <v>19</v>
      </c>
      <c r="V2" s="190">
        <v>20</v>
      </c>
      <c r="W2" s="190">
        <v>21</v>
      </c>
      <c r="X2" s="190">
        <v>22</v>
      </c>
      <c r="Y2" s="190">
        <v>23</v>
      </c>
      <c r="Z2" s="190">
        <v>24</v>
      </c>
      <c r="AA2" s="190">
        <v>25</v>
      </c>
    </row>
    <row r="3" spans="2:27" x14ac:dyDescent="0.2">
      <c r="B3" s="190" t="s">
        <v>178</v>
      </c>
      <c r="C3" s="11">
        <v>40.133333333333333</v>
      </c>
      <c r="D3" s="11">
        <v>40.199999999999996</v>
      </c>
      <c r="E3" s="11">
        <v>39.666666666666671</v>
      </c>
      <c r="F3" s="11">
        <v>38.333333333333336</v>
      </c>
      <c r="G3" s="11">
        <v>40.43333333333333</v>
      </c>
      <c r="H3" s="11">
        <v>39.800000000000004</v>
      </c>
      <c r="I3" s="11">
        <v>41.466666666666669</v>
      </c>
      <c r="J3" s="11">
        <v>38.800000000000004</v>
      </c>
      <c r="K3" s="11">
        <v>38.533333333333339</v>
      </c>
      <c r="L3" s="11">
        <v>38.133333333333333</v>
      </c>
      <c r="M3" s="11">
        <v>39.533333333333331</v>
      </c>
      <c r="N3" s="11">
        <v>40.333333333333329</v>
      </c>
      <c r="O3" s="11">
        <v>40.4</v>
      </c>
      <c r="P3" s="11">
        <v>38.4</v>
      </c>
      <c r="Q3" s="11">
        <v>41.199999999999996</v>
      </c>
      <c r="R3" s="11">
        <v>38.833333333333336</v>
      </c>
      <c r="S3" s="11">
        <v>42.033333333333339</v>
      </c>
      <c r="T3" s="11">
        <v>38</v>
      </c>
      <c r="U3" s="11">
        <v>37.06666666666667</v>
      </c>
      <c r="V3" s="11">
        <v>37.800000000000004</v>
      </c>
      <c r="W3" s="11">
        <v>36.199999999999996</v>
      </c>
      <c r="X3" s="11">
        <v>37.133333333333333</v>
      </c>
      <c r="Y3" s="11">
        <v>38.666666666666664</v>
      </c>
      <c r="Z3" s="11">
        <v>38.166666666666664</v>
      </c>
      <c r="AA3" s="11">
        <v>37.800000000000004</v>
      </c>
    </row>
    <row r="4" spans="2:27" x14ac:dyDescent="0.2">
      <c r="B4" s="190" t="s">
        <v>110</v>
      </c>
      <c r="C4" s="11">
        <v>2.6000000000000014</v>
      </c>
      <c r="D4" s="11">
        <v>6</v>
      </c>
      <c r="E4" s="11">
        <v>1</v>
      </c>
      <c r="F4" s="11">
        <v>3.5999999999999943</v>
      </c>
      <c r="G4" s="11">
        <v>1.2000000000000028</v>
      </c>
      <c r="H4" s="11">
        <v>3.3999999999999986</v>
      </c>
      <c r="I4" s="11">
        <v>5.3999999999999986</v>
      </c>
      <c r="J4" s="11">
        <v>6.7999999999999972</v>
      </c>
      <c r="K4" s="11">
        <v>2.1999999999999957</v>
      </c>
      <c r="L4" s="11">
        <v>6</v>
      </c>
      <c r="M4" s="11">
        <v>1.8000000000000043</v>
      </c>
      <c r="N4" s="11">
        <v>2.6000000000000014</v>
      </c>
      <c r="O4" s="11">
        <v>4.7999999999999972</v>
      </c>
      <c r="P4" s="11">
        <v>5.2000000000000028</v>
      </c>
      <c r="Q4" s="11">
        <v>2.5</v>
      </c>
      <c r="R4" s="11">
        <v>7</v>
      </c>
      <c r="S4" s="11">
        <v>3.3000000000000043</v>
      </c>
      <c r="T4" s="11">
        <v>2</v>
      </c>
      <c r="U4" s="11">
        <v>5</v>
      </c>
      <c r="V4" s="11">
        <v>2.6000000000000014</v>
      </c>
      <c r="W4" s="11">
        <v>2</v>
      </c>
      <c r="X4" s="11">
        <v>2.1000000000000014</v>
      </c>
      <c r="Y4" s="11">
        <v>4</v>
      </c>
      <c r="Z4" s="11">
        <v>6</v>
      </c>
      <c r="AA4" s="11">
        <v>3.7999999999999972</v>
      </c>
    </row>
    <row r="6" spans="2:27" ht="17" x14ac:dyDescent="0.2">
      <c r="B6" s="325" t="s">
        <v>111</v>
      </c>
      <c r="C6" s="325"/>
      <c r="E6" s="216" t="s">
        <v>456</v>
      </c>
      <c r="F6" s="217" t="s">
        <v>417</v>
      </c>
      <c r="G6">
        <v>1.69</v>
      </c>
      <c r="H6" s="46"/>
    </row>
    <row r="7" spans="2:27" x14ac:dyDescent="0.2">
      <c r="B7" s="9" t="s">
        <v>439</v>
      </c>
      <c r="C7" s="203">
        <f>C16*G8</f>
        <v>9.5501199999999979</v>
      </c>
      <c r="F7" s="8" t="s">
        <v>418</v>
      </c>
      <c r="G7" s="2">
        <f>AVERAGE(C3:AA3)</f>
        <v>39.082666666666668</v>
      </c>
      <c r="H7" s="2"/>
      <c r="M7" s="192"/>
      <c r="N7" s="192"/>
    </row>
    <row r="8" spans="2:27" x14ac:dyDescent="0.2">
      <c r="B8" s="9" t="s">
        <v>440</v>
      </c>
      <c r="C8" s="203">
        <f>G8</f>
        <v>3.7159999999999997</v>
      </c>
      <c r="F8" s="8" t="s">
        <v>419</v>
      </c>
      <c r="G8" s="2">
        <f>AVERAGE(C4:AA4)</f>
        <v>3.7159999999999997</v>
      </c>
      <c r="L8" s="192"/>
      <c r="M8" s="192"/>
      <c r="N8" s="192"/>
    </row>
    <row r="9" spans="2:27" x14ac:dyDescent="0.2">
      <c r="B9" s="9" t="s">
        <v>441</v>
      </c>
      <c r="C9" s="9">
        <f>C17*G8</f>
        <v>0</v>
      </c>
      <c r="F9" s="8" t="s">
        <v>420</v>
      </c>
      <c r="G9" s="2">
        <f>G8/G6</f>
        <v>2.1988165680473371</v>
      </c>
    </row>
    <row r="10" spans="2:27" x14ac:dyDescent="0.2">
      <c r="F10" s="8" t="s">
        <v>424</v>
      </c>
      <c r="G10" s="8"/>
    </row>
    <row r="11" spans="2:27" x14ac:dyDescent="0.2">
      <c r="B11" s="325" t="s">
        <v>442</v>
      </c>
      <c r="C11" s="325"/>
      <c r="F11" s="35" t="s">
        <v>436</v>
      </c>
      <c r="G11">
        <f>+G12+1.8</f>
        <v>41.8</v>
      </c>
    </row>
    <row r="12" spans="2:27" x14ac:dyDescent="0.2">
      <c r="B12" s="9" t="s">
        <v>439</v>
      </c>
      <c r="C12" s="203">
        <f>G7+(C18*G8)</f>
        <v>42.872986666666669</v>
      </c>
      <c r="F12" s="35" t="s">
        <v>438</v>
      </c>
      <c r="G12">
        <v>40</v>
      </c>
    </row>
    <row r="13" spans="2:27" x14ac:dyDescent="0.2">
      <c r="B13" s="9" t="s">
        <v>440</v>
      </c>
      <c r="C13" s="203">
        <f>G7</f>
        <v>39.082666666666668</v>
      </c>
      <c r="F13" s="35" t="s">
        <v>437</v>
      </c>
      <c r="G13">
        <f>+G12-1.8</f>
        <v>38.200000000000003</v>
      </c>
    </row>
    <row r="14" spans="2:27" ht="17" thickBot="1" x14ac:dyDescent="0.25">
      <c r="B14" s="9" t="s">
        <v>441</v>
      </c>
      <c r="C14" s="203">
        <f>G7-(C18*G8)</f>
        <v>35.292346666666667</v>
      </c>
    </row>
    <row r="15" spans="2:27" x14ac:dyDescent="0.2">
      <c r="F15" s="35" t="s">
        <v>421</v>
      </c>
      <c r="G15" s="33">
        <f>(G11-G7)/G9</f>
        <v>1.2358162899174721</v>
      </c>
      <c r="H15" s="329" t="s">
        <v>445</v>
      </c>
      <c r="I15" s="320">
        <f>MIN(G15,G16)</f>
        <v>0.40142805884463528</v>
      </c>
      <c r="J15" s="331"/>
      <c r="K15" s="321"/>
      <c r="L15" s="3"/>
      <c r="M15" s="3"/>
    </row>
    <row r="16" spans="2:27" ht="17" thickBot="1" x14ac:dyDescent="0.25">
      <c r="B16" s="35" t="s">
        <v>443</v>
      </c>
      <c r="C16" s="35">
        <v>2.57</v>
      </c>
      <c r="F16" s="35" t="s">
        <v>422</v>
      </c>
      <c r="G16" s="33">
        <f>(G7-G13)/G9</f>
        <v>0.40142805884463528</v>
      </c>
      <c r="H16" s="319"/>
      <c r="I16" s="313"/>
      <c r="J16" s="3"/>
      <c r="K16" s="3"/>
      <c r="L16" s="3"/>
      <c r="M16" s="3"/>
    </row>
    <row r="17" spans="2:17" ht="17" thickBot="1" x14ac:dyDescent="0.25">
      <c r="B17" s="35" t="s">
        <v>444</v>
      </c>
      <c r="C17" s="35">
        <v>0</v>
      </c>
    </row>
    <row r="18" spans="2:17" ht="17" thickBot="1" x14ac:dyDescent="0.25">
      <c r="B18" s="35" t="s">
        <v>24</v>
      </c>
      <c r="C18" s="35">
        <v>1.02</v>
      </c>
      <c r="E18" s="46" t="s">
        <v>457</v>
      </c>
      <c r="F18" s="326" t="s">
        <v>423</v>
      </c>
      <c r="G18" s="327"/>
      <c r="H18" s="327"/>
      <c r="I18" s="327"/>
      <c r="J18" s="328"/>
    </row>
    <row r="19" spans="2:17" ht="17" thickBot="1" x14ac:dyDescent="0.25"/>
    <row r="20" spans="2:17" ht="16" customHeight="1" x14ac:dyDescent="0.2">
      <c r="E20" s="46" t="s">
        <v>458</v>
      </c>
      <c r="F20" s="204" t="s">
        <v>446</v>
      </c>
      <c r="G20" s="205">
        <f>G7+(3*G9)</f>
        <v>45.679116370808678</v>
      </c>
      <c r="H20" s="270" t="s">
        <v>448</v>
      </c>
      <c r="I20" s="270"/>
      <c r="J20" s="270"/>
      <c r="K20" s="270"/>
      <c r="L20" s="270"/>
      <c r="M20" s="270"/>
      <c r="N20" s="271"/>
    </row>
    <row r="21" spans="2:17" x14ac:dyDescent="0.2">
      <c r="E21" s="46"/>
      <c r="F21" s="149" t="s">
        <v>447</v>
      </c>
      <c r="G21" s="31">
        <f>G7-(3*G9)</f>
        <v>32.486216962524658</v>
      </c>
      <c r="H21" s="321"/>
      <c r="I21" s="321"/>
      <c r="J21" s="321"/>
      <c r="K21" s="321"/>
      <c r="L21" s="321"/>
      <c r="M21" s="321"/>
      <c r="N21" s="322"/>
    </row>
    <row r="22" spans="2:17" ht="17" thickBot="1" x14ac:dyDescent="0.25">
      <c r="E22" s="46"/>
      <c r="F22" s="323" t="s">
        <v>425</v>
      </c>
      <c r="G22" s="324"/>
      <c r="H22" s="1" t="s">
        <v>475</v>
      </c>
      <c r="I22" s="1"/>
      <c r="J22" s="1"/>
      <c r="K22" s="1"/>
      <c r="L22" s="1"/>
      <c r="M22" s="1"/>
      <c r="N22" s="159"/>
    </row>
    <row r="23" spans="2:17" x14ac:dyDescent="0.2">
      <c r="E23" s="46"/>
    </row>
    <row r="25" spans="2:17" x14ac:dyDescent="0.2">
      <c r="E25" s="46" t="s">
        <v>459</v>
      </c>
      <c r="H25" s="35" t="s">
        <v>426</v>
      </c>
      <c r="N25" s="193"/>
    </row>
    <row r="26" spans="2:17" x14ac:dyDescent="0.2">
      <c r="F26" s="8" t="s">
        <v>427</v>
      </c>
      <c r="G26" s="30">
        <f>(G11-G7)/G9</f>
        <v>1.2358162899174721</v>
      </c>
      <c r="H26" s="197">
        <f>_xlfn.NORM.S.DIST(G26,TRUE)</f>
        <v>0.89173657078647095</v>
      </c>
      <c r="M26" s="194"/>
      <c r="N26" s="195"/>
      <c r="O26" s="196"/>
      <c r="P26" s="195"/>
    </row>
    <row r="27" spans="2:17" x14ac:dyDescent="0.2">
      <c r="F27" s="8" t="s">
        <v>428</v>
      </c>
      <c r="G27" s="30">
        <f>(G13-G7)/G9</f>
        <v>-0.40142805884463528</v>
      </c>
      <c r="H27" s="197">
        <f>_xlfn.NORM.S.DIST(G27,TRUE)</f>
        <v>0.34405249731517473</v>
      </c>
      <c r="I27" t="s">
        <v>429</v>
      </c>
      <c r="M27" s="198"/>
      <c r="N27" s="193"/>
      <c r="P27" s="193"/>
    </row>
    <row r="28" spans="2:17" x14ac:dyDescent="0.2">
      <c r="F28" s="8"/>
      <c r="L28" s="199">
        <f>H27</f>
        <v>0.34405249731517473</v>
      </c>
      <c r="M28" s="198"/>
      <c r="N28" s="193"/>
      <c r="P28" s="193"/>
      <c r="Q28" s="20">
        <f>G30-L28</f>
        <v>0.10826342921352905</v>
      </c>
    </row>
    <row r="29" spans="2:17" ht="17" thickBot="1" x14ac:dyDescent="0.25">
      <c r="F29" s="8" t="s">
        <v>430</v>
      </c>
      <c r="G29" s="199">
        <f>H26-H27</f>
        <v>0.54768407347129622</v>
      </c>
      <c r="L29" s="6" t="s">
        <v>431</v>
      </c>
      <c r="M29" s="200"/>
      <c r="N29" s="201"/>
      <c r="O29" s="6"/>
      <c r="P29" s="201"/>
      <c r="Q29" s="6" t="s">
        <v>432</v>
      </c>
    </row>
    <row r="30" spans="2:17" x14ac:dyDescent="0.2">
      <c r="F30" s="207" t="s">
        <v>433</v>
      </c>
      <c r="G30" s="208">
        <f>1-G29</f>
        <v>0.45231592652870378</v>
      </c>
      <c r="H30" s="94"/>
      <c r="I30" s="94"/>
      <c r="J30" s="94"/>
      <c r="K30" s="161"/>
    </row>
    <row r="31" spans="2:17" x14ac:dyDescent="0.2">
      <c r="F31" s="209" t="s">
        <v>434</v>
      </c>
      <c r="G31" s="2">
        <f>+G30*1000000</f>
        <v>452315.92652870377</v>
      </c>
      <c r="K31" s="157"/>
    </row>
    <row r="32" spans="2:17" x14ac:dyDescent="0.2">
      <c r="F32" s="209" t="s">
        <v>435</v>
      </c>
      <c r="G32" s="211">
        <f>0.8406+SQRT(29.37-2.221*LN(G31))</f>
        <v>1.5098051798530532</v>
      </c>
      <c r="I32" s="206"/>
      <c r="J32" s="206"/>
      <c r="K32" s="212"/>
      <c r="L32" s="206"/>
    </row>
    <row r="33" spans="6:12" x14ac:dyDescent="0.2">
      <c r="F33" s="209" t="s">
        <v>454</v>
      </c>
      <c r="G33">
        <v>0.5</v>
      </c>
      <c r="H33" s="206"/>
      <c r="I33" s="206"/>
      <c r="J33" s="206"/>
      <c r="K33" s="212"/>
      <c r="L33" s="206"/>
    </row>
    <row r="34" spans="6:12" ht="16" customHeight="1" x14ac:dyDescent="0.2">
      <c r="F34" s="318" t="s">
        <v>476</v>
      </c>
      <c r="G34" s="310"/>
      <c r="H34" s="310"/>
      <c r="I34" s="310"/>
      <c r="J34" s="310"/>
      <c r="K34" s="311"/>
      <c r="L34" s="206"/>
    </row>
    <row r="35" spans="6:12" x14ac:dyDescent="0.2">
      <c r="F35" s="318"/>
      <c r="G35" s="310"/>
      <c r="H35" s="310"/>
      <c r="I35" s="310"/>
      <c r="J35" s="310"/>
      <c r="K35" s="311"/>
      <c r="L35" s="206"/>
    </row>
    <row r="36" spans="6:12" x14ac:dyDescent="0.2">
      <c r="F36" s="318"/>
      <c r="G36" s="310"/>
      <c r="H36" s="310"/>
      <c r="I36" s="310"/>
      <c r="J36" s="310"/>
      <c r="K36" s="311"/>
    </row>
    <row r="37" spans="6:12" x14ac:dyDescent="0.2">
      <c r="F37" s="318"/>
      <c r="G37" s="310"/>
      <c r="H37" s="310"/>
      <c r="I37" s="310"/>
      <c r="J37" s="310"/>
      <c r="K37" s="311"/>
    </row>
    <row r="38" spans="6:12" x14ac:dyDescent="0.2">
      <c r="F38" s="318"/>
      <c r="G38" s="310"/>
      <c r="H38" s="310"/>
      <c r="I38" s="310"/>
      <c r="J38" s="310"/>
      <c r="K38" s="311"/>
    </row>
    <row r="39" spans="6:12" x14ac:dyDescent="0.2">
      <c r="F39" s="318"/>
      <c r="G39" s="310"/>
      <c r="H39" s="310"/>
      <c r="I39" s="310"/>
      <c r="J39" s="310"/>
      <c r="K39" s="311"/>
    </row>
    <row r="40" spans="6:12" x14ac:dyDescent="0.2">
      <c r="F40" s="318"/>
      <c r="G40" s="310"/>
      <c r="H40" s="310"/>
      <c r="I40" s="310"/>
      <c r="J40" s="310"/>
      <c r="K40" s="311"/>
    </row>
    <row r="41" spans="6:12" ht="17" thickBot="1" x14ac:dyDescent="0.25">
      <c r="F41" s="319"/>
      <c r="G41" s="312"/>
      <c r="H41" s="312"/>
      <c r="I41" s="312"/>
      <c r="J41" s="312"/>
      <c r="K41" s="313"/>
    </row>
    <row r="42" spans="6:12" x14ac:dyDescent="0.2">
      <c r="F42" s="206"/>
      <c r="G42" s="206"/>
      <c r="H42" s="206"/>
      <c r="I42" s="206"/>
      <c r="J42" s="206"/>
      <c r="K42" s="206"/>
    </row>
    <row r="43" spans="6:12" x14ac:dyDescent="0.2">
      <c r="F43" s="206"/>
      <c r="G43" s="206"/>
      <c r="H43" s="206"/>
      <c r="I43" s="206"/>
      <c r="J43" s="206"/>
      <c r="K43" s="206"/>
    </row>
  </sheetData>
  <mergeCells count="9">
    <mergeCell ref="H20:N21"/>
    <mergeCell ref="F22:G22"/>
    <mergeCell ref="F34:K41"/>
    <mergeCell ref="B6:C6"/>
    <mergeCell ref="B11:C11"/>
    <mergeCell ref="H15:H16"/>
    <mergeCell ref="I15:I16"/>
    <mergeCell ref="J15:K15"/>
    <mergeCell ref="F18:J1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79571-CFAF-F448-9CEC-B50A76A70C6F}">
  <dimension ref="B2:W42"/>
  <sheetViews>
    <sheetView topLeftCell="D1" workbookViewId="0">
      <selection activeCell="U32" sqref="U32"/>
    </sheetView>
  </sheetViews>
  <sheetFormatPr baseColWidth="10" defaultRowHeight="16" x14ac:dyDescent="0.2"/>
  <sheetData>
    <row r="2" spans="2:23" ht="16" customHeight="1" x14ac:dyDescent="0.2">
      <c r="B2" s="226" t="s">
        <v>187</v>
      </c>
      <c r="C2" s="69">
        <v>1</v>
      </c>
      <c r="D2" s="69">
        <v>2</v>
      </c>
      <c r="E2" s="69">
        <v>3</v>
      </c>
      <c r="F2" s="69">
        <v>4</v>
      </c>
      <c r="G2" s="69">
        <v>5</v>
      </c>
      <c r="H2" s="69">
        <v>6</v>
      </c>
      <c r="I2" s="69">
        <v>7</v>
      </c>
      <c r="J2" s="69">
        <v>8</v>
      </c>
      <c r="K2" s="69">
        <v>9</v>
      </c>
      <c r="L2" s="69">
        <v>10</v>
      </c>
      <c r="M2" s="69">
        <v>11</v>
      </c>
      <c r="N2" s="69">
        <v>12</v>
      </c>
      <c r="O2" s="69">
        <v>13</v>
      </c>
      <c r="P2" s="69">
        <v>14</v>
      </c>
      <c r="Q2" s="69">
        <v>15</v>
      </c>
      <c r="R2" s="69">
        <v>16</v>
      </c>
      <c r="S2" s="69">
        <v>17</v>
      </c>
      <c r="T2" s="69">
        <v>18</v>
      </c>
      <c r="U2" s="69">
        <v>19</v>
      </c>
      <c r="V2" s="69">
        <v>20</v>
      </c>
      <c r="W2" s="69">
        <v>21</v>
      </c>
    </row>
    <row r="3" spans="2:23" ht="16" customHeight="1" x14ac:dyDescent="0.2">
      <c r="B3" s="226" t="s">
        <v>188</v>
      </c>
      <c r="C3" s="69">
        <v>16.100000000000001</v>
      </c>
      <c r="D3" s="69">
        <v>16.8</v>
      </c>
      <c r="E3" s="69">
        <v>15.5</v>
      </c>
      <c r="F3" s="69">
        <v>16.5</v>
      </c>
      <c r="G3" s="69">
        <v>16.5</v>
      </c>
      <c r="H3" s="69">
        <v>16.399999999999999</v>
      </c>
      <c r="I3" s="69">
        <v>15.2</v>
      </c>
      <c r="J3" s="69">
        <v>16.399999999999999</v>
      </c>
      <c r="K3" s="69">
        <v>16.3</v>
      </c>
      <c r="L3" s="69">
        <v>14.8</v>
      </c>
      <c r="M3" s="69">
        <v>14.2</v>
      </c>
      <c r="N3" s="69">
        <v>17</v>
      </c>
      <c r="O3" s="69">
        <v>17</v>
      </c>
      <c r="P3" s="69">
        <v>15</v>
      </c>
      <c r="Q3" s="69">
        <v>16</v>
      </c>
      <c r="R3" s="69">
        <v>18</v>
      </c>
      <c r="S3" s="69">
        <v>17</v>
      </c>
      <c r="T3" s="69">
        <v>16</v>
      </c>
      <c r="U3" s="69">
        <v>15</v>
      </c>
      <c r="V3" s="69">
        <v>17</v>
      </c>
      <c r="W3" s="69">
        <v>16</v>
      </c>
    </row>
    <row r="4" spans="2:23" ht="16" customHeight="1" x14ac:dyDescent="0.2">
      <c r="B4" s="226" t="s">
        <v>189</v>
      </c>
      <c r="C4" s="69">
        <v>1.2</v>
      </c>
      <c r="D4" s="69">
        <v>1.4</v>
      </c>
      <c r="E4" s="69">
        <v>1.9</v>
      </c>
      <c r="F4" s="69">
        <v>1.1000000000000001</v>
      </c>
      <c r="G4" s="69">
        <v>2.2000000000000002</v>
      </c>
      <c r="H4" s="69">
        <v>1.7</v>
      </c>
      <c r="I4" s="69">
        <v>3</v>
      </c>
      <c r="J4" s="69">
        <v>2.5</v>
      </c>
      <c r="K4" s="69">
        <v>2.2000000000000002</v>
      </c>
      <c r="L4" s="69">
        <v>3.4</v>
      </c>
      <c r="M4" s="69">
        <v>2.7</v>
      </c>
      <c r="N4" s="69">
        <v>3.3</v>
      </c>
      <c r="O4" s="69">
        <v>3</v>
      </c>
      <c r="P4" s="69">
        <v>2.7</v>
      </c>
      <c r="Q4" s="69">
        <v>2.1</v>
      </c>
      <c r="R4" s="69">
        <v>3.8</v>
      </c>
      <c r="S4" s="69">
        <v>5</v>
      </c>
      <c r="T4" s="69">
        <v>3.5</v>
      </c>
      <c r="U4" s="69">
        <v>3.7</v>
      </c>
      <c r="V4" s="69">
        <v>3.3</v>
      </c>
      <c r="W4" s="69">
        <v>4</v>
      </c>
    </row>
    <row r="6" spans="2:23" ht="17" x14ac:dyDescent="0.2">
      <c r="B6" s="325" t="s">
        <v>111</v>
      </c>
      <c r="C6" s="325"/>
      <c r="E6" s="216" t="s">
        <v>456</v>
      </c>
      <c r="F6" s="217" t="s">
        <v>417</v>
      </c>
      <c r="G6">
        <v>1.69</v>
      </c>
      <c r="H6" s="46"/>
    </row>
    <row r="7" spans="2:23" x14ac:dyDescent="0.2">
      <c r="B7" s="9" t="s">
        <v>439</v>
      </c>
      <c r="C7" s="203">
        <f>C16*G8</f>
        <v>7.0613809523809516</v>
      </c>
      <c r="F7" s="8" t="s">
        <v>418</v>
      </c>
      <c r="G7" s="2">
        <f>AVERAGE(C3:W3)</f>
        <v>16.12857142857143</v>
      </c>
      <c r="H7" s="2"/>
      <c r="M7" s="192"/>
      <c r="N7" s="192"/>
    </row>
    <row r="8" spans="2:23" x14ac:dyDescent="0.2">
      <c r="B8" s="9" t="s">
        <v>440</v>
      </c>
      <c r="C8" s="203">
        <f>G8</f>
        <v>2.7476190476190476</v>
      </c>
      <c r="F8" s="8" t="s">
        <v>419</v>
      </c>
      <c r="G8" s="2">
        <f>AVERAGE(C4:W4)</f>
        <v>2.7476190476190476</v>
      </c>
      <c r="L8" s="192"/>
      <c r="M8" s="192"/>
      <c r="N8" s="192"/>
    </row>
    <row r="9" spans="2:23" x14ac:dyDescent="0.2">
      <c r="B9" s="9" t="s">
        <v>441</v>
      </c>
      <c r="C9" s="9">
        <f>C17*G8</f>
        <v>0</v>
      </c>
      <c r="F9" s="8" t="s">
        <v>420</v>
      </c>
      <c r="G9" s="2">
        <f>G8/G6</f>
        <v>1.625810087348549</v>
      </c>
    </row>
    <row r="10" spans="2:23" x14ac:dyDescent="0.2">
      <c r="F10" s="8" t="s">
        <v>424</v>
      </c>
      <c r="G10" s="8"/>
    </row>
    <row r="11" spans="2:23" x14ac:dyDescent="0.2">
      <c r="B11" s="325" t="s">
        <v>442</v>
      </c>
      <c r="C11" s="325"/>
      <c r="F11" s="35" t="s">
        <v>436</v>
      </c>
      <c r="G11">
        <f>+G12+1</f>
        <v>17</v>
      </c>
    </row>
    <row r="12" spans="2:23" x14ac:dyDescent="0.2">
      <c r="B12" s="9" t="s">
        <v>439</v>
      </c>
      <c r="C12" s="203">
        <f>G7+(C18*G8)</f>
        <v>18.931142857142859</v>
      </c>
      <c r="F12" s="35" t="s">
        <v>438</v>
      </c>
      <c r="G12">
        <v>16</v>
      </c>
    </row>
    <row r="13" spans="2:23" x14ac:dyDescent="0.2">
      <c r="B13" s="9" t="s">
        <v>440</v>
      </c>
      <c r="C13" s="203">
        <f>G7</f>
        <v>16.12857142857143</v>
      </c>
      <c r="F13" s="35" t="s">
        <v>437</v>
      </c>
      <c r="G13">
        <f>+G12-1</f>
        <v>15</v>
      </c>
    </row>
    <row r="14" spans="2:23" ht="17" thickBot="1" x14ac:dyDescent="0.25">
      <c r="B14" s="9" t="s">
        <v>441</v>
      </c>
      <c r="C14" s="203">
        <f>G7-(C18*G8)</f>
        <v>13.326000000000001</v>
      </c>
    </row>
    <row r="15" spans="2:23" x14ac:dyDescent="0.2">
      <c r="F15" s="35" t="s">
        <v>421</v>
      </c>
      <c r="G15" s="33">
        <f>(G11-G7)/G9</f>
        <v>0.53599653379549306</v>
      </c>
      <c r="H15" s="329" t="s">
        <v>445</v>
      </c>
      <c r="I15" s="320">
        <f>MIN(G15,G16)</f>
        <v>0.53599653379549306</v>
      </c>
      <c r="J15" s="331"/>
      <c r="K15" s="321"/>
      <c r="L15" s="3"/>
      <c r="M15" s="3"/>
    </row>
    <row r="16" spans="2:23" ht="17" thickBot="1" x14ac:dyDescent="0.25">
      <c r="B16" s="35" t="s">
        <v>443</v>
      </c>
      <c r="C16" s="35">
        <v>2.57</v>
      </c>
      <c r="F16" s="35" t="s">
        <v>422</v>
      </c>
      <c r="G16" s="33">
        <f>(G7-G13)/G9</f>
        <v>0.69415944540727981</v>
      </c>
      <c r="H16" s="319"/>
      <c r="I16" s="313"/>
      <c r="J16" s="3"/>
      <c r="K16" s="3"/>
      <c r="L16" s="3"/>
      <c r="M16" s="3"/>
    </row>
    <row r="17" spans="2:17" ht="17" thickBot="1" x14ac:dyDescent="0.25">
      <c r="B17" s="35" t="s">
        <v>444</v>
      </c>
      <c r="C17" s="35">
        <v>0</v>
      </c>
    </row>
    <row r="18" spans="2:17" ht="17" thickBot="1" x14ac:dyDescent="0.25">
      <c r="B18" s="35" t="s">
        <v>24</v>
      </c>
      <c r="C18" s="35">
        <v>1.02</v>
      </c>
      <c r="E18" s="46" t="s">
        <v>457</v>
      </c>
      <c r="F18" s="326" t="s">
        <v>423</v>
      </c>
      <c r="G18" s="327"/>
      <c r="H18" s="327"/>
      <c r="I18" s="327"/>
      <c r="J18" s="328"/>
    </row>
    <row r="19" spans="2:17" ht="17" thickBot="1" x14ac:dyDescent="0.25"/>
    <row r="20" spans="2:17" x14ac:dyDescent="0.2">
      <c r="E20" s="46" t="s">
        <v>458</v>
      </c>
      <c r="F20" s="204" t="s">
        <v>446</v>
      </c>
      <c r="G20" s="205">
        <f>G7+(3*G9)</f>
        <v>21.006001690617076</v>
      </c>
      <c r="H20" s="270" t="s">
        <v>448</v>
      </c>
      <c r="I20" s="270"/>
      <c r="J20" s="270"/>
      <c r="K20" s="270"/>
      <c r="L20" s="270"/>
      <c r="M20" s="270"/>
      <c r="N20" s="271"/>
    </row>
    <row r="21" spans="2:17" x14ac:dyDescent="0.2">
      <c r="E21" s="46"/>
      <c r="F21" s="149" t="s">
        <v>447</v>
      </c>
      <c r="G21" s="31">
        <f>G7-(3*G9)</f>
        <v>11.251141166525784</v>
      </c>
      <c r="H21" s="321"/>
      <c r="I21" s="321"/>
      <c r="J21" s="321"/>
      <c r="K21" s="321"/>
      <c r="L21" s="321"/>
      <c r="M21" s="321"/>
      <c r="N21" s="322"/>
    </row>
    <row r="22" spans="2:17" ht="17" thickBot="1" x14ac:dyDescent="0.25">
      <c r="E22" s="46"/>
      <c r="F22" s="323" t="s">
        <v>425</v>
      </c>
      <c r="G22" s="324"/>
      <c r="H22" s="1" t="s">
        <v>477</v>
      </c>
      <c r="I22" s="1"/>
      <c r="J22" s="1"/>
      <c r="K22" s="1"/>
      <c r="L22" s="1"/>
      <c r="M22" s="1"/>
      <c r="N22" s="159"/>
    </row>
    <row r="23" spans="2:17" x14ac:dyDescent="0.2">
      <c r="E23" s="46"/>
    </row>
    <row r="25" spans="2:17" x14ac:dyDescent="0.2">
      <c r="E25" s="46" t="s">
        <v>459</v>
      </c>
      <c r="H25" s="35" t="s">
        <v>426</v>
      </c>
      <c r="N25" s="193"/>
    </row>
    <row r="26" spans="2:17" x14ac:dyDescent="0.2">
      <c r="F26" s="8" t="s">
        <v>427</v>
      </c>
      <c r="G26" s="30">
        <f>(G11-G7)/G9</f>
        <v>0.53599653379549306</v>
      </c>
      <c r="H26" s="197">
        <f>_xlfn.NORM.S.DIST(G26,TRUE)</f>
        <v>0.70401952699000636</v>
      </c>
      <c r="M26" s="194"/>
      <c r="N26" s="195"/>
      <c r="O26" s="196"/>
      <c r="P26" s="195"/>
    </row>
    <row r="27" spans="2:17" x14ac:dyDescent="0.2">
      <c r="F27" s="8" t="s">
        <v>428</v>
      </c>
      <c r="G27" s="30">
        <f>(G13-G7)/G9</f>
        <v>-0.69415944540727981</v>
      </c>
      <c r="H27" s="197">
        <f>_xlfn.NORM.S.DIST(G27,TRUE)</f>
        <v>0.24379111112380725</v>
      </c>
      <c r="I27" t="s">
        <v>429</v>
      </c>
      <c r="M27" s="198"/>
      <c r="N27" s="193"/>
      <c r="P27" s="193"/>
    </row>
    <row r="28" spans="2:17" x14ac:dyDescent="0.2">
      <c r="F28" s="8"/>
      <c r="L28" s="199">
        <f>H27</f>
        <v>0.24379111112380725</v>
      </c>
      <c r="M28" s="198"/>
      <c r="N28" s="193"/>
      <c r="P28" s="193"/>
      <c r="Q28" s="20">
        <f>G30-L28</f>
        <v>0.29598047300999364</v>
      </c>
    </row>
    <row r="29" spans="2:17" ht="17" thickBot="1" x14ac:dyDescent="0.25">
      <c r="F29" s="8" t="s">
        <v>430</v>
      </c>
      <c r="G29" s="199">
        <f>H26-H27</f>
        <v>0.46022841586619911</v>
      </c>
      <c r="L29" s="6" t="s">
        <v>431</v>
      </c>
      <c r="M29" s="200"/>
      <c r="N29" s="201"/>
      <c r="O29" s="6"/>
      <c r="P29" s="201"/>
      <c r="Q29" s="6" t="s">
        <v>432</v>
      </c>
    </row>
    <row r="30" spans="2:17" x14ac:dyDescent="0.2">
      <c r="F30" s="207" t="s">
        <v>433</v>
      </c>
      <c r="G30" s="208">
        <f>1-G29</f>
        <v>0.53977158413380089</v>
      </c>
      <c r="H30" s="94"/>
      <c r="I30" s="94"/>
      <c r="J30" s="94"/>
      <c r="K30" s="161"/>
    </row>
    <row r="31" spans="2:17" x14ac:dyDescent="0.2">
      <c r="F31" s="209" t="s">
        <v>434</v>
      </c>
      <c r="G31" s="2">
        <f>+G30*1000000</f>
        <v>539771.58413380093</v>
      </c>
      <c r="K31" s="157"/>
    </row>
    <row r="32" spans="2:17" x14ac:dyDescent="0.2">
      <c r="F32" s="209" t="s">
        <v>435</v>
      </c>
      <c r="G32" s="211">
        <f>0.8406+SQRT(29.37-2.221*LN(G31))</f>
        <v>1.0756321917716438</v>
      </c>
      <c r="I32" s="206"/>
      <c r="J32" s="206"/>
      <c r="K32" s="212"/>
      <c r="L32" s="206"/>
    </row>
    <row r="33" spans="6:12" x14ac:dyDescent="0.2">
      <c r="F33" s="209" t="s">
        <v>454</v>
      </c>
      <c r="G33">
        <v>0.36399999999999999</v>
      </c>
      <c r="H33" s="206"/>
      <c r="I33" s="206"/>
      <c r="J33" s="206"/>
      <c r="K33" s="212"/>
      <c r="L33" s="206"/>
    </row>
    <row r="34" spans="6:12" x14ac:dyDescent="0.2">
      <c r="F34" s="318" t="s">
        <v>478</v>
      </c>
      <c r="G34" s="310"/>
      <c r="H34" s="310"/>
      <c r="I34" s="310"/>
      <c r="J34" s="310"/>
      <c r="K34" s="311"/>
      <c r="L34" s="206"/>
    </row>
    <row r="35" spans="6:12" x14ac:dyDescent="0.2">
      <c r="F35" s="318"/>
      <c r="G35" s="310"/>
      <c r="H35" s="310"/>
      <c r="I35" s="310"/>
      <c r="J35" s="310"/>
      <c r="K35" s="311"/>
      <c r="L35" s="206"/>
    </row>
    <row r="36" spans="6:12" x14ac:dyDescent="0.2">
      <c r="F36" s="318"/>
      <c r="G36" s="310"/>
      <c r="H36" s="310"/>
      <c r="I36" s="310"/>
      <c r="J36" s="310"/>
      <c r="K36" s="311"/>
    </row>
    <row r="37" spans="6:12" x14ac:dyDescent="0.2">
      <c r="F37" s="318"/>
      <c r="G37" s="310"/>
      <c r="H37" s="310"/>
      <c r="I37" s="310"/>
      <c r="J37" s="310"/>
      <c r="K37" s="311"/>
    </row>
    <row r="38" spans="6:12" x14ac:dyDescent="0.2">
      <c r="F38" s="318"/>
      <c r="G38" s="310"/>
      <c r="H38" s="310"/>
      <c r="I38" s="310"/>
      <c r="J38" s="310"/>
      <c r="K38" s="311"/>
    </row>
    <row r="39" spans="6:12" x14ac:dyDescent="0.2">
      <c r="F39" s="318"/>
      <c r="G39" s="310"/>
      <c r="H39" s="310"/>
      <c r="I39" s="310"/>
      <c r="J39" s="310"/>
      <c r="K39" s="311"/>
    </row>
    <row r="40" spans="6:12" x14ac:dyDescent="0.2">
      <c r="F40" s="318"/>
      <c r="G40" s="310"/>
      <c r="H40" s="310"/>
      <c r="I40" s="310"/>
      <c r="J40" s="310"/>
      <c r="K40" s="311"/>
    </row>
    <row r="41" spans="6:12" ht="17" thickBot="1" x14ac:dyDescent="0.25">
      <c r="F41" s="319"/>
      <c r="G41" s="312"/>
      <c r="H41" s="312"/>
      <c r="I41" s="312"/>
      <c r="J41" s="312"/>
      <c r="K41" s="313"/>
    </row>
    <row r="42" spans="6:12" x14ac:dyDescent="0.2">
      <c r="F42" s="206"/>
      <c r="G42" s="206"/>
      <c r="H42" s="206"/>
      <c r="I42" s="206"/>
      <c r="J42" s="206"/>
      <c r="K42" s="206"/>
    </row>
  </sheetData>
  <mergeCells count="9">
    <mergeCell ref="F18:J18"/>
    <mergeCell ref="H20:N21"/>
    <mergeCell ref="F22:G22"/>
    <mergeCell ref="F34:K41"/>
    <mergeCell ref="B6:C6"/>
    <mergeCell ref="B11:C11"/>
    <mergeCell ref="H15:H16"/>
    <mergeCell ref="I15:I16"/>
    <mergeCell ref="J15:K15"/>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B9BE4-0C30-DD4E-A71B-02C65E0F34B7}">
  <dimension ref="B2:AF42"/>
  <sheetViews>
    <sheetView topLeftCell="D1" workbookViewId="0">
      <selection activeCell="P38" sqref="P38"/>
    </sheetView>
  </sheetViews>
  <sheetFormatPr baseColWidth="10" defaultRowHeight="16" x14ac:dyDescent="0.2"/>
  <sheetData>
    <row r="2" spans="2:32" ht="17" x14ac:dyDescent="0.2">
      <c r="B2" s="227" t="s">
        <v>180</v>
      </c>
      <c r="C2" s="227">
        <v>1</v>
      </c>
      <c r="D2" s="227">
        <v>2</v>
      </c>
      <c r="E2" s="227">
        <v>3</v>
      </c>
      <c r="F2" s="227">
        <v>4</v>
      </c>
      <c r="G2" s="227">
        <v>5</v>
      </c>
      <c r="H2" s="227">
        <v>6</v>
      </c>
      <c r="I2" s="227">
        <v>7</v>
      </c>
      <c r="J2" s="227">
        <v>8</v>
      </c>
      <c r="K2" s="227">
        <v>9</v>
      </c>
      <c r="L2" s="227">
        <v>10</v>
      </c>
      <c r="M2" s="227">
        <v>11</v>
      </c>
      <c r="N2" s="227">
        <v>12</v>
      </c>
      <c r="O2" s="227">
        <v>13</v>
      </c>
      <c r="P2" s="227">
        <v>14</v>
      </c>
      <c r="Q2" s="227">
        <v>15</v>
      </c>
      <c r="R2" s="227">
        <v>16</v>
      </c>
      <c r="S2" s="227">
        <v>17</v>
      </c>
      <c r="T2" s="227">
        <v>18</v>
      </c>
      <c r="U2" s="227">
        <v>19</v>
      </c>
      <c r="V2" s="227">
        <v>20</v>
      </c>
      <c r="W2" s="227">
        <v>21</v>
      </c>
      <c r="X2" s="227">
        <v>22</v>
      </c>
      <c r="Y2" s="227">
        <v>23</v>
      </c>
      <c r="Z2" s="227">
        <v>24</v>
      </c>
      <c r="AA2" s="227">
        <v>25</v>
      </c>
      <c r="AB2" s="227">
        <v>26</v>
      </c>
      <c r="AC2" s="227">
        <v>27</v>
      </c>
      <c r="AD2" s="227">
        <v>28</v>
      </c>
      <c r="AE2" s="227">
        <v>29</v>
      </c>
      <c r="AF2" s="227">
        <v>30</v>
      </c>
    </row>
    <row r="3" spans="2:32" x14ac:dyDescent="0.2">
      <c r="B3" s="223" t="s">
        <v>188</v>
      </c>
      <c r="C3" s="228">
        <v>50</v>
      </c>
      <c r="D3" s="228">
        <v>48.8</v>
      </c>
      <c r="E3" s="228">
        <v>43.8</v>
      </c>
      <c r="F3" s="228">
        <v>51.2</v>
      </c>
      <c r="G3" s="228">
        <v>46.8</v>
      </c>
      <c r="H3" s="228">
        <v>55.8</v>
      </c>
      <c r="I3" s="228">
        <v>44.4</v>
      </c>
      <c r="J3" s="228">
        <v>50.6</v>
      </c>
      <c r="K3" s="228">
        <v>46.6</v>
      </c>
      <c r="L3" s="228">
        <v>55.4</v>
      </c>
      <c r="M3" s="228">
        <v>50.8</v>
      </c>
      <c r="N3" s="228">
        <v>45.6</v>
      </c>
      <c r="O3" s="228">
        <v>51.4</v>
      </c>
      <c r="P3" s="228">
        <v>49.6</v>
      </c>
      <c r="Q3" s="228">
        <v>55.8</v>
      </c>
      <c r="R3" s="228">
        <v>48.2</v>
      </c>
      <c r="S3" s="228">
        <v>47</v>
      </c>
      <c r="T3" s="228">
        <v>52.6</v>
      </c>
      <c r="U3" s="228">
        <v>45.8</v>
      </c>
      <c r="V3" s="228">
        <v>48.4</v>
      </c>
      <c r="W3" s="228">
        <v>41.4</v>
      </c>
      <c r="X3" s="228">
        <v>49</v>
      </c>
      <c r="Y3" s="228">
        <v>59.2</v>
      </c>
      <c r="Z3" s="228">
        <v>52.2</v>
      </c>
      <c r="AA3" s="228">
        <v>53</v>
      </c>
      <c r="AB3" s="228">
        <v>51.4</v>
      </c>
      <c r="AC3" s="228">
        <v>47.6</v>
      </c>
      <c r="AD3" s="228">
        <v>52</v>
      </c>
      <c r="AE3" s="228">
        <v>55.8</v>
      </c>
      <c r="AF3" s="228">
        <v>47</v>
      </c>
    </row>
    <row r="4" spans="2:32" x14ac:dyDescent="0.2">
      <c r="B4" s="223" t="s">
        <v>189</v>
      </c>
      <c r="C4" s="223">
        <v>2</v>
      </c>
      <c r="D4" s="223">
        <v>34</v>
      </c>
      <c r="E4" s="223">
        <v>15</v>
      </c>
      <c r="F4" s="223">
        <v>40</v>
      </c>
      <c r="G4" s="223">
        <v>28</v>
      </c>
      <c r="H4" s="223">
        <v>22</v>
      </c>
      <c r="I4" s="223">
        <v>23</v>
      </c>
      <c r="J4" s="223">
        <v>27</v>
      </c>
      <c r="K4" s="223">
        <v>8</v>
      </c>
      <c r="L4" s="223">
        <v>25</v>
      </c>
      <c r="M4" s="223">
        <v>26</v>
      </c>
      <c r="N4" s="223">
        <v>7</v>
      </c>
      <c r="O4" s="223">
        <v>30</v>
      </c>
      <c r="P4" s="223">
        <v>18</v>
      </c>
      <c r="Q4" s="223">
        <v>28</v>
      </c>
      <c r="R4" s="223">
        <v>29</v>
      </c>
      <c r="S4" s="223">
        <v>20</v>
      </c>
      <c r="T4" s="223">
        <v>22</v>
      </c>
      <c r="U4" s="223">
        <v>11</v>
      </c>
      <c r="V4" s="223">
        <v>19</v>
      </c>
      <c r="W4" s="223">
        <v>12</v>
      </c>
      <c r="X4" s="223">
        <v>16</v>
      </c>
      <c r="Y4" s="223">
        <v>26</v>
      </c>
      <c r="Z4" s="223">
        <v>12</v>
      </c>
      <c r="AA4" s="223">
        <v>12</v>
      </c>
      <c r="AB4" s="223">
        <v>22</v>
      </c>
      <c r="AC4" s="223">
        <v>21</v>
      </c>
      <c r="AD4" s="223">
        <v>18</v>
      </c>
      <c r="AE4" s="223">
        <v>7</v>
      </c>
      <c r="AF4" s="223">
        <v>16</v>
      </c>
    </row>
    <row r="6" spans="2:32" ht="17" x14ac:dyDescent="0.2">
      <c r="B6" s="325" t="s">
        <v>111</v>
      </c>
      <c r="C6" s="325"/>
      <c r="E6" s="216" t="s">
        <v>456</v>
      </c>
      <c r="F6" s="217" t="s">
        <v>417</v>
      </c>
      <c r="G6">
        <v>2.33</v>
      </c>
      <c r="H6" s="46"/>
    </row>
    <row r="7" spans="2:32" x14ac:dyDescent="0.2">
      <c r="B7" s="9" t="s">
        <v>439</v>
      </c>
      <c r="C7" s="203">
        <f>C16*G8</f>
        <v>41.938533333333339</v>
      </c>
      <c r="F7" s="8" t="s">
        <v>418</v>
      </c>
      <c r="G7" s="2">
        <f>AVERAGE(C3:AF3)</f>
        <v>49.906666666666666</v>
      </c>
      <c r="H7" s="2"/>
      <c r="M7" s="192"/>
      <c r="N7" s="192"/>
    </row>
    <row r="8" spans="2:32" x14ac:dyDescent="0.2">
      <c r="B8" s="9" t="s">
        <v>440</v>
      </c>
      <c r="C8" s="203">
        <f>G8</f>
        <v>19.866666666666667</v>
      </c>
      <c r="F8" s="8" t="s">
        <v>419</v>
      </c>
      <c r="G8" s="2">
        <f>AVERAGE(C4:AF4)</f>
        <v>19.866666666666667</v>
      </c>
      <c r="L8" s="192"/>
      <c r="M8" s="192"/>
      <c r="N8" s="192"/>
    </row>
    <row r="9" spans="2:32" x14ac:dyDescent="0.2">
      <c r="B9" s="9" t="s">
        <v>441</v>
      </c>
      <c r="C9" s="9">
        <f>C17*G8</f>
        <v>0</v>
      </c>
      <c r="F9" s="8" t="s">
        <v>420</v>
      </c>
      <c r="G9" s="2">
        <f>G8/G6</f>
        <v>8.5264663805436332</v>
      </c>
    </row>
    <row r="10" spans="2:32" x14ac:dyDescent="0.2">
      <c r="F10" s="8" t="s">
        <v>424</v>
      </c>
      <c r="G10" s="8"/>
    </row>
    <row r="11" spans="2:32" x14ac:dyDescent="0.2">
      <c r="B11" s="325" t="s">
        <v>442</v>
      </c>
      <c r="C11" s="325"/>
      <c r="F11" s="35" t="s">
        <v>436</v>
      </c>
      <c r="G11">
        <f>+G12+3</f>
        <v>53</v>
      </c>
    </row>
    <row r="12" spans="2:32" x14ac:dyDescent="0.2">
      <c r="B12" s="9" t="s">
        <v>439</v>
      </c>
      <c r="C12" s="203">
        <f>G7+(C18*G8)</f>
        <v>61.429333333333332</v>
      </c>
      <c r="F12" s="35" t="s">
        <v>438</v>
      </c>
      <c r="G12">
        <v>50</v>
      </c>
    </row>
    <row r="13" spans="2:32" x14ac:dyDescent="0.2">
      <c r="B13" s="9" t="s">
        <v>440</v>
      </c>
      <c r="C13" s="203">
        <f>G7</f>
        <v>49.906666666666666</v>
      </c>
      <c r="F13" s="35" t="s">
        <v>437</v>
      </c>
      <c r="G13">
        <f>+G12-3</f>
        <v>47</v>
      </c>
    </row>
    <row r="14" spans="2:32" ht="17" thickBot="1" x14ac:dyDescent="0.25">
      <c r="B14" s="9" t="s">
        <v>441</v>
      </c>
      <c r="C14" s="203">
        <f>G7-(C18*G8)</f>
        <v>38.384</v>
      </c>
    </row>
    <row r="15" spans="2:32" x14ac:dyDescent="0.2">
      <c r="F15" s="35" t="s">
        <v>421</v>
      </c>
      <c r="G15" s="33">
        <f>(G11-G7)/G9</f>
        <v>0.36279194630872491</v>
      </c>
      <c r="H15" s="329" t="s">
        <v>445</v>
      </c>
      <c r="I15" s="320">
        <f>MIN(G15,G16)</f>
        <v>0.34089932885906038</v>
      </c>
      <c r="J15" s="331"/>
      <c r="K15" s="321"/>
      <c r="L15" s="3"/>
      <c r="M15" s="3"/>
    </row>
    <row r="16" spans="2:32" ht="17" thickBot="1" x14ac:dyDescent="0.25">
      <c r="B16" s="35" t="s">
        <v>443</v>
      </c>
      <c r="C16" s="35">
        <v>2.1110000000000002</v>
      </c>
      <c r="F16" s="35" t="s">
        <v>422</v>
      </c>
      <c r="G16" s="33">
        <f>(G7-G13)/G9</f>
        <v>0.34089932885906038</v>
      </c>
      <c r="H16" s="319"/>
      <c r="I16" s="313"/>
      <c r="J16" s="3"/>
      <c r="K16" s="3"/>
      <c r="L16" s="3"/>
      <c r="M16" s="3"/>
    </row>
    <row r="17" spans="2:17" ht="17" thickBot="1" x14ac:dyDescent="0.25">
      <c r="B17" s="35" t="s">
        <v>444</v>
      </c>
      <c r="C17" s="35">
        <v>0</v>
      </c>
    </row>
    <row r="18" spans="2:17" ht="17" thickBot="1" x14ac:dyDescent="0.25">
      <c r="B18" s="35" t="s">
        <v>24</v>
      </c>
      <c r="C18" s="35">
        <v>0.57999999999999996</v>
      </c>
      <c r="E18" s="46" t="s">
        <v>457</v>
      </c>
      <c r="F18" s="326" t="s">
        <v>423</v>
      </c>
      <c r="G18" s="327"/>
      <c r="H18" s="327"/>
      <c r="I18" s="327"/>
      <c r="J18" s="328"/>
    </row>
    <row r="19" spans="2:17" ht="17" thickBot="1" x14ac:dyDescent="0.25"/>
    <row r="20" spans="2:17" x14ac:dyDescent="0.2">
      <c r="E20" s="46" t="s">
        <v>458</v>
      </c>
      <c r="F20" s="204" t="s">
        <v>446</v>
      </c>
      <c r="G20" s="205">
        <f>G7+(3*G9)</f>
        <v>75.486065808297568</v>
      </c>
      <c r="H20" s="270" t="s">
        <v>448</v>
      </c>
      <c r="I20" s="270"/>
      <c r="J20" s="270"/>
      <c r="K20" s="270"/>
      <c r="L20" s="270"/>
      <c r="M20" s="270"/>
      <c r="N20" s="271"/>
    </row>
    <row r="21" spans="2:17" x14ac:dyDescent="0.2">
      <c r="E21" s="46"/>
      <c r="F21" s="149" t="s">
        <v>447</v>
      </c>
      <c r="G21" s="31">
        <f>G7-(3*G9)</f>
        <v>24.327267525035765</v>
      </c>
      <c r="H21" s="321"/>
      <c r="I21" s="321"/>
      <c r="J21" s="321"/>
      <c r="K21" s="321"/>
      <c r="L21" s="321"/>
      <c r="M21" s="321"/>
      <c r="N21" s="322"/>
    </row>
    <row r="22" spans="2:17" ht="17" thickBot="1" x14ac:dyDescent="0.25">
      <c r="E22" s="46"/>
      <c r="F22" s="323" t="s">
        <v>425</v>
      </c>
      <c r="G22" s="324"/>
      <c r="H22" s="1" t="s">
        <v>479</v>
      </c>
      <c r="I22" s="1"/>
      <c r="J22" s="1"/>
      <c r="K22" s="1"/>
      <c r="L22" s="1"/>
      <c r="M22" s="1"/>
      <c r="N22" s="159"/>
    </row>
    <row r="23" spans="2:17" x14ac:dyDescent="0.2">
      <c r="E23" s="46"/>
    </row>
    <row r="25" spans="2:17" x14ac:dyDescent="0.2">
      <c r="E25" s="46" t="s">
        <v>459</v>
      </c>
      <c r="H25" s="35" t="s">
        <v>426</v>
      </c>
      <c r="N25" s="193"/>
    </row>
    <row r="26" spans="2:17" x14ac:dyDescent="0.2">
      <c r="F26" s="8" t="s">
        <v>427</v>
      </c>
      <c r="G26" s="30">
        <f>(G11-G7)/G9</f>
        <v>0.36279194630872491</v>
      </c>
      <c r="H26" s="197">
        <f>_xlfn.NORM.S.DIST(G26,TRUE)</f>
        <v>0.64161984574140052</v>
      </c>
      <c r="M26" s="194"/>
      <c r="N26" s="195"/>
      <c r="O26" s="196"/>
      <c r="P26" s="195"/>
    </row>
    <row r="27" spans="2:17" x14ac:dyDescent="0.2">
      <c r="F27" s="8" t="s">
        <v>428</v>
      </c>
      <c r="G27" s="30">
        <f>(G13-G7)/G9</f>
        <v>-0.34089932885906038</v>
      </c>
      <c r="H27" s="197">
        <f>_xlfn.NORM.S.DIST(G27,TRUE)</f>
        <v>0.36658968504005363</v>
      </c>
      <c r="I27" t="s">
        <v>429</v>
      </c>
      <c r="M27" s="198"/>
      <c r="N27" s="193"/>
      <c r="P27" s="193"/>
    </row>
    <row r="28" spans="2:17" x14ac:dyDescent="0.2">
      <c r="F28" s="8"/>
      <c r="L28" s="199">
        <f>H27</f>
        <v>0.36658968504005363</v>
      </c>
      <c r="M28" s="198"/>
      <c r="N28" s="193"/>
      <c r="P28" s="193"/>
      <c r="Q28" s="20">
        <f>G30-L28</f>
        <v>0.35838015425859948</v>
      </c>
    </row>
    <row r="29" spans="2:17" ht="17" thickBot="1" x14ac:dyDescent="0.25">
      <c r="F29" s="8" t="s">
        <v>430</v>
      </c>
      <c r="G29" s="199">
        <f>H26-H27</f>
        <v>0.27503016070134689</v>
      </c>
      <c r="L29" s="6" t="s">
        <v>431</v>
      </c>
      <c r="M29" s="200"/>
      <c r="N29" s="201"/>
      <c r="O29" s="6"/>
      <c r="P29" s="201"/>
      <c r="Q29" s="6" t="s">
        <v>432</v>
      </c>
    </row>
    <row r="30" spans="2:17" x14ac:dyDescent="0.2">
      <c r="F30" s="207" t="s">
        <v>433</v>
      </c>
      <c r="G30" s="208">
        <f>1-G29</f>
        <v>0.72496983929865311</v>
      </c>
      <c r="H30" s="94"/>
      <c r="I30" s="94"/>
      <c r="J30" s="94"/>
      <c r="K30" s="161"/>
    </row>
    <row r="31" spans="2:17" x14ac:dyDescent="0.2">
      <c r="F31" s="209" t="s">
        <v>434</v>
      </c>
      <c r="G31" s="2">
        <f>+G30*1000000</f>
        <v>724969.83929865307</v>
      </c>
      <c r="K31" s="157"/>
    </row>
    <row r="32" spans="2:17" x14ac:dyDescent="0.2">
      <c r="F32" s="209" t="s">
        <v>435</v>
      </c>
      <c r="G32" s="211" t="e">
        <f>0.8406+SQRT(29.37-2.221*LN(G31))</f>
        <v>#NUM!</v>
      </c>
      <c r="I32" s="206"/>
      <c r="J32" s="206"/>
      <c r="K32" s="212"/>
      <c r="L32" s="206"/>
    </row>
    <row r="33" spans="6:12" x14ac:dyDescent="0.2">
      <c r="F33" s="209" t="s">
        <v>454</v>
      </c>
      <c r="G33" s="215" t="s">
        <v>455</v>
      </c>
      <c r="H33" s="206"/>
      <c r="I33" s="206"/>
      <c r="J33" s="206"/>
      <c r="K33" s="212"/>
      <c r="L33" s="206"/>
    </row>
    <row r="34" spans="6:12" ht="16" customHeight="1" x14ac:dyDescent="0.2">
      <c r="F34" s="318" t="s">
        <v>480</v>
      </c>
      <c r="G34" s="310"/>
      <c r="H34" s="310"/>
      <c r="I34" s="310"/>
      <c r="J34" s="310"/>
      <c r="K34" s="311"/>
      <c r="L34" s="206"/>
    </row>
    <row r="35" spans="6:12" x14ac:dyDescent="0.2">
      <c r="F35" s="318"/>
      <c r="G35" s="310"/>
      <c r="H35" s="310"/>
      <c r="I35" s="310"/>
      <c r="J35" s="310"/>
      <c r="K35" s="311"/>
      <c r="L35" s="206"/>
    </row>
    <row r="36" spans="6:12" x14ac:dyDescent="0.2">
      <c r="F36" s="318"/>
      <c r="G36" s="310"/>
      <c r="H36" s="310"/>
      <c r="I36" s="310"/>
      <c r="J36" s="310"/>
      <c r="K36" s="311"/>
    </row>
    <row r="37" spans="6:12" ht="17" thickBot="1" x14ac:dyDescent="0.25">
      <c r="F37" s="319"/>
      <c r="G37" s="312"/>
      <c r="H37" s="312"/>
      <c r="I37" s="312"/>
      <c r="J37" s="312"/>
      <c r="K37" s="313"/>
    </row>
    <row r="38" spans="6:12" x14ac:dyDescent="0.2">
      <c r="F38" s="206"/>
      <c r="G38" s="206"/>
      <c r="H38" s="206"/>
      <c r="I38" s="206"/>
      <c r="J38" s="206"/>
      <c r="K38" s="206"/>
    </row>
    <row r="39" spans="6:12" x14ac:dyDescent="0.2">
      <c r="F39" s="206"/>
      <c r="G39" s="206"/>
      <c r="H39" s="206"/>
      <c r="I39" s="206"/>
      <c r="J39" s="206"/>
      <c r="K39" s="206"/>
    </row>
    <row r="40" spans="6:12" x14ac:dyDescent="0.2">
      <c r="F40" s="206"/>
      <c r="G40" s="206"/>
      <c r="H40" s="206"/>
      <c r="I40" s="206"/>
      <c r="J40" s="206"/>
      <c r="K40" s="206"/>
    </row>
    <row r="41" spans="6:12" x14ac:dyDescent="0.2">
      <c r="F41" s="206"/>
      <c r="G41" s="206"/>
      <c r="H41" s="206"/>
      <c r="I41" s="206"/>
      <c r="J41" s="206"/>
      <c r="K41" s="206"/>
    </row>
    <row r="42" spans="6:12" x14ac:dyDescent="0.2">
      <c r="F42" s="206"/>
      <c r="G42" s="206"/>
      <c r="H42" s="206"/>
      <c r="I42" s="206"/>
      <c r="J42" s="206"/>
      <c r="K42" s="206"/>
    </row>
  </sheetData>
  <mergeCells count="9">
    <mergeCell ref="H20:N21"/>
    <mergeCell ref="F22:G22"/>
    <mergeCell ref="F34:K37"/>
    <mergeCell ref="B6:C6"/>
    <mergeCell ref="B11:C11"/>
    <mergeCell ref="H15:H16"/>
    <mergeCell ref="I15:I16"/>
    <mergeCell ref="J15:K15"/>
    <mergeCell ref="F18:J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E7287-E911-5B42-B267-C66017052B3C}">
  <dimension ref="O4:W27"/>
  <sheetViews>
    <sheetView topLeftCell="I1" zoomScale="70" zoomScaleNormal="70" workbookViewId="0">
      <selection activeCell="W9" sqref="W9"/>
    </sheetView>
  </sheetViews>
  <sheetFormatPr baseColWidth="10" defaultRowHeight="16" x14ac:dyDescent="0.2"/>
  <cols>
    <col min="2000" max="2000" width="2.5" customWidth="1"/>
  </cols>
  <sheetData>
    <row r="4" spans="15:23" ht="17" thickBot="1" x14ac:dyDescent="0.25"/>
    <row r="5" spans="15:23" ht="21" x14ac:dyDescent="0.25">
      <c r="O5" s="89" t="s">
        <v>197</v>
      </c>
      <c r="P5" s="90"/>
      <c r="Q5" s="90"/>
      <c r="R5" s="94"/>
      <c r="S5" s="94"/>
      <c r="T5" s="100" t="s">
        <v>211</v>
      </c>
      <c r="V5">
        <v>12.5</v>
      </c>
    </row>
    <row r="6" spans="15:23" ht="21" x14ac:dyDescent="0.25">
      <c r="O6" s="91" t="s">
        <v>209</v>
      </c>
      <c r="P6" s="88"/>
      <c r="Q6" s="88"/>
      <c r="T6" s="101" t="s">
        <v>204</v>
      </c>
      <c r="V6">
        <v>6.25</v>
      </c>
    </row>
    <row r="7" spans="15:23" ht="22" thickBot="1" x14ac:dyDescent="0.3">
      <c r="O7" s="92" t="s">
        <v>210</v>
      </c>
      <c r="P7" s="93"/>
      <c r="Q7" s="93"/>
      <c r="R7" s="1"/>
      <c r="S7" s="1"/>
      <c r="T7" s="102" t="s">
        <v>204</v>
      </c>
      <c r="V7">
        <v>6.25</v>
      </c>
    </row>
    <row r="8" spans="15:23" ht="21" x14ac:dyDescent="0.25">
      <c r="O8" s="88"/>
      <c r="P8" s="88"/>
      <c r="Q8" s="88"/>
      <c r="V8">
        <f>V5+V6+V7</f>
        <v>25</v>
      </c>
      <c r="W8">
        <f>V5+V7</f>
        <v>18.75</v>
      </c>
    </row>
    <row r="9" spans="15:23" ht="21" x14ac:dyDescent="0.25">
      <c r="O9" s="88"/>
      <c r="P9" s="88"/>
      <c r="Q9" s="88"/>
    </row>
    <row r="10" spans="15:23" ht="21" x14ac:dyDescent="0.25">
      <c r="O10" s="88"/>
      <c r="P10" s="88"/>
      <c r="Q10" s="88"/>
    </row>
    <row r="11" spans="15:23" ht="21" x14ac:dyDescent="0.25">
      <c r="O11" s="88"/>
      <c r="P11" s="88"/>
      <c r="Q11" s="88"/>
    </row>
    <row r="12" spans="15:23" ht="21" x14ac:dyDescent="0.25">
      <c r="O12" s="88"/>
      <c r="P12" s="88"/>
      <c r="Q12" s="88"/>
    </row>
    <row r="13" spans="15:23" ht="21" x14ac:dyDescent="0.25">
      <c r="O13" s="88"/>
      <c r="P13" s="88"/>
      <c r="Q13" s="88"/>
    </row>
    <row r="14" spans="15:23" ht="21" x14ac:dyDescent="0.25">
      <c r="O14" s="88"/>
      <c r="P14" s="88"/>
      <c r="Q14" s="88"/>
    </row>
    <row r="15" spans="15:23" ht="21" x14ac:dyDescent="0.25">
      <c r="O15" s="88"/>
      <c r="P15" s="88"/>
      <c r="Q15" s="88"/>
    </row>
    <row r="16" spans="15:23" ht="21" x14ac:dyDescent="0.25">
      <c r="O16" s="88"/>
      <c r="P16" s="88"/>
      <c r="Q16" s="88"/>
    </row>
    <row r="17" spans="15:17" ht="21" x14ac:dyDescent="0.25">
      <c r="O17" s="88"/>
      <c r="P17" s="88"/>
      <c r="Q17" s="88"/>
    </row>
    <row r="18" spans="15:17" ht="21" x14ac:dyDescent="0.25">
      <c r="O18" s="88"/>
      <c r="P18" s="88"/>
      <c r="Q18" s="88"/>
    </row>
    <row r="19" spans="15:17" ht="21" x14ac:dyDescent="0.25">
      <c r="O19" s="88"/>
      <c r="P19" s="88"/>
      <c r="Q19" s="88"/>
    </row>
    <row r="20" spans="15:17" ht="21" x14ac:dyDescent="0.25">
      <c r="O20" s="88"/>
      <c r="P20" s="88"/>
      <c r="Q20" s="88"/>
    </row>
    <row r="21" spans="15:17" ht="21" x14ac:dyDescent="0.25">
      <c r="O21" s="88"/>
      <c r="P21" s="88"/>
      <c r="Q21" s="88"/>
    </row>
    <row r="22" spans="15:17" ht="21" x14ac:dyDescent="0.25">
      <c r="O22" s="88"/>
      <c r="P22" s="88"/>
      <c r="Q22" s="88"/>
    </row>
    <row r="23" spans="15:17" ht="21" x14ac:dyDescent="0.25">
      <c r="O23" s="88"/>
      <c r="P23" s="88"/>
      <c r="Q23" s="88"/>
    </row>
    <row r="24" spans="15:17" ht="21" x14ac:dyDescent="0.25">
      <c r="O24" s="88"/>
      <c r="P24" s="88"/>
      <c r="Q24" s="88"/>
    </row>
    <row r="25" spans="15:17" ht="21" x14ac:dyDescent="0.25">
      <c r="O25" s="88"/>
      <c r="P25" s="88"/>
      <c r="Q25" s="88"/>
    </row>
    <row r="26" spans="15:17" ht="21" x14ac:dyDescent="0.25">
      <c r="O26" s="88"/>
      <c r="P26" s="88"/>
      <c r="Q26" s="88"/>
    </row>
    <row r="27" spans="15:17" ht="21" x14ac:dyDescent="0.25">
      <c r="O27" s="88"/>
      <c r="P27" s="88"/>
      <c r="Q27" s="88"/>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5A91F-6091-0943-BB9F-FC03433E0C87}">
  <dimension ref="B1:M16"/>
  <sheetViews>
    <sheetView topLeftCell="A5" zoomScale="140" zoomScaleNormal="140" workbookViewId="0">
      <selection activeCell="J18" sqref="J18"/>
    </sheetView>
  </sheetViews>
  <sheetFormatPr baseColWidth="10" defaultRowHeight="16" x14ac:dyDescent="0.2"/>
  <sheetData>
    <row r="1" spans="2:13" x14ac:dyDescent="0.2">
      <c r="B1" s="29" t="s">
        <v>481</v>
      </c>
    </row>
    <row r="2" spans="2:13" x14ac:dyDescent="0.2">
      <c r="B2">
        <v>167</v>
      </c>
    </row>
    <row r="3" spans="2:13" x14ac:dyDescent="0.2">
      <c r="B3">
        <v>167</v>
      </c>
    </row>
    <row r="4" spans="2:13" x14ac:dyDescent="0.2">
      <c r="B4">
        <v>168</v>
      </c>
    </row>
    <row r="5" spans="2:13" ht="17" thickBot="1" x14ac:dyDescent="0.25">
      <c r="B5">
        <v>168</v>
      </c>
      <c r="J5" s="46" t="s">
        <v>482</v>
      </c>
    </row>
    <row r="6" spans="2:13" ht="17" thickBot="1" x14ac:dyDescent="0.25">
      <c r="B6">
        <v>168</v>
      </c>
      <c r="J6" s="333" t="s">
        <v>483</v>
      </c>
      <c r="K6" s="334"/>
      <c r="L6" s="334"/>
      <c r="M6" s="335"/>
    </row>
    <row r="7" spans="2:13" x14ac:dyDescent="0.2">
      <c r="B7">
        <v>169</v>
      </c>
    </row>
    <row r="8" spans="2:13" x14ac:dyDescent="0.2">
      <c r="B8">
        <v>171</v>
      </c>
    </row>
    <row r="9" spans="2:13" x14ac:dyDescent="0.2">
      <c r="B9">
        <v>172</v>
      </c>
    </row>
    <row r="10" spans="2:13" x14ac:dyDescent="0.2">
      <c r="B10">
        <v>173</v>
      </c>
    </row>
    <row r="11" spans="2:13" x14ac:dyDescent="0.2">
      <c r="B11">
        <v>175</v>
      </c>
    </row>
    <row r="12" spans="2:13" x14ac:dyDescent="0.2">
      <c r="B12">
        <v>175</v>
      </c>
    </row>
    <row r="13" spans="2:13" x14ac:dyDescent="0.2">
      <c r="B13">
        <v>175</v>
      </c>
    </row>
    <row r="14" spans="2:13" x14ac:dyDescent="0.2">
      <c r="B14">
        <v>177</v>
      </c>
    </row>
    <row r="15" spans="2:13" x14ac:dyDescent="0.2">
      <c r="B15">
        <v>182</v>
      </c>
    </row>
    <row r="16" spans="2:13" x14ac:dyDescent="0.2">
      <c r="B16">
        <v>195</v>
      </c>
    </row>
  </sheetData>
  <mergeCells count="1">
    <mergeCell ref="J6:M6"/>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6E0D0-812F-B94A-9C3B-B22E3B98AA3A}">
  <dimension ref="G6:J7"/>
  <sheetViews>
    <sheetView workbookViewId="0">
      <selection activeCell="H13" sqref="H13"/>
    </sheetView>
  </sheetViews>
  <sheetFormatPr baseColWidth="10" defaultRowHeight="16" x14ac:dyDescent="0.2"/>
  <sheetData>
    <row r="6" spans="7:10" ht="17" thickBot="1" x14ac:dyDescent="0.25">
      <c r="G6" s="46" t="s">
        <v>482</v>
      </c>
    </row>
    <row r="7" spans="7:10" ht="17" thickBot="1" x14ac:dyDescent="0.25">
      <c r="G7" s="333" t="s">
        <v>483</v>
      </c>
      <c r="H7" s="334"/>
      <c r="I7" s="334"/>
      <c r="J7" s="335"/>
    </row>
  </sheetData>
  <mergeCells count="1">
    <mergeCell ref="G7:J7"/>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5F76C-2E5A-9847-8388-7F17887F67A7}">
  <dimension ref="H8:K9"/>
  <sheetViews>
    <sheetView zoomScale="120" zoomScaleNormal="120" workbookViewId="0">
      <selection activeCell="J17" sqref="J17"/>
    </sheetView>
  </sheetViews>
  <sheetFormatPr baseColWidth="10" defaultRowHeight="16" x14ac:dyDescent="0.2"/>
  <sheetData>
    <row r="8" spans="8:11" ht="17" thickBot="1" x14ac:dyDescent="0.25">
      <c r="H8" s="46" t="s">
        <v>482</v>
      </c>
    </row>
    <row r="9" spans="8:11" ht="17" thickBot="1" x14ac:dyDescent="0.25">
      <c r="H9" s="333" t="s">
        <v>483</v>
      </c>
      <c r="I9" s="334"/>
      <c r="J9" s="334"/>
      <c r="K9" s="335"/>
    </row>
  </sheetData>
  <mergeCells count="1">
    <mergeCell ref="H9:K9"/>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BA973-03B6-8B4C-97B0-F9C562F4AF9D}">
  <dimension ref="H6:K7"/>
  <sheetViews>
    <sheetView zoomScale="130" zoomScaleNormal="130" workbookViewId="0">
      <selection activeCell="N20" sqref="N20"/>
    </sheetView>
  </sheetViews>
  <sheetFormatPr baseColWidth="10" defaultRowHeight="16" x14ac:dyDescent="0.2"/>
  <sheetData>
    <row r="6" spans="8:11" ht="17" thickBot="1" x14ac:dyDescent="0.25">
      <c r="H6" s="46" t="s">
        <v>482</v>
      </c>
      <c r="I6" s="77"/>
      <c r="J6" s="77"/>
      <c r="K6" s="77"/>
    </row>
    <row r="7" spans="8:11" ht="17" thickBot="1" x14ac:dyDescent="0.25">
      <c r="H7" s="336" t="s">
        <v>484</v>
      </c>
      <c r="I7" s="337"/>
      <c r="J7" s="337"/>
      <c r="K7" s="338"/>
    </row>
  </sheetData>
  <mergeCells count="1">
    <mergeCell ref="H7:K7"/>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09531-A864-CF44-8668-A2D7A4D6ABA8}">
  <dimension ref="H7:K8"/>
  <sheetViews>
    <sheetView workbookViewId="0">
      <selection activeCell="H9" sqref="H9"/>
    </sheetView>
  </sheetViews>
  <sheetFormatPr baseColWidth="10" defaultRowHeight="16" x14ac:dyDescent="0.2"/>
  <sheetData>
    <row r="7" spans="8:11" ht="17" thickBot="1" x14ac:dyDescent="0.25">
      <c r="H7" s="46" t="s">
        <v>482</v>
      </c>
      <c r="I7" s="77"/>
      <c r="J7" s="77"/>
      <c r="K7" s="77"/>
    </row>
    <row r="8" spans="8:11" ht="17" thickBot="1" x14ac:dyDescent="0.25">
      <c r="H8" s="336" t="s">
        <v>485</v>
      </c>
      <c r="I8" s="337"/>
      <c r="J8" s="337"/>
      <c r="K8" s="338"/>
    </row>
  </sheetData>
  <mergeCells count="1">
    <mergeCell ref="H8:K8"/>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C8E79-B2F0-2847-A91B-03473C793665}">
  <dimension ref="A1:K42"/>
  <sheetViews>
    <sheetView zoomScaleNormal="100" workbookViewId="0">
      <selection activeCell="K23" sqref="K23"/>
    </sheetView>
  </sheetViews>
  <sheetFormatPr baseColWidth="10" defaultRowHeight="16" x14ac:dyDescent="0.2"/>
  <sheetData>
    <row r="1" spans="1:11" x14ac:dyDescent="0.2">
      <c r="A1" s="71"/>
    </row>
    <row r="2" spans="1:11" x14ac:dyDescent="0.2">
      <c r="A2" s="71"/>
    </row>
    <row r="3" spans="1:11" x14ac:dyDescent="0.2">
      <c r="A3" s="71"/>
    </row>
    <row r="4" spans="1:11" x14ac:dyDescent="0.2">
      <c r="A4" s="71"/>
    </row>
    <row r="5" spans="1:11" x14ac:dyDescent="0.2">
      <c r="A5" s="71"/>
    </row>
    <row r="6" spans="1:11" x14ac:dyDescent="0.2">
      <c r="A6" s="71"/>
    </row>
    <row r="7" spans="1:11" x14ac:dyDescent="0.2">
      <c r="A7" s="71"/>
    </row>
    <row r="8" spans="1:11" ht="17" thickBot="1" x14ac:dyDescent="0.25">
      <c r="A8" s="71"/>
      <c r="H8" s="46" t="s">
        <v>482</v>
      </c>
      <c r="I8" s="77"/>
      <c r="J8" s="77"/>
      <c r="K8" s="77"/>
    </row>
    <row r="9" spans="1:11" ht="17" thickBot="1" x14ac:dyDescent="0.25">
      <c r="A9" s="71"/>
      <c r="H9" s="336" t="s">
        <v>483</v>
      </c>
      <c r="I9" s="337"/>
      <c r="J9" s="337"/>
      <c r="K9" s="338"/>
    </row>
    <row r="10" spans="1:11" x14ac:dyDescent="0.2">
      <c r="A10" s="71"/>
    </row>
    <row r="11" spans="1:11" x14ac:dyDescent="0.2">
      <c r="A11" s="71"/>
    </row>
    <row r="12" spans="1:11" x14ac:dyDescent="0.2">
      <c r="A12" s="71"/>
    </row>
    <row r="13" spans="1:11" x14ac:dyDescent="0.2">
      <c r="A13" s="71"/>
    </row>
    <row r="14" spans="1:11" x14ac:dyDescent="0.2">
      <c r="A14" s="71"/>
    </row>
    <row r="15" spans="1:11" x14ac:dyDescent="0.2">
      <c r="A15" s="71"/>
    </row>
    <row r="16" spans="1:11" x14ac:dyDescent="0.2">
      <c r="A16" s="71"/>
    </row>
    <row r="17" spans="1:1" x14ac:dyDescent="0.2">
      <c r="A17" s="71"/>
    </row>
    <row r="18" spans="1:1" x14ac:dyDescent="0.2">
      <c r="A18" s="71"/>
    </row>
    <row r="19" spans="1:1" x14ac:dyDescent="0.2">
      <c r="A19" s="71"/>
    </row>
    <row r="20" spans="1:1" x14ac:dyDescent="0.2">
      <c r="A20" s="71"/>
    </row>
    <row r="21" spans="1:1" x14ac:dyDescent="0.2">
      <c r="A21" s="71"/>
    </row>
    <row r="22" spans="1:1" x14ac:dyDescent="0.2">
      <c r="A22" s="71"/>
    </row>
    <row r="23" spans="1:1" x14ac:dyDescent="0.2">
      <c r="A23" s="71"/>
    </row>
    <row r="24" spans="1:1" x14ac:dyDescent="0.2">
      <c r="A24" s="71"/>
    </row>
    <row r="25" spans="1:1" x14ac:dyDescent="0.2">
      <c r="A25" s="71"/>
    </row>
    <row r="26" spans="1:1" x14ac:dyDescent="0.2">
      <c r="A26" s="71"/>
    </row>
    <row r="27" spans="1:1" x14ac:dyDescent="0.2">
      <c r="A27" s="71"/>
    </row>
    <row r="28" spans="1:1" x14ac:dyDescent="0.2">
      <c r="A28" s="71"/>
    </row>
    <row r="29" spans="1:1" x14ac:dyDescent="0.2">
      <c r="A29" s="71"/>
    </row>
    <row r="30" spans="1:1" x14ac:dyDescent="0.2">
      <c r="A30" s="71"/>
    </row>
    <row r="31" spans="1:1" x14ac:dyDescent="0.2">
      <c r="A31" s="71"/>
    </row>
    <row r="32" spans="1:1" x14ac:dyDescent="0.2">
      <c r="A32" s="71"/>
    </row>
    <row r="33" spans="1:1" x14ac:dyDescent="0.2">
      <c r="A33" s="71"/>
    </row>
    <row r="34" spans="1:1" x14ac:dyDescent="0.2">
      <c r="A34" s="71"/>
    </row>
    <row r="35" spans="1:1" x14ac:dyDescent="0.2">
      <c r="A35" s="71"/>
    </row>
    <row r="36" spans="1:1" x14ac:dyDescent="0.2">
      <c r="A36" s="71"/>
    </row>
    <row r="37" spans="1:1" x14ac:dyDescent="0.2">
      <c r="A37" s="71"/>
    </row>
    <row r="38" spans="1:1" x14ac:dyDescent="0.2">
      <c r="A38" s="71"/>
    </row>
    <row r="39" spans="1:1" x14ac:dyDescent="0.2">
      <c r="A39" s="71"/>
    </row>
    <row r="40" spans="1:1" x14ac:dyDescent="0.2">
      <c r="A40" s="71"/>
    </row>
    <row r="41" spans="1:1" x14ac:dyDescent="0.2">
      <c r="A41" s="71"/>
    </row>
    <row r="42" spans="1:1" x14ac:dyDescent="0.2">
      <c r="A42" s="71"/>
    </row>
  </sheetData>
  <mergeCells count="1">
    <mergeCell ref="H9:K9"/>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1A70D-214F-0B4F-A4E7-D78150B2F6AE}">
  <dimension ref="I7:L8"/>
  <sheetViews>
    <sheetView workbookViewId="0">
      <selection activeCell="I9" sqref="I9"/>
    </sheetView>
  </sheetViews>
  <sheetFormatPr baseColWidth="10" defaultRowHeight="16" x14ac:dyDescent="0.2"/>
  <sheetData>
    <row r="7" spans="9:12" ht="17" thickBot="1" x14ac:dyDescent="0.25">
      <c r="I7" s="46" t="s">
        <v>482</v>
      </c>
      <c r="J7" s="77"/>
      <c r="K7" s="77"/>
      <c r="L7" s="77"/>
    </row>
    <row r="8" spans="9:12" ht="17" thickBot="1" x14ac:dyDescent="0.25">
      <c r="I8" s="336" t="s">
        <v>485</v>
      </c>
      <c r="J8" s="337"/>
      <c r="K8" s="337"/>
      <c r="L8" s="338"/>
    </row>
  </sheetData>
  <mergeCells count="1">
    <mergeCell ref="I8:L8"/>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B4C5-0C12-5F44-A011-15C162ADBBBA}">
  <dimension ref="H6:K7"/>
  <sheetViews>
    <sheetView workbookViewId="0">
      <selection activeCell="H8" sqref="H8"/>
    </sheetView>
  </sheetViews>
  <sheetFormatPr baseColWidth="10" defaultRowHeight="16" x14ac:dyDescent="0.2"/>
  <cols>
    <col min="2000" max="2000" width="2.5" customWidth="1"/>
  </cols>
  <sheetData>
    <row r="6" spans="8:11" ht="17" thickBot="1" x14ac:dyDescent="0.25">
      <c r="H6" s="46" t="s">
        <v>482</v>
      </c>
      <c r="I6" s="77"/>
      <c r="J6" s="77"/>
      <c r="K6" s="77"/>
    </row>
    <row r="7" spans="8:11" ht="17" thickBot="1" x14ac:dyDescent="0.25">
      <c r="H7" s="336" t="s">
        <v>485</v>
      </c>
      <c r="I7" s="337"/>
      <c r="J7" s="337"/>
      <c r="K7" s="338"/>
    </row>
  </sheetData>
  <mergeCells count="1">
    <mergeCell ref="H7:K7"/>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DEC36-379D-0648-A078-E14BF327994F}">
  <dimension ref="B2:O12"/>
  <sheetViews>
    <sheetView workbookViewId="0">
      <selection activeCell="L12" sqref="L12"/>
    </sheetView>
  </sheetViews>
  <sheetFormatPr baseColWidth="10" defaultRowHeight="16" x14ac:dyDescent="0.2"/>
  <cols>
    <col min="2000" max="2000" width="2.5" customWidth="1"/>
  </cols>
  <sheetData>
    <row r="2" spans="2:15" x14ac:dyDescent="0.2">
      <c r="B2" t="s">
        <v>190</v>
      </c>
      <c r="C2" t="s">
        <v>191</v>
      </c>
    </row>
    <row r="3" spans="2:15" x14ac:dyDescent="0.2">
      <c r="B3">
        <v>45</v>
      </c>
      <c r="C3">
        <v>36</v>
      </c>
    </row>
    <row r="4" spans="2:15" x14ac:dyDescent="0.2">
      <c r="B4">
        <v>57</v>
      </c>
      <c r="C4">
        <v>51</v>
      </c>
    </row>
    <row r="5" spans="2:15" x14ac:dyDescent="0.2">
      <c r="B5">
        <v>73</v>
      </c>
      <c r="C5">
        <v>60</v>
      </c>
    </row>
    <row r="6" spans="2:15" ht="17" thickBot="1" x14ac:dyDescent="0.25">
      <c r="B6">
        <v>83</v>
      </c>
      <c r="C6">
        <v>77</v>
      </c>
      <c r="L6" s="46" t="s">
        <v>482</v>
      </c>
      <c r="M6" s="77"/>
      <c r="N6" s="77"/>
      <c r="O6" s="77"/>
    </row>
    <row r="7" spans="2:15" ht="17" thickBot="1" x14ac:dyDescent="0.25">
      <c r="B7">
        <v>46</v>
      </c>
      <c r="C7">
        <v>44</v>
      </c>
      <c r="L7" s="336" t="s">
        <v>483</v>
      </c>
      <c r="M7" s="337"/>
      <c r="N7" s="337"/>
      <c r="O7" s="338"/>
    </row>
    <row r="8" spans="2:15" x14ac:dyDescent="0.2">
      <c r="B8">
        <v>34</v>
      </c>
      <c r="C8">
        <v>29</v>
      </c>
    </row>
    <row r="9" spans="2:15" x14ac:dyDescent="0.2">
      <c r="B9">
        <v>124</v>
      </c>
      <c r="C9">
        <v>119</v>
      </c>
    </row>
    <row r="10" spans="2:15" x14ac:dyDescent="0.2">
      <c r="B10">
        <v>26</v>
      </c>
      <c r="C10">
        <v>24</v>
      </c>
    </row>
    <row r="11" spans="2:15" x14ac:dyDescent="0.2">
      <c r="B11">
        <v>33</v>
      </c>
      <c r="C11">
        <v>35</v>
      </c>
    </row>
    <row r="12" spans="2:15" x14ac:dyDescent="0.2">
      <c r="B12">
        <v>17</v>
      </c>
      <c r="C12">
        <v>11</v>
      </c>
    </row>
  </sheetData>
  <mergeCells count="1">
    <mergeCell ref="L7:O7"/>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1FF51-DDEE-3C42-8615-1AD8E231878F}">
  <dimension ref="G5"/>
  <sheetViews>
    <sheetView workbookViewId="0">
      <selection activeCell="H7" sqref="H7"/>
    </sheetView>
  </sheetViews>
  <sheetFormatPr baseColWidth="10" defaultRowHeight="16" x14ac:dyDescent="0.2"/>
  <sheetData>
    <row r="5" spans="7:7" ht="21" x14ac:dyDescent="0.25">
      <c r="G5" s="88" t="s">
        <v>487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BE95A-CB4A-0048-8AAD-C287E84D287B}">
  <dimension ref="A1:O29"/>
  <sheetViews>
    <sheetView zoomScale="125" workbookViewId="0">
      <selection activeCell="A14" sqref="A14:B19"/>
    </sheetView>
  </sheetViews>
  <sheetFormatPr baseColWidth="10" defaultRowHeight="13" x14ac:dyDescent="0.15"/>
  <cols>
    <col min="1" max="1" width="17.5" style="13" customWidth="1"/>
    <col min="2" max="2" width="40" style="13" bestFit="1" customWidth="1"/>
    <col min="3" max="3" width="9.5" style="13" customWidth="1"/>
    <col min="4" max="4" width="9" style="13" customWidth="1"/>
    <col min="5" max="7" width="10.83203125" style="13"/>
    <col min="8" max="8" width="12.1640625" style="13" customWidth="1"/>
    <col min="9" max="16384" width="10.83203125" style="13"/>
  </cols>
  <sheetData>
    <row r="1" spans="1:4" x14ac:dyDescent="0.15">
      <c r="A1" s="13" t="s">
        <v>25</v>
      </c>
    </row>
    <row r="2" spans="1:4" x14ac:dyDescent="0.15">
      <c r="A2" s="13" t="s">
        <v>26</v>
      </c>
      <c r="B2" s="13">
        <f>3+5+10+4+5+11+3+4+13</f>
        <v>58</v>
      </c>
      <c r="C2" s="232">
        <f>B2/$B$6</f>
        <v>0.5043478260869565</v>
      </c>
      <c r="D2" s="14">
        <f>C2</f>
        <v>0.5043478260869565</v>
      </c>
    </row>
    <row r="3" spans="1:4" x14ac:dyDescent="0.15">
      <c r="A3" s="13" t="s">
        <v>27</v>
      </c>
      <c r="B3" s="13">
        <f>3+2+4+2+5+6+2+3+5</f>
        <v>32</v>
      </c>
      <c r="C3" s="232">
        <f>B3/$B$6</f>
        <v>0.27826086956521739</v>
      </c>
      <c r="D3" s="14">
        <f>C3+D2</f>
        <v>0.78260869565217384</v>
      </c>
    </row>
    <row r="4" spans="1:4" x14ac:dyDescent="0.15">
      <c r="A4" s="13" t="s">
        <v>28</v>
      </c>
      <c r="B4" s="13">
        <f>3+2+3+2+1+2+4</f>
        <v>17</v>
      </c>
      <c r="C4" s="232">
        <f>B4/$B$6</f>
        <v>0.14782608695652175</v>
      </c>
      <c r="D4" s="14">
        <f>C4+D3</f>
        <v>0.93043478260869561</v>
      </c>
    </row>
    <row r="5" spans="1:4" x14ac:dyDescent="0.15">
      <c r="A5" s="13" t="s">
        <v>29</v>
      </c>
      <c r="B5" s="13">
        <f>2+1+1+2+2</f>
        <v>8</v>
      </c>
      <c r="C5" s="232">
        <f>B5/$B$6</f>
        <v>6.9565217391304349E-2</v>
      </c>
      <c r="D5" s="14">
        <f>C5+D4</f>
        <v>1</v>
      </c>
    </row>
    <row r="6" spans="1:4" x14ac:dyDescent="0.15">
      <c r="B6" s="13">
        <f>SUM(B2:B5)</f>
        <v>115</v>
      </c>
      <c r="C6" s="232"/>
    </row>
    <row r="7" spans="1:4" x14ac:dyDescent="0.15">
      <c r="C7" s="232"/>
    </row>
    <row r="8" spans="1:4" x14ac:dyDescent="0.15">
      <c r="A8" s="13" t="s">
        <v>26</v>
      </c>
      <c r="C8" s="232"/>
    </row>
    <row r="9" spans="1:4" x14ac:dyDescent="0.15">
      <c r="A9" s="13" t="s">
        <v>30</v>
      </c>
      <c r="B9" s="13">
        <f>10+11+13</f>
        <v>34</v>
      </c>
      <c r="C9" s="232">
        <f>B9/$B$12</f>
        <v>0.58620689655172409</v>
      </c>
      <c r="D9" s="14">
        <f>C9</f>
        <v>0.58620689655172409</v>
      </c>
    </row>
    <row r="10" spans="1:4" x14ac:dyDescent="0.15">
      <c r="A10" s="13" t="s">
        <v>31</v>
      </c>
      <c r="B10" s="13">
        <f>5+5+4</f>
        <v>14</v>
      </c>
      <c r="C10" s="232">
        <f>B10/$B$12</f>
        <v>0.2413793103448276</v>
      </c>
      <c r="D10" s="14">
        <f>C10+D9</f>
        <v>0.82758620689655171</v>
      </c>
    </row>
    <row r="11" spans="1:4" x14ac:dyDescent="0.15">
      <c r="A11" s="13" t="s">
        <v>32</v>
      </c>
      <c r="B11" s="13">
        <f>3+4+3</f>
        <v>10</v>
      </c>
      <c r="C11" s="232">
        <f>B11/$B$12</f>
        <v>0.17241379310344829</v>
      </c>
      <c r="D11" s="14">
        <f>C11+D10</f>
        <v>1</v>
      </c>
    </row>
    <row r="12" spans="1:4" x14ac:dyDescent="0.15">
      <c r="B12" s="13">
        <f>SUM(B9:B11)</f>
        <v>58</v>
      </c>
    </row>
    <row r="14" spans="1:4" x14ac:dyDescent="0.15">
      <c r="A14" s="250" t="s">
        <v>505</v>
      </c>
      <c r="B14" s="250"/>
    </row>
    <row r="15" spans="1:4" ht="14" customHeight="1" x14ac:dyDescent="0.15">
      <c r="A15" s="233" t="s">
        <v>506</v>
      </c>
      <c r="B15" s="234" t="s">
        <v>47</v>
      </c>
    </row>
    <row r="16" spans="1:4" x14ac:dyDescent="0.15">
      <c r="A16" s="235" t="s">
        <v>507</v>
      </c>
      <c r="B16" s="236" t="s">
        <v>508</v>
      </c>
    </row>
    <row r="17" spans="1:15" x14ac:dyDescent="0.15">
      <c r="A17" s="235" t="s">
        <v>27</v>
      </c>
      <c r="B17" s="236" t="s">
        <v>509</v>
      </c>
    </row>
    <row r="18" spans="1:15" x14ac:dyDescent="0.15">
      <c r="A18" s="235" t="s">
        <v>26</v>
      </c>
      <c r="B18" s="236" t="s">
        <v>510</v>
      </c>
    </row>
    <row r="19" spans="1:15" x14ac:dyDescent="0.15">
      <c r="A19" s="235" t="s">
        <v>28</v>
      </c>
      <c r="B19" s="236" t="s">
        <v>511</v>
      </c>
    </row>
    <row r="21" spans="1:15" x14ac:dyDescent="0.15">
      <c r="A21" s="250" t="s">
        <v>512</v>
      </c>
      <c r="B21" s="250"/>
    </row>
    <row r="22" spans="1:15" x14ac:dyDescent="0.15">
      <c r="A22" s="233" t="s">
        <v>506</v>
      </c>
      <c r="B22" s="234" t="s">
        <v>47</v>
      </c>
    </row>
    <row r="23" spans="1:15" x14ac:dyDescent="0.15">
      <c r="A23" s="235" t="s">
        <v>32</v>
      </c>
      <c r="B23" s="236" t="s">
        <v>513</v>
      </c>
    </row>
    <row r="24" spans="1:15" x14ac:dyDescent="0.15">
      <c r="A24" s="235" t="s">
        <v>31</v>
      </c>
      <c r="B24" s="236" t="s">
        <v>514</v>
      </c>
    </row>
    <row r="25" spans="1:15" ht="14" thickBot="1" x14ac:dyDescent="0.2">
      <c r="A25" s="235" t="s">
        <v>30</v>
      </c>
      <c r="B25" s="236" t="s">
        <v>515</v>
      </c>
    </row>
    <row r="26" spans="1:15" ht="16" customHeight="1" x14ac:dyDescent="0.15">
      <c r="I26" s="251" t="s">
        <v>192</v>
      </c>
      <c r="J26" s="252"/>
      <c r="K26" s="252"/>
      <c r="L26" s="252"/>
      <c r="M26" s="252"/>
      <c r="N26" s="252"/>
      <c r="O26" s="253"/>
    </row>
    <row r="27" spans="1:15" ht="17" customHeight="1" thickBot="1" x14ac:dyDescent="0.2">
      <c r="I27" s="254" t="s">
        <v>193</v>
      </c>
      <c r="J27" s="255"/>
      <c r="K27" s="255"/>
      <c r="L27" s="255"/>
      <c r="M27" s="255"/>
      <c r="N27" s="255"/>
      <c r="O27" s="256"/>
    </row>
    <row r="28" spans="1:15" x14ac:dyDescent="0.15">
      <c r="A28" s="61" t="s">
        <v>516</v>
      </c>
      <c r="B28" s="237" t="s">
        <v>518</v>
      </c>
    </row>
    <row r="29" spans="1:15" x14ac:dyDescent="0.15">
      <c r="A29" s="61" t="s">
        <v>517</v>
      </c>
      <c r="B29" s="237" t="s">
        <v>519</v>
      </c>
    </row>
  </sheetData>
  <mergeCells count="4">
    <mergeCell ref="A14:B14"/>
    <mergeCell ref="A21:B21"/>
    <mergeCell ref="I26:O26"/>
    <mergeCell ref="I27:O27"/>
  </mergeCells>
  <phoneticPr fontId="38" type="noConversion"/>
  <pageMargins left="0.75" right="0.75" top="1" bottom="1" header="0.5" footer="0.5"/>
  <pageSetup paperSize="0" orientation="portrait" horizontalDpi="4294967292" verticalDpi="4294967292"/>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28D26-9C7C-D64A-8BDE-21EF99E7BB12}">
  <dimension ref="G6"/>
  <sheetViews>
    <sheetView workbookViewId="0">
      <selection activeCell="H13" sqref="H13"/>
    </sheetView>
  </sheetViews>
  <sheetFormatPr baseColWidth="10" defaultRowHeight="16" x14ac:dyDescent="0.2"/>
  <sheetData>
    <row r="6" spans="7:7" ht="21" x14ac:dyDescent="0.25">
      <c r="G6" s="88" t="s">
        <v>488</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543F7-292D-7E4C-B723-7D7DA1807385}">
  <dimension ref="G5:M7"/>
  <sheetViews>
    <sheetView workbookViewId="0">
      <selection activeCell="I18" sqref="I18"/>
    </sheetView>
  </sheetViews>
  <sheetFormatPr baseColWidth="10" defaultRowHeight="16" x14ac:dyDescent="0.2"/>
  <sheetData>
    <row r="5" spans="7:13" ht="21" customHeight="1" x14ac:dyDescent="0.2">
      <c r="G5" s="339" t="s">
        <v>489</v>
      </c>
      <c r="H5" s="339"/>
      <c r="I5" s="339"/>
      <c r="J5" s="339"/>
      <c r="K5" s="339"/>
      <c r="L5" s="339"/>
      <c r="M5" s="339"/>
    </row>
    <row r="6" spans="7:13" x14ac:dyDescent="0.2">
      <c r="G6" s="339"/>
      <c r="H6" s="339"/>
      <c r="I6" s="339"/>
      <c r="J6" s="339"/>
      <c r="K6" s="339"/>
      <c r="L6" s="339"/>
      <c r="M6" s="339"/>
    </row>
    <row r="7" spans="7:13" x14ac:dyDescent="0.2">
      <c r="G7" s="339"/>
      <c r="H7" s="339"/>
      <c r="I7" s="339"/>
      <c r="J7" s="339"/>
      <c r="K7" s="339"/>
      <c r="L7" s="339"/>
      <c r="M7" s="339"/>
    </row>
  </sheetData>
  <mergeCells count="1">
    <mergeCell ref="G5:M7"/>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28D20-D6E2-C440-9F88-1692D10C0CF4}">
  <dimension ref="H4:N6"/>
  <sheetViews>
    <sheetView workbookViewId="0">
      <selection activeCell="I16" sqref="I16"/>
    </sheetView>
  </sheetViews>
  <sheetFormatPr baseColWidth="10" defaultRowHeight="16" x14ac:dyDescent="0.2"/>
  <sheetData>
    <row r="4" spans="8:14" ht="21" customHeight="1" x14ac:dyDescent="0.2">
      <c r="H4" s="339" t="s">
        <v>490</v>
      </c>
      <c r="I4" s="339"/>
      <c r="J4" s="339"/>
      <c r="K4" s="339"/>
      <c r="L4" s="339"/>
      <c r="M4" s="339"/>
      <c r="N4" s="339"/>
    </row>
    <row r="5" spans="8:14" x14ac:dyDescent="0.2">
      <c r="H5" s="339"/>
      <c r="I5" s="339"/>
      <c r="J5" s="339"/>
      <c r="K5" s="339"/>
      <c r="L5" s="339"/>
      <c r="M5" s="339"/>
      <c r="N5" s="339"/>
    </row>
    <row r="6" spans="8:14" x14ac:dyDescent="0.2">
      <c r="H6" s="339"/>
      <c r="I6" s="339"/>
      <c r="J6" s="339"/>
      <c r="K6" s="339"/>
      <c r="L6" s="339"/>
      <c r="M6" s="339"/>
      <c r="N6" s="339"/>
    </row>
  </sheetData>
  <mergeCells count="1">
    <mergeCell ref="H4:N6"/>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5C0D6-7211-E141-9A4F-2285EFFB38D0}">
  <dimension ref="B1:T23"/>
  <sheetViews>
    <sheetView workbookViewId="0">
      <selection activeCell="B32" sqref="B32"/>
    </sheetView>
  </sheetViews>
  <sheetFormatPr baseColWidth="10" defaultRowHeight="16" x14ac:dyDescent="0.2"/>
  <cols>
    <col min="10" max="10" width="4.6640625" customWidth="1"/>
    <col min="15" max="15" width="6" customWidth="1"/>
    <col min="20" max="20" width="4.6640625" customWidth="1"/>
  </cols>
  <sheetData>
    <row r="1" spans="2:20" ht="17" thickBot="1" x14ac:dyDescent="0.25"/>
    <row r="2" spans="2:20" ht="21" x14ac:dyDescent="0.25">
      <c r="B2" s="340" t="s">
        <v>491</v>
      </c>
      <c r="C2" s="341"/>
      <c r="D2" s="341"/>
      <c r="E2" s="342"/>
      <c r="F2" s="340" t="s">
        <v>492</v>
      </c>
      <c r="G2" s="341"/>
      <c r="H2" s="341"/>
      <c r="I2" s="341"/>
      <c r="J2" s="342"/>
      <c r="K2" s="340" t="s">
        <v>493</v>
      </c>
      <c r="L2" s="341"/>
      <c r="M2" s="341"/>
      <c r="N2" s="341"/>
      <c r="O2" s="342"/>
      <c r="P2" s="340" t="s">
        <v>494</v>
      </c>
      <c r="Q2" s="341"/>
      <c r="R2" s="341"/>
      <c r="S2" s="341"/>
      <c r="T2" s="342"/>
    </row>
    <row r="3" spans="2:20" x14ac:dyDescent="0.2">
      <c r="B3" s="162"/>
      <c r="E3" s="157"/>
      <c r="F3" s="162"/>
      <c r="J3" s="157"/>
      <c r="K3" s="162"/>
      <c r="O3" s="157"/>
      <c r="P3" s="162"/>
      <c r="T3" s="157"/>
    </row>
    <row r="4" spans="2:20" x14ac:dyDescent="0.2">
      <c r="B4" s="162"/>
      <c r="E4" s="157"/>
      <c r="F4" s="162"/>
      <c r="J4" s="157"/>
      <c r="K4" s="162"/>
      <c r="O4" s="157"/>
      <c r="P4" s="162"/>
      <c r="T4" s="157"/>
    </row>
    <row r="5" spans="2:20" x14ac:dyDescent="0.2">
      <c r="B5" s="162"/>
      <c r="E5" s="157"/>
      <c r="F5" s="162"/>
      <c r="J5" s="157"/>
      <c r="K5" s="162"/>
      <c r="O5" s="157"/>
      <c r="P5" s="162"/>
      <c r="T5" s="157"/>
    </row>
    <row r="6" spans="2:20" x14ac:dyDescent="0.2">
      <c r="B6" s="162"/>
      <c r="E6" s="157"/>
      <c r="F6" s="162"/>
      <c r="J6" s="157"/>
      <c r="K6" s="162"/>
      <c r="O6" s="157"/>
      <c r="P6" s="162"/>
      <c r="T6" s="157"/>
    </row>
    <row r="7" spans="2:20" x14ac:dyDescent="0.2">
      <c r="B7" s="162"/>
      <c r="E7" s="157"/>
      <c r="F7" s="162"/>
      <c r="J7" s="157"/>
      <c r="K7" s="162"/>
      <c r="O7" s="157"/>
      <c r="P7" s="162"/>
      <c r="T7" s="157"/>
    </row>
    <row r="8" spans="2:20" x14ac:dyDescent="0.2">
      <c r="B8" s="162"/>
      <c r="E8" s="157"/>
      <c r="F8" s="162"/>
      <c r="J8" s="157"/>
      <c r="K8" s="162"/>
      <c r="O8" s="157"/>
      <c r="P8" s="162"/>
      <c r="T8" s="157"/>
    </row>
    <row r="9" spans="2:20" x14ac:dyDescent="0.2">
      <c r="B9" s="162"/>
      <c r="E9" s="157"/>
      <c r="F9" s="162"/>
      <c r="J9" s="157"/>
      <c r="K9" s="162"/>
      <c r="O9" s="157"/>
      <c r="P9" s="162"/>
      <c r="T9" s="157"/>
    </row>
    <row r="10" spans="2:20" x14ac:dyDescent="0.2">
      <c r="B10" s="162"/>
      <c r="E10" s="157"/>
      <c r="F10" s="162"/>
      <c r="J10" s="157"/>
      <c r="K10" s="162"/>
      <c r="O10" s="157"/>
      <c r="P10" s="162"/>
      <c r="T10" s="157"/>
    </row>
    <row r="11" spans="2:20" x14ac:dyDescent="0.2">
      <c r="B11" s="162"/>
      <c r="E11" s="157"/>
      <c r="F11" s="162"/>
      <c r="J11" s="157"/>
      <c r="K11" s="162"/>
      <c r="O11" s="157"/>
      <c r="P11" s="162"/>
      <c r="T11" s="157"/>
    </row>
    <row r="12" spans="2:20" x14ac:dyDescent="0.2">
      <c r="B12" s="162"/>
      <c r="E12" s="157"/>
      <c r="F12" s="162"/>
      <c r="J12" s="157"/>
      <c r="K12" s="162"/>
      <c r="O12" s="157"/>
      <c r="P12" s="162"/>
      <c r="T12" s="157"/>
    </row>
    <row r="13" spans="2:20" x14ac:dyDescent="0.2">
      <c r="B13" s="162"/>
      <c r="E13" s="157"/>
      <c r="F13" s="162"/>
      <c r="J13" s="157"/>
      <c r="K13" s="162"/>
      <c r="O13" s="157"/>
      <c r="P13" s="162"/>
      <c r="T13" s="157"/>
    </row>
    <row r="14" spans="2:20" x14ac:dyDescent="0.2">
      <c r="B14" s="162"/>
      <c r="E14" s="157"/>
      <c r="F14" s="162"/>
      <c r="J14" s="157"/>
      <c r="K14" s="162"/>
      <c r="O14" s="157"/>
      <c r="P14" s="162"/>
      <c r="T14" s="157"/>
    </row>
    <row r="15" spans="2:20" x14ac:dyDescent="0.2">
      <c r="B15" s="162"/>
      <c r="E15" s="157"/>
      <c r="F15" s="162"/>
      <c r="J15" s="157"/>
      <c r="K15" s="162"/>
      <c r="O15" s="157"/>
      <c r="P15" s="162"/>
      <c r="T15" s="157"/>
    </row>
    <row r="16" spans="2:20" x14ac:dyDescent="0.2">
      <c r="B16" s="162"/>
      <c r="E16" s="157"/>
      <c r="F16" s="162"/>
      <c r="J16" s="157"/>
      <c r="K16" s="162"/>
      <c r="O16" s="157"/>
      <c r="P16" s="162"/>
      <c r="T16" s="157"/>
    </row>
    <row r="17" spans="2:20" x14ac:dyDescent="0.2">
      <c r="B17" s="162"/>
      <c r="E17" s="157"/>
      <c r="F17" s="162"/>
      <c r="J17" s="157"/>
      <c r="K17" s="162"/>
      <c r="O17" s="157"/>
      <c r="P17" s="162"/>
      <c r="T17" s="157"/>
    </row>
    <row r="18" spans="2:20" x14ac:dyDescent="0.2">
      <c r="B18" s="162"/>
      <c r="E18" s="157"/>
      <c r="F18" s="162"/>
      <c r="J18" s="157"/>
      <c r="K18" s="162"/>
      <c r="O18" s="157"/>
      <c r="P18" s="162"/>
      <c r="T18" s="157"/>
    </row>
    <row r="19" spans="2:20" x14ac:dyDescent="0.2">
      <c r="B19" s="162"/>
      <c r="E19" s="157"/>
      <c r="F19" s="162"/>
      <c r="J19" s="157"/>
      <c r="K19" s="162"/>
      <c r="O19" s="157"/>
      <c r="P19" s="162"/>
      <c r="T19" s="157"/>
    </row>
    <row r="20" spans="2:20" x14ac:dyDescent="0.2">
      <c r="B20" s="162"/>
      <c r="E20" s="157"/>
      <c r="F20" s="162"/>
      <c r="J20" s="157"/>
      <c r="K20" s="162"/>
      <c r="O20" s="157"/>
      <c r="P20" s="162"/>
      <c r="T20" s="157"/>
    </row>
    <row r="21" spans="2:20" x14ac:dyDescent="0.2">
      <c r="B21" s="162"/>
      <c r="E21" s="157"/>
      <c r="F21" s="162"/>
      <c r="J21" s="157"/>
      <c r="K21" s="162"/>
      <c r="O21" s="157"/>
      <c r="P21" s="162"/>
      <c r="T21" s="157"/>
    </row>
    <row r="22" spans="2:20" ht="17" thickBot="1" x14ac:dyDescent="0.25">
      <c r="B22" s="168"/>
      <c r="C22" s="1"/>
      <c r="D22" s="1"/>
      <c r="E22" s="159"/>
      <c r="F22" s="168"/>
      <c r="G22" s="1"/>
      <c r="H22" s="1"/>
      <c r="I22" s="1"/>
      <c r="J22" s="159"/>
      <c r="K22" s="168"/>
      <c r="L22" s="1"/>
      <c r="M22" s="1"/>
      <c r="N22" s="1"/>
      <c r="O22" s="159"/>
      <c r="P22" s="168"/>
      <c r="Q22" s="1"/>
      <c r="R22" s="1"/>
      <c r="S22" s="1"/>
      <c r="T22" s="159"/>
    </row>
    <row r="23" spans="2:20" ht="17" thickBot="1" x14ac:dyDescent="0.25">
      <c r="B23" s="343" t="s">
        <v>495</v>
      </c>
      <c r="C23" s="344"/>
      <c r="D23" s="344"/>
      <c r="E23" s="345"/>
      <c r="F23" s="343" t="s">
        <v>495</v>
      </c>
      <c r="G23" s="344"/>
      <c r="H23" s="344"/>
      <c r="I23" s="344"/>
      <c r="J23" s="345"/>
      <c r="K23" s="343" t="s">
        <v>496</v>
      </c>
      <c r="L23" s="344"/>
      <c r="M23" s="344"/>
      <c r="N23" s="344"/>
      <c r="O23" s="345"/>
      <c r="P23" s="343" t="s">
        <v>496</v>
      </c>
      <c r="Q23" s="344"/>
      <c r="R23" s="344"/>
      <c r="S23" s="344"/>
      <c r="T23" s="345"/>
    </row>
  </sheetData>
  <mergeCells count="8">
    <mergeCell ref="B2:E2"/>
    <mergeCell ref="F2:J2"/>
    <mergeCell ref="K2:O2"/>
    <mergeCell ref="P2:T2"/>
    <mergeCell ref="B23:E23"/>
    <mergeCell ref="F23:J23"/>
    <mergeCell ref="K23:O23"/>
    <mergeCell ref="P23:T23"/>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4854D-FA44-5347-BDC8-E2AA23FD9327}">
  <dimension ref="I4"/>
  <sheetViews>
    <sheetView workbookViewId="0">
      <selection activeCell="K15" sqref="K15"/>
    </sheetView>
  </sheetViews>
  <sheetFormatPr baseColWidth="10" defaultRowHeight="16" x14ac:dyDescent="0.2"/>
  <sheetData>
    <row r="4" spans="9:9" ht="21" x14ac:dyDescent="0.25">
      <c r="I4" s="88" t="s">
        <v>497</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81CFE-E3CC-BB4A-A0E7-F9A94A9827EF}">
  <dimension ref="H23"/>
  <sheetViews>
    <sheetView topLeftCell="A10" workbookViewId="0">
      <selection activeCell="H30" sqref="H30"/>
    </sheetView>
  </sheetViews>
  <sheetFormatPr baseColWidth="10" defaultRowHeight="16" x14ac:dyDescent="0.2"/>
  <sheetData>
    <row r="23" spans="8:8" ht="24" x14ac:dyDescent="0.3">
      <c r="H23" s="230" t="s">
        <v>502</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1F1B1-1558-FD49-A9C9-CD99E1F6B25F}">
  <dimension ref="H10"/>
  <sheetViews>
    <sheetView workbookViewId="0">
      <selection activeCell="H14" sqref="H14"/>
    </sheetView>
  </sheetViews>
  <sheetFormatPr baseColWidth="10" defaultRowHeight="16" x14ac:dyDescent="0.2"/>
  <sheetData>
    <row r="10" spans="8:8" ht="21" x14ac:dyDescent="0.25">
      <c r="H10" s="231" t="s">
        <v>503</v>
      </c>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8390B-0FA9-AF45-B2A9-3E9A01D6FA26}">
  <dimension ref="G4"/>
  <sheetViews>
    <sheetView topLeftCell="A5" workbookViewId="0">
      <selection activeCell="I13" sqref="I13"/>
    </sheetView>
  </sheetViews>
  <sheetFormatPr baseColWidth="10" defaultRowHeight="16" x14ac:dyDescent="0.2"/>
  <sheetData>
    <row r="4" spans="7:7" ht="24" x14ac:dyDescent="0.3">
      <c r="G4" s="230" t="s">
        <v>504</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D539A-E925-5240-AC79-24657E7D8D95}">
  <dimension ref="J3"/>
  <sheetViews>
    <sheetView workbookViewId="0">
      <selection activeCell="L15" sqref="L15"/>
    </sheetView>
  </sheetViews>
  <sheetFormatPr baseColWidth="10" defaultRowHeight="16" x14ac:dyDescent="0.2"/>
  <sheetData>
    <row r="3" spans="10:10" ht="26" x14ac:dyDescent="0.3">
      <c r="J3" s="229" t="s">
        <v>498</v>
      </c>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C115E-B301-A046-8CB0-FAC69C30F2FD}">
  <dimension ref="A1"/>
  <sheetViews>
    <sheetView workbookViewId="0">
      <selection activeCell="K1" sqref="K1"/>
    </sheetView>
  </sheetViews>
  <sheetFormatPr baseColWidth="10" defaultRowHeight="16"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AA207-F071-C54E-983D-7F64A3587B1F}">
  <dimension ref="B1:K22"/>
  <sheetViews>
    <sheetView zoomScaleNormal="100" zoomScalePageLayoutView="150" workbookViewId="0">
      <selection activeCell="J31" sqref="J31"/>
    </sheetView>
  </sheetViews>
  <sheetFormatPr baseColWidth="10" defaultRowHeight="16" x14ac:dyDescent="0.2"/>
  <cols>
    <col min="2" max="2" width="30" bestFit="1" customWidth="1"/>
    <col min="3" max="3" width="17.33203125" customWidth="1"/>
    <col min="7" max="7" width="13.33203125" customWidth="1"/>
    <col min="10" max="10" width="30.6640625" bestFit="1" customWidth="1"/>
    <col min="11" max="11" width="44" bestFit="1" customWidth="1"/>
  </cols>
  <sheetData>
    <row r="1" spans="2:11" ht="17" thickBot="1" x14ac:dyDescent="0.25"/>
    <row r="2" spans="2:11" ht="21" x14ac:dyDescent="0.25">
      <c r="B2" s="257" t="s">
        <v>33</v>
      </c>
      <c r="C2" s="258"/>
      <c r="D2" s="259"/>
      <c r="F2" s="89" t="s">
        <v>214</v>
      </c>
      <c r="G2" s="104"/>
      <c r="H2" s="100" t="s">
        <v>215</v>
      </c>
      <c r="I2" s="88"/>
    </row>
    <row r="3" spans="2:11" ht="21" x14ac:dyDescent="0.25">
      <c r="B3" s="15" t="s">
        <v>34</v>
      </c>
      <c r="C3" s="9" t="s">
        <v>35</v>
      </c>
      <c r="D3" s="16">
        <v>7</v>
      </c>
      <c r="F3" s="91" t="s">
        <v>212</v>
      </c>
      <c r="G3" s="105"/>
      <c r="H3" s="101" t="s">
        <v>215</v>
      </c>
      <c r="I3" s="88"/>
    </row>
    <row r="4" spans="2:11" ht="22" thickBot="1" x14ac:dyDescent="0.3">
      <c r="B4" s="15" t="s">
        <v>36</v>
      </c>
      <c r="C4" s="9" t="s">
        <v>37</v>
      </c>
      <c r="D4" s="16">
        <v>9</v>
      </c>
      <c r="F4" s="92" t="s">
        <v>213</v>
      </c>
      <c r="G4" s="106"/>
      <c r="H4" s="102" t="s">
        <v>216</v>
      </c>
      <c r="I4" s="88"/>
    </row>
    <row r="5" spans="2:11" x14ac:dyDescent="0.2">
      <c r="B5" s="15" t="s">
        <v>38</v>
      </c>
      <c r="C5" s="9" t="s">
        <v>39</v>
      </c>
      <c r="D5" s="16">
        <v>30</v>
      </c>
    </row>
    <row r="6" spans="2:11" x14ac:dyDescent="0.2">
      <c r="B6" s="15" t="s">
        <v>40</v>
      </c>
      <c r="C6" s="9" t="s">
        <v>41</v>
      </c>
      <c r="D6" s="16">
        <v>12</v>
      </c>
    </row>
    <row r="7" spans="2:11" ht="17" thickBot="1" x14ac:dyDescent="0.25">
      <c r="B7" s="17" t="s">
        <v>42</v>
      </c>
      <c r="C7" s="18" t="s">
        <v>43</v>
      </c>
      <c r="D7" s="19">
        <v>5</v>
      </c>
    </row>
    <row r="9" spans="2:11" x14ac:dyDescent="0.2">
      <c r="B9" t="s">
        <v>520</v>
      </c>
    </row>
    <row r="10" spans="2:11" x14ac:dyDescent="0.2">
      <c r="B10" t="s">
        <v>38</v>
      </c>
      <c r="C10">
        <v>30</v>
      </c>
      <c r="D10">
        <f>+C10</f>
        <v>30</v>
      </c>
      <c r="E10" s="197">
        <f>+C10/$D$14</f>
        <v>0.47619047619047616</v>
      </c>
      <c r="F10" s="199">
        <f>+E10</f>
        <v>0.47619047619047616</v>
      </c>
    </row>
    <row r="11" spans="2:11" x14ac:dyDescent="0.2">
      <c r="B11" t="s">
        <v>40</v>
      </c>
      <c r="C11">
        <v>12</v>
      </c>
      <c r="D11">
        <f>+D10+C11</f>
        <v>42</v>
      </c>
      <c r="E11" s="197">
        <f t="shared" ref="E11:E14" si="0">+C11/$D$14</f>
        <v>0.19047619047619047</v>
      </c>
      <c r="F11" s="199">
        <f>+F10+E11</f>
        <v>0.66666666666666663</v>
      </c>
    </row>
    <row r="12" spans="2:11" x14ac:dyDescent="0.2">
      <c r="B12" t="s">
        <v>44</v>
      </c>
      <c r="C12">
        <v>9</v>
      </c>
      <c r="D12">
        <f>+D11+C12</f>
        <v>51</v>
      </c>
      <c r="E12" s="197">
        <f t="shared" si="0"/>
        <v>0.14285714285714285</v>
      </c>
      <c r="F12" s="199">
        <f t="shared" ref="F12:F14" si="1">+F11+E12</f>
        <v>0.80952380952380953</v>
      </c>
    </row>
    <row r="13" spans="2:11" x14ac:dyDescent="0.2">
      <c r="B13" t="s">
        <v>34</v>
      </c>
      <c r="C13">
        <v>7</v>
      </c>
      <c r="D13">
        <f t="shared" ref="D13:D14" si="2">+D12+C13</f>
        <v>58</v>
      </c>
      <c r="E13" s="197">
        <f t="shared" si="0"/>
        <v>0.1111111111111111</v>
      </c>
      <c r="F13" s="199">
        <f t="shared" si="1"/>
        <v>0.92063492063492069</v>
      </c>
    </row>
    <row r="14" spans="2:11" x14ac:dyDescent="0.2">
      <c r="B14" t="s">
        <v>42</v>
      </c>
      <c r="C14">
        <v>5</v>
      </c>
      <c r="D14">
        <f t="shared" si="2"/>
        <v>63</v>
      </c>
      <c r="E14" s="197">
        <f t="shared" si="0"/>
        <v>7.9365079365079361E-2</v>
      </c>
      <c r="F14" s="199">
        <f t="shared" si="1"/>
        <v>1</v>
      </c>
    </row>
    <row r="16" spans="2:11" x14ac:dyDescent="0.2">
      <c r="J16" s="250" t="s">
        <v>212</v>
      </c>
      <c r="K16" s="250"/>
    </row>
    <row r="17" spans="10:11" x14ac:dyDescent="0.2">
      <c r="J17" s="233" t="s">
        <v>506</v>
      </c>
      <c r="K17" s="234" t="s">
        <v>47</v>
      </c>
    </row>
    <row r="18" spans="10:11" x14ac:dyDescent="0.2">
      <c r="J18" s="219" t="s">
        <v>38</v>
      </c>
      <c r="K18" s="238" t="s">
        <v>521</v>
      </c>
    </row>
    <row r="19" spans="10:11" x14ac:dyDescent="0.2">
      <c r="J19" s="219" t="s">
        <v>40</v>
      </c>
      <c r="K19" s="238" t="s">
        <v>522</v>
      </c>
    </row>
    <row r="20" spans="10:11" x14ac:dyDescent="0.2">
      <c r="J20" s="219" t="s">
        <v>44</v>
      </c>
      <c r="K20" s="238" t="s">
        <v>523</v>
      </c>
    </row>
    <row r="21" spans="10:11" x14ac:dyDescent="0.2">
      <c r="J21" s="219" t="s">
        <v>34</v>
      </c>
      <c r="K21" s="238" t="s">
        <v>524</v>
      </c>
    </row>
    <row r="22" spans="10:11" x14ac:dyDescent="0.2">
      <c r="J22" s="219" t="s">
        <v>42</v>
      </c>
      <c r="K22" s="238" t="s">
        <v>525</v>
      </c>
    </row>
  </sheetData>
  <mergeCells count="2">
    <mergeCell ref="B2:D2"/>
    <mergeCell ref="J16:K16"/>
  </mergeCells>
  <pageMargins left="0.75" right="0.75" top="1" bottom="1" header="0.5" footer="0.5"/>
  <pageSetup orientation="portrait" horizontalDpi="4294967292" verticalDpi="4294967292"/>
  <ignoredErrors>
    <ignoredError sqref="E10:E14" formula="1"/>
  </ignoredErrors>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12B7C-6C6F-054C-823C-0F8F60318F55}">
  <dimension ref="A1"/>
  <sheetViews>
    <sheetView topLeftCell="A9" workbookViewId="0">
      <selection activeCell="K14" sqref="K14"/>
    </sheetView>
  </sheetViews>
  <sheetFormatPr baseColWidth="10" defaultRowHeight="16" x14ac:dyDescent="0.2"/>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31F56-2A33-2046-979A-2EAF1E400CC2}">
  <dimension ref="B1:O23"/>
  <sheetViews>
    <sheetView workbookViewId="0">
      <selection activeCell="F29" sqref="F29"/>
    </sheetView>
  </sheetViews>
  <sheetFormatPr baseColWidth="10" defaultRowHeight="16" x14ac:dyDescent="0.2"/>
  <cols>
    <col min="10" max="10" width="4.6640625" customWidth="1"/>
    <col min="15" max="15" width="6" customWidth="1"/>
  </cols>
  <sheetData>
    <row r="1" spans="2:15" ht="17" thickBot="1" x14ac:dyDescent="0.25"/>
    <row r="2" spans="2:15" ht="21" x14ac:dyDescent="0.25">
      <c r="B2" s="340" t="s">
        <v>499</v>
      </c>
      <c r="C2" s="341"/>
      <c r="D2" s="341"/>
      <c r="E2" s="342"/>
      <c r="F2" s="340" t="s">
        <v>500</v>
      </c>
      <c r="G2" s="341"/>
      <c r="H2" s="341"/>
      <c r="I2" s="341"/>
      <c r="J2" s="342"/>
      <c r="K2" s="340" t="s">
        <v>501</v>
      </c>
      <c r="L2" s="341"/>
      <c r="M2" s="341"/>
      <c r="N2" s="341"/>
      <c r="O2" s="342"/>
    </row>
    <row r="3" spans="2:15" x14ac:dyDescent="0.2">
      <c r="B3" s="162"/>
      <c r="E3" s="157"/>
      <c r="F3" s="162"/>
      <c r="J3" s="157"/>
      <c r="K3" s="162"/>
      <c r="O3" s="157"/>
    </row>
    <row r="4" spans="2:15" x14ac:dyDescent="0.2">
      <c r="B4" s="162"/>
      <c r="E4" s="157"/>
      <c r="F4" s="162"/>
      <c r="J4" s="157"/>
      <c r="K4" s="162"/>
      <c r="O4" s="157"/>
    </row>
    <row r="5" spans="2:15" x14ac:dyDescent="0.2">
      <c r="B5" s="162"/>
      <c r="E5" s="157"/>
      <c r="F5" s="162"/>
      <c r="J5" s="157"/>
      <c r="K5" s="162"/>
      <c r="O5" s="157"/>
    </row>
    <row r="6" spans="2:15" x14ac:dyDescent="0.2">
      <c r="B6" s="162"/>
      <c r="E6" s="157"/>
      <c r="F6" s="162"/>
      <c r="J6" s="157"/>
      <c r="K6" s="162"/>
      <c r="O6" s="157"/>
    </row>
    <row r="7" spans="2:15" x14ac:dyDescent="0.2">
      <c r="B7" s="162"/>
      <c r="E7" s="157"/>
      <c r="F7" s="162"/>
      <c r="J7" s="157"/>
      <c r="K7" s="162"/>
      <c r="O7" s="157"/>
    </row>
    <row r="8" spans="2:15" x14ac:dyDescent="0.2">
      <c r="B8" s="162"/>
      <c r="E8" s="157"/>
      <c r="F8" s="162"/>
      <c r="J8" s="157"/>
      <c r="K8" s="162"/>
      <c r="O8" s="157"/>
    </row>
    <row r="9" spans="2:15" x14ac:dyDescent="0.2">
      <c r="B9" s="162"/>
      <c r="E9" s="157"/>
      <c r="F9" s="162"/>
      <c r="J9" s="157"/>
      <c r="K9" s="162"/>
      <c r="O9" s="157"/>
    </row>
    <row r="10" spans="2:15" x14ac:dyDescent="0.2">
      <c r="B10" s="162"/>
      <c r="E10" s="157"/>
      <c r="F10" s="162"/>
      <c r="J10" s="157"/>
      <c r="K10" s="162"/>
      <c r="O10" s="157"/>
    </row>
    <row r="11" spans="2:15" x14ac:dyDescent="0.2">
      <c r="B11" s="162"/>
      <c r="E11" s="157"/>
      <c r="F11" s="162"/>
      <c r="J11" s="157"/>
      <c r="K11" s="162"/>
      <c r="O11" s="157"/>
    </row>
    <row r="12" spans="2:15" x14ac:dyDescent="0.2">
      <c r="B12" s="162"/>
      <c r="E12" s="157"/>
      <c r="F12" s="162"/>
      <c r="J12" s="157"/>
      <c r="K12" s="162"/>
      <c r="O12" s="157"/>
    </row>
    <row r="13" spans="2:15" x14ac:dyDescent="0.2">
      <c r="B13" s="162"/>
      <c r="E13" s="157"/>
      <c r="F13" s="162"/>
      <c r="J13" s="157"/>
      <c r="K13" s="162"/>
      <c r="O13" s="157"/>
    </row>
    <row r="14" spans="2:15" x14ac:dyDescent="0.2">
      <c r="B14" s="162"/>
      <c r="E14" s="157"/>
      <c r="F14" s="162"/>
      <c r="J14" s="157"/>
      <c r="K14" s="162"/>
      <c r="O14" s="157"/>
    </row>
    <row r="15" spans="2:15" x14ac:dyDescent="0.2">
      <c r="B15" s="162"/>
      <c r="E15" s="157"/>
      <c r="F15" s="162"/>
      <c r="J15" s="157"/>
      <c r="K15" s="162"/>
      <c r="O15" s="157"/>
    </row>
    <row r="16" spans="2:15" x14ac:dyDescent="0.2">
      <c r="B16" s="162"/>
      <c r="E16" s="157"/>
      <c r="F16" s="162"/>
      <c r="J16" s="157"/>
      <c r="K16" s="162"/>
      <c r="O16" s="157"/>
    </row>
    <row r="17" spans="2:15" x14ac:dyDescent="0.2">
      <c r="B17" s="162"/>
      <c r="E17" s="157"/>
      <c r="F17" s="162"/>
      <c r="J17" s="157"/>
      <c r="K17" s="162"/>
      <c r="O17" s="157"/>
    </row>
    <row r="18" spans="2:15" x14ac:dyDescent="0.2">
      <c r="B18" s="162"/>
      <c r="E18" s="157"/>
      <c r="F18" s="162"/>
      <c r="J18" s="157"/>
      <c r="K18" s="162"/>
      <c r="O18" s="157"/>
    </row>
    <row r="19" spans="2:15" x14ac:dyDescent="0.2">
      <c r="B19" s="162"/>
      <c r="E19" s="157"/>
      <c r="F19" s="162"/>
      <c r="J19" s="157"/>
      <c r="K19" s="162"/>
      <c r="O19" s="157"/>
    </row>
    <row r="20" spans="2:15" x14ac:dyDescent="0.2">
      <c r="B20" s="162"/>
      <c r="E20" s="157"/>
      <c r="F20" s="162"/>
      <c r="J20" s="157"/>
      <c r="K20" s="162"/>
      <c r="O20" s="157"/>
    </row>
    <row r="21" spans="2:15" x14ac:dyDescent="0.2">
      <c r="B21" s="162"/>
      <c r="E21" s="157"/>
      <c r="F21" s="162"/>
      <c r="J21" s="157"/>
      <c r="K21" s="162"/>
      <c r="O21" s="157"/>
    </row>
    <row r="22" spans="2:15" ht="17" thickBot="1" x14ac:dyDescent="0.25">
      <c r="B22" s="168"/>
      <c r="C22" s="1"/>
      <c r="D22" s="1"/>
      <c r="E22" s="159"/>
      <c r="F22" s="168"/>
      <c r="G22" s="1"/>
      <c r="H22" s="1"/>
      <c r="I22" s="1"/>
      <c r="J22" s="159"/>
      <c r="K22" s="168"/>
      <c r="L22" s="1"/>
      <c r="M22" s="1"/>
      <c r="N22" s="1"/>
      <c r="O22" s="159"/>
    </row>
    <row r="23" spans="2:15" ht="17" thickBot="1" x14ac:dyDescent="0.25">
      <c r="B23" s="343" t="s">
        <v>495</v>
      </c>
      <c r="C23" s="344"/>
      <c r="D23" s="344"/>
      <c r="E23" s="345"/>
      <c r="F23" s="343" t="s">
        <v>495</v>
      </c>
      <c r="G23" s="344"/>
      <c r="H23" s="344"/>
      <c r="I23" s="344"/>
      <c r="J23" s="345"/>
      <c r="K23" s="343" t="s">
        <v>495</v>
      </c>
      <c r="L23" s="344"/>
      <c r="M23" s="344"/>
      <c r="N23" s="344"/>
      <c r="O23" s="345"/>
    </row>
  </sheetData>
  <mergeCells count="6">
    <mergeCell ref="B2:E2"/>
    <mergeCell ref="F2:J2"/>
    <mergeCell ref="K2:O2"/>
    <mergeCell ref="B23:E23"/>
    <mergeCell ref="F23:J23"/>
    <mergeCell ref="K23:O23"/>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22872-836A-BD44-A182-0773F44571D3}">
  <dimension ref="A1"/>
  <sheetViews>
    <sheetView workbookViewId="0">
      <selection activeCell="K15" sqref="K15"/>
    </sheetView>
  </sheetViews>
  <sheetFormatPr baseColWidth="10" defaultRowHeight="16"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34748-A25F-EA41-93DE-03B7DDCA2A03}">
  <dimension ref="B1:M46"/>
  <sheetViews>
    <sheetView topLeftCell="A14" zoomScale="120" zoomScaleNormal="120" workbookViewId="0">
      <selection activeCell="B40" sqref="B40:G43"/>
    </sheetView>
  </sheetViews>
  <sheetFormatPr baseColWidth="10" defaultRowHeight="13" x14ac:dyDescent="0.15"/>
  <cols>
    <col min="1" max="1" width="3.6640625" style="13" customWidth="1"/>
    <col min="2" max="2" width="21.1640625" style="13" customWidth="1"/>
    <col min="3" max="3" width="13.6640625" style="13" customWidth="1"/>
    <col min="4" max="4" width="11.33203125" style="13" customWidth="1"/>
    <col min="5" max="7" width="10.83203125" style="13"/>
    <col min="8" max="8" width="16.1640625" style="13" customWidth="1"/>
    <col min="9" max="11" width="10.83203125" style="13"/>
    <col min="12" max="12" width="18.5" style="13" customWidth="1"/>
    <col min="13" max="13" width="45" style="13" bestFit="1" customWidth="1"/>
    <col min="14" max="16384" width="10.83203125" style="13"/>
  </cols>
  <sheetData>
    <row r="1" spans="2:13" ht="14" thickBot="1" x14ac:dyDescent="0.2"/>
    <row r="2" spans="2:13" ht="16" x14ac:dyDescent="0.2">
      <c r="B2" s="21" t="s">
        <v>45</v>
      </c>
      <c r="C2" s="21" t="s">
        <v>46</v>
      </c>
      <c r="D2" s="21" t="s">
        <v>47</v>
      </c>
      <c r="H2" s="107" t="s">
        <v>212</v>
      </c>
    </row>
    <row r="3" spans="2:13" ht="17" thickBot="1" x14ac:dyDescent="0.25">
      <c r="B3" s="13" t="s">
        <v>48</v>
      </c>
      <c r="C3" s="13">
        <v>1823</v>
      </c>
      <c r="D3" s="239">
        <f t="shared" ref="D3:D8" si="0">C3/$C$9</f>
        <v>0.35731085848686789</v>
      </c>
      <c r="H3" s="109" t="s">
        <v>217</v>
      </c>
      <c r="L3" s="250" t="s">
        <v>212</v>
      </c>
      <c r="M3" s="250"/>
    </row>
    <row r="4" spans="2:13" x14ac:dyDescent="0.15">
      <c r="B4" s="13" t="s">
        <v>49</v>
      </c>
      <c r="C4" s="13">
        <v>916</v>
      </c>
      <c r="D4" s="239">
        <f t="shared" si="0"/>
        <v>0.1795374362994904</v>
      </c>
      <c r="L4" s="233" t="s">
        <v>506</v>
      </c>
      <c r="M4" s="234" t="s">
        <v>47</v>
      </c>
    </row>
    <row r="5" spans="2:13" x14ac:dyDescent="0.15">
      <c r="B5" s="13" t="s">
        <v>50</v>
      </c>
      <c r="C5" s="13">
        <v>804</v>
      </c>
      <c r="D5" s="239">
        <f t="shared" si="0"/>
        <v>0.15758526068208545</v>
      </c>
      <c r="L5" s="61" t="s">
        <v>48</v>
      </c>
      <c r="M5" s="238" t="s">
        <v>526</v>
      </c>
    </row>
    <row r="6" spans="2:13" x14ac:dyDescent="0.15">
      <c r="B6" s="13" t="s">
        <v>51</v>
      </c>
      <c r="C6" s="13">
        <v>742</v>
      </c>
      <c r="D6" s="239">
        <f t="shared" si="0"/>
        <v>0.14543316346530771</v>
      </c>
      <c r="L6" s="61" t="s">
        <v>49</v>
      </c>
      <c r="M6" s="238" t="s">
        <v>527</v>
      </c>
    </row>
    <row r="7" spans="2:13" x14ac:dyDescent="0.15">
      <c r="B7" s="13" t="s">
        <v>52</v>
      </c>
      <c r="C7" s="13">
        <v>715</v>
      </c>
      <c r="D7" s="239">
        <f t="shared" si="0"/>
        <v>0.14014112112896904</v>
      </c>
      <c r="L7" s="61" t="s">
        <v>50</v>
      </c>
      <c r="M7" s="238" t="s">
        <v>528</v>
      </c>
    </row>
    <row r="8" spans="2:13" x14ac:dyDescent="0.15">
      <c r="B8" s="13" t="s">
        <v>53</v>
      </c>
      <c r="C8" s="13">
        <v>102</v>
      </c>
      <c r="D8" s="239">
        <f t="shared" si="0"/>
        <v>1.9992159937279499E-2</v>
      </c>
      <c r="L8" s="61" t="s">
        <v>51</v>
      </c>
      <c r="M8" s="238" t="s">
        <v>529</v>
      </c>
    </row>
    <row r="9" spans="2:13" x14ac:dyDescent="0.15">
      <c r="B9" s="13" t="s">
        <v>54</v>
      </c>
      <c r="C9" s="13">
        <f>SUM(C3:C8)</f>
        <v>5102</v>
      </c>
      <c r="L9" s="61" t="s">
        <v>52</v>
      </c>
      <c r="M9" s="238" t="s">
        <v>530</v>
      </c>
    </row>
    <row r="10" spans="2:13" x14ac:dyDescent="0.15">
      <c r="L10" s="61" t="s">
        <v>53</v>
      </c>
      <c r="M10" s="238" t="s">
        <v>531</v>
      </c>
    </row>
    <row r="11" spans="2:13" x14ac:dyDescent="0.15">
      <c r="B11" s="13" t="s">
        <v>48</v>
      </c>
      <c r="C11" s="22">
        <v>0.35731085848686789</v>
      </c>
      <c r="D11" s="22">
        <f>C11</f>
        <v>0.35731085848686789</v>
      </c>
    </row>
    <row r="12" spans="2:13" x14ac:dyDescent="0.15">
      <c r="B12" s="13" t="s">
        <v>49</v>
      </c>
      <c r="C12" s="22">
        <v>0.1795374362994904</v>
      </c>
      <c r="D12" s="22">
        <f>D11+C12</f>
        <v>0.53684829478635832</v>
      </c>
      <c r="L12" s="61" t="s">
        <v>217</v>
      </c>
      <c r="M12" s="240" t="s">
        <v>533</v>
      </c>
    </row>
    <row r="13" spans="2:13" x14ac:dyDescent="0.15">
      <c r="B13" s="13" t="s">
        <v>50</v>
      </c>
      <c r="C13" s="22">
        <v>0.15758526068208545</v>
      </c>
      <c r="D13" s="22">
        <f>D12+C13</f>
        <v>0.69443355546844376</v>
      </c>
    </row>
    <row r="14" spans="2:13" x14ac:dyDescent="0.15">
      <c r="B14" s="13" t="s">
        <v>51</v>
      </c>
      <c r="C14" s="22">
        <v>0.14543316346530771</v>
      </c>
      <c r="D14" s="22">
        <f>D13+C14</f>
        <v>0.83986671893375142</v>
      </c>
    </row>
    <row r="15" spans="2:13" ht="14" thickBot="1" x14ac:dyDescent="0.2">
      <c r="B15" s="13" t="s">
        <v>52</v>
      </c>
      <c r="C15" s="22">
        <v>0.14014112112896904</v>
      </c>
      <c r="D15" s="22">
        <f>D14+C15</f>
        <v>0.98000784006272046</v>
      </c>
    </row>
    <row r="16" spans="2:13" ht="16" x14ac:dyDescent="0.2">
      <c r="B16" s="13" t="s">
        <v>53</v>
      </c>
      <c r="C16" s="22">
        <v>1.9992159937279499E-2</v>
      </c>
      <c r="D16" s="22">
        <f>D15+C16</f>
        <v>1</v>
      </c>
      <c r="I16" s="108" t="s">
        <v>196</v>
      </c>
    </row>
    <row r="17" spans="9:9" ht="17" thickBot="1" x14ac:dyDescent="0.25">
      <c r="I17" s="110" t="s">
        <v>196</v>
      </c>
    </row>
    <row r="39" spans="2:7" ht="14" thickBot="1" x14ac:dyDescent="0.2"/>
    <row r="40" spans="2:7" ht="13" customHeight="1" x14ac:dyDescent="0.15">
      <c r="B40" s="260" t="s">
        <v>532</v>
      </c>
      <c r="C40" s="261"/>
      <c r="D40" s="261"/>
      <c r="E40" s="261"/>
      <c r="F40" s="261"/>
      <c r="G40" s="262"/>
    </row>
    <row r="41" spans="2:7" ht="16" customHeight="1" x14ac:dyDescent="0.15">
      <c r="B41" s="263"/>
      <c r="C41" s="264"/>
      <c r="D41" s="264"/>
      <c r="E41" s="264"/>
      <c r="F41" s="264"/>
      <c r="G41" s="265"/>
    </row>
    <row r="42" spans="2:7" ht="16" customHeight="1" x14ac:dyDescent="0.15">
      <c r="B42" s="263"/>
      <c r="C42" s="264"/>
      <c r="D42" s="264"/>
      <c r="E42" s="264"/>
      <c r="F42" s="264"/>
      <c r="G42" s="265"/>
    </row>
    <row r="43" spans="2:7" ht="16" customHeight="1" thickBot="1" x14ac:dyDescent="0.2">
      <c r="B43" s="266"/>
      <c r="C43" s="267"/>
      <c r="D43" s="267"/>
      <c r="E43" s="267"/>
      <c r="F43" s="267"/>
      <c r="G43" s="268"/>
    </row>
    <row r="46" spans="2:7" x14ac:dyDescent="0.15">
      <c r="B46" s="21" t="s">
        <v>218</v>
      </c>
    </row>
  </sheetData>
  <mergeCells count="2">
    <mergeCell ref="L3:M3"/>
    <mergeCell ref="B40:G43"/>
  </mergeCells>
  <pageMargins left="0.75" right="0.75" top="1" bottom="1" header="0.5" footer="0.5"/>
  <pageSetup paperSize="0" orientation="portrait" horizontalDpi="4294967292" verticalDpi="429496729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AC0D8-C4DA-CD46-8E8D-4B51CE8FC55D}">
  <dimension ref="B1:L36"/>
  <sheetViews>
    <sheetView zoomScale="125" zoomScaleNormal="125" zoomScalePageLayoutView="125" workbookViewId="0">
      <selection activeCell="L10" sqref="L10"/>
    </sheetView>
  </sheetViews>
  <sheetFormatPr baseColWidth="10" defaultRowHeight="16" x14ac:dyDescent="0.2"/>
  <cols>
    <col min="2" max="2" width="20.83203125" bestFit="1" customWidth="1"/>
    <col min="11" max="11" width="21.1640625" bestFit="1" customWidth="1"/>
    <col min="12" max="12" width="44.6640625" customWidth="1"/>
  </cols>
  <sheetData>
    <row r="1" spans="2:12" x14ac:dyDescent="0.2">
      <c r="B1" t="s">
        <v>534</v>
      </c>
      <c r="C1" t="s">
        <v>535</v>
      </c>
    </row>
    <row r="2" spans="2:12" x14ac:dyDescent="0.2">
      <c r="B2" t="s">
        <v>58</v>
      </c>
      <c r="C2">
        <v>85</v>
      </c>
      <c r="D2" s="197">
        <f>C2/$C$6</f>
        <v>0.4228855721393035</v>
      </c>
    </row>
    <row r="3" spans="2:12" x14ac:dyDescent="0.2">
      <c r="B3" t="s">
        <v>55</v>
      </c>
      <c r="C3">
        <v>55</v>
      </c>
      <c r="D3" s="197">
        <f>C3/$C$6</f>
        <v>0.27363184079601988</v>
      </c>
      <c r="K3" s="250" t="s">
        <v>212</v>
      </c>
      <c r="L3" s="250"/>
    </row>
    <row r="4" spans="2:12" x14ac:dyDescent="0.2">
      <c r="B4" t="s">
        <v>56</v>
      </c>
      <c r="C4">
        <v>40</v>
      </c>
      <c r="D4" s="197">
        <f>C4/$C$6</f>
        <v>0.19900497512437812</v>
      </c>
      <c r="K4" s="233" t="s">
        <v>506</v>
      </c>
      <c r="L4" s="234" t="s">
        <v>47</v>
      </c>
    </row>
    <row r="5" spans="2:12" x14ac:dyDescent="0.2">
      <c r="B5" t="s">
        <v>57</v>
      </c>
      <c r="C5">
        <v>21</v>
      </c>
      <c r="D5" s="197">
        <f>C5/$C$6</f>
        <v>0.1044776119402985</v>
      </c>
      <c r="K5" s="9" t="s">
        <v>58</v>
      </c>
      <c r="L5" s="236" t="s">
        <v>536</v>
      </c>
    </row>
    <row r="6" spans="2:12" x14ac:dyDescent="0.2">
      <c r="C6">
        <f>SUM(C2:C5)</f>
        <v>201</v>
      </c>
      <c r="D6" s="197"/>
      <c r="K6" s="9" t="s">
        <v>55</v>
      </c>
      <c r="L6" s="236" t="s">
        <v>537</v>
      </c>
    </row>
    <row r="7" spans="2:12" x14ac:dyDescent="0.2">
      <c r="D7" s="241"/>
      <c r="K7" s="9" t="s">
        <v>56</v>
      </c>
      <c r="L7" s="236" t="s">
        <v>538</v>
      </c>
    </row>
    <row r="8" spans="2:12" x14ac:dyDescent="0.2">
      <c r="K8" s="9" t="s">
        <v>57</v>
      </c>
      <c r="L8" s="236" t="s">
        <v>539</v>
      </c>
    </row>
    <row r="10" spans="2:12" x14ac:dyDescent="0.2">
      <c r="K10" s="61" t="s">
        <v>217</v>
      </c>
      <c r="L10" s="240" t="s">
        <v>540</v>
      </c>
    </row>
    <row r="25" spans="10:10" ht="19" x14ac:dyDescent="0.25">
      <c r="J25" s="79"/>
    </row>
    <row r="26" spans="10:10" ht="19" x14ac:dyDescent="0.25">
      <c r="J26" s="79"/>
    </row>
    <row r="32" spans="10:10" ht="17" thickBot="1" x14ac:dyDescent="0.25"/>
    <row r="33" spans="2:7" x14ac:dyDescent="0.2">
      <c r="B33" s="260" t="s">
        <v>541</v>
      </c>
      <c r="C33" s="261"/>
      <c r="D33" s="261"/>
      <c r="E33" s="261"/>
      <c r="F33" s="261"/>
      <c r="G33" s="262"/>
    </row>
    <row r="34" spans="2:7" x14ac:dyDescent="0.2">
      <c r="B34" s="263"/>
      <c r="C34" s="264"/>
      <c r="D34" s="264"/>
      <c r="E34" s="264"/>
      <c r="F34" s="264"/>
      <c r="G34" s="265"/>
    </row>
    <row r="35" spans="2:7" x14ac:dyDescent="0.2">
      <c r="B35" s="263"/>
      <c r="C35" s="264"/>
      <c r="D35" s="264"/>
      <c r="E35" s="264"/>
      <c r="F35" s="264"/>
      <c r="G35" s="265"/>
    </row>
    <row r="36" spans="2:7" ht="17" thickBot="1" x14ac:dyDescent="0.25">
      <c r="B36" s="266"/>
      <c r="C36" s="267"/>
      <c r="D36" s="267"/>
      <c r="E36" s="267"/>
      <c r="F36" s="267"/>
      <c r="G36" s="268"/>
    </row>
  </sheetData>
  <mergeCells count="2">
    <mergeCell ref="K3:L3"/>
    <mergeCell ref="B33:G36"/>
  </mergeCells>
  <pageMargins left="0.75" right="0.75" top="1" bottom="1" header="0.5" footer="0.5"/>
  <pageSetup orientation="portrait" horizontalDpi="4294967292" verticalDpi="429496729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1FDFB-A794-544D-BF5A-921EF590C746}">
  <dimension ref="B1:L9"/>
  <sheetViews>
    <sheetView zoomScale="125" zoomScaleNormal="125" zoomScalePageLayoutView="125" workbookViewId="0">
      <selection activeCell="K33" sqref="K33"/>
    </sheetView>
  </sheetViews>
  <sheetFormatPr baseColWidth="10" defaultRowHeight="16" x14ac:dyDescent="0.2"/>
  <cols>
    <col min="1" max="1" width="5.1640625" customWidth="1"/>
    <col min="2" max="2" width="28.1640625" customWidth="1"/>
    <col min="4" max="4" width="10.33203125" customWidth="1"/>
    <col min="11" max="11" width="29.33203125" bestFit="1" customWidth="1"/>
    <col min="12" max="12" width="42" bestFit="1" customWidth="1"/>
  </cols>
  <sheetData>
    <row r="1" spans="2:12" x14ac:dyDescent="0.2">
      <c r="B1" t="s">
        <v>59</v>
      </c>
      <c r="C1" t="s">
        <v>46</v>
      </c>
    </row>
    <row r="2" spans="2:12" x14ac:dyDescent="0.2">
      <c r="B2" t="s">
        <v>62</v>
      </c>
      <c r="C2">
        <v>241</v>
      </c>
      <c r="D2" s="197">
        <f>C2/$C$8</f>
        <v>0.48983739837398371</v>
      </c>
      <c r="K2" s="250" t="s">
        <v>212</v>
      </c>
      <c r="L2" s="250"/>
    </row>
    <row r="3" spans="2:12" x14ac:dyDescent="0.2">
      <c r="B3" t="s">
        <v>63</v>
      </c>
      <c r="C3">
        <v>103</v>
      </c>
      <c r="D3" s="197">
        <f t="shared" ref="D3:D7" si="0">C3/$C$8</f>
        <v>0.20934959349593496</v>
      </c>
      <c r="K3" s="233" t="s">
        <v>506</v>
      </c>
      <c r="L3" s="234" t="s">
        <v>47</v>
      </c>
    </row>
    <row r="4" spans="2:12" x14ac:dyDescent="0.2">
      <c r="B4" t="s">
        <v>60</v>
      </c>
      <c r="C4">
        <v>85</v>
      </c>
      <c r="D4" s="197">
        <f t="shared" si="0"/>
        <v>0.17276422764227642</v>
      </c>
      <c r="K4" s="9" t="s">
        <v>62</v>
      </c>
      <c r="L4" s="236" t="s">
        <v>543</v>
      </c>
    </row>
    <row r="5" spans="2:12" x14ac:dyDescent="0.2">
      <c r="B5" t="s">
        <v>542</v>
      </c>
      <c r="C5">
        <v>27</v>
      </c>
      <c r="D5" s="197">
        <f t="shared" si="0"/>
        <v>5.4878048780487805E-2</v>
      </c>
      <c r="K5" s="9" t="s">
        <v>63</v>
      </c>
      <c r="L5" s="236" t="s">
        <v>544</v>
      </c>
    </row>
    <row r="6" spans="2:12" x14ac:dyDescent="0.2">
      <c r="B6" t="s">
        <v>61</v>
      </c>
      <c r="C6">
        <v>22</v>
      </c>
      <c r="D6" s="197">
        <f t="shared" si="0"/>
        <v>4.4715447154471545E-2</v>
      </c>
      <c r="K6" s="9" t="s">
        <v>60</v>
      </c>
      <c r="L6" s="236" t="s">
        <v>545</v>
      </c>
    </row>
    <row r="7" spans="2:12" x14ac:dyDescent="0.2">
      <c r="B7" t="s">
        <v>53</v>
      </c>
      <c r="C7">
        <v>14</v>
      </c>
      <c r="D7" s="197">
        <f t="shared" si="0"/>
        <v>2.8455284552845527E-2</v>
      </c>
      <c r="K7" s="9" t="s">
        <v>542</v>
      </c>
      <c r="L7" s="236" t="s">
        <v>546</v>
      </c>
    </row>
    <row r="8" spans="2:12" x14ac:dyDescent="0.2">
      <c r="B8" t="s">
        <v>54</v>
      </c>
      <c r="C8">
        <f>SUM(C2:C7)</f>
        <v>492</v>
      </c>
      <c r="K8" s="9" t="s">
        <v>61</v>
      </c>
      <c r="L8" s="236" t="s">
        <v>547</v>
      </c>
    </row>
    <row r="9" spans="2:12" x14ac:dyDescent="0.2">
      <c r="K9" s="9" t="s">
        <v>53</v>
      </c>
      <c r="L9" s="236" t="s">
        <v>548</v>
      </c>
    </row>
  </sheetData>
  <mergeCells count="1">
    <mergeCell ref="K2:L2"/>
  </mergeCells>
  <pageMargins left="0.75" right="0.75" top="1" bottom="1" header="0.5" footer="0.5"/>
  <pageSetup orientation="portrait" horizontalDpi="4294967292" verticalDpi="4294967292"/>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62</vt:i4>
      </vt:variant>
    </vt:vector>
  </HeadingPairs>
  <TitlesOfParts>
    <vt:vector size="62" baseType="lpstr">
      <vt:lpstr>1VSM</vt:lpstr>
      <vt:lpstr>2VSM.</vt:lpstr>
      <vt:lpstr>3VSM.</vt:lpstr>
      <vt:lpstr>4VSM.</vt:lpstr>
      <vt:lpstr>1IyP</vt:lpstr>
      <vt:lpstr>2IyP</vt:lpstr>
      <vt:lpstr>3IyP</vt:lpstr>
      <vt:lpstr>4IyP</vt:lpstr>
      <vt:lpstr>5IyP</vt:lpstr>
      <vt:lpstr>6IyP</vt:lpstr>
      <vt:lpstr>1excel</vt:lpstr>
      <vt:lpstr>2excel</vt:lpstr>
      <vt:lpstr>3excel</vt:lpstr>
      <vt:lpstr>4excel</vt:lpstr>
      <vt:lpstr>5excel</vt:lpstr>
      <vt:lpstr>6excel</vt:lpstr>
      <vt:lpstr>7excel</vt:lpstr>
      <vt:lpstr>8excel</vt:lpstr>
      <vt:lpstr>9excel</vt:lpstr>
      <vt:lpstr>1medidas</vt:lpstr>
      <vt:lpstr>2medidas</vt:lpstr>
      <vt:lpstr>3medidas</vt:lpstr>
      <vt:lpstr>4medidas</vt:lpstr>
      <vt:lpstr>5medidas</vt:lpstr>
      <vt:lpstr>6medidas</vt:lpstr>
      <vt:lpstr>7medidas</vt:lpstr>
      <vt:lpstr>8medidas</vt:lpstr>
      <vt:lpstr>9medidas</vt:lpstr>
      <vt:lpstr>10medidas</vt:lpstr>
      <vt:lpstr>1seissigma</vt:lpstr>
      <vt:lpstr>2seissigma</vt:lpstr>
      <vt:lpstr>3seissigma</vt:lpstr>
      <vt:lpstr>4seissigma</vt:lpstr>
      <vt:lpstr>5seissigma</vt:lpstr>
      <vt:lpstr>6seissigma</vt:lpstr>
      <vt:lpstr>7seissigma</vt:lpstr>
      <vt:lpstr>8seissigma</vt:lpstr>
      <vt:lpstr>9seissigma</vt:lpstr>
      <vt:lpstr>10seissigma</vt:lpstr>
      <vt:lpstr>1mt</vt:lpstr>
      <vt:lpstr>2mt</vt:lpstr>
      <vt:lpstr>3mt</vt:lpstr>
      <vt:lpstr>4mt</vt:lpstr>
      <vt:lpstr>5mt</vt:lpstr>
      <vt:lpstr>6mt</vt:lpstr>
      <vt:lpstr>7mt</vt:lpstr>
      <vt:lpstr>8mt</vt:lpstr>
      <vt:lpstr>9mt</vt:lpstr>
      <vt:lpstr>10mt</vt:lpstr>
      <vt:lpstr>11mt</vt:lpstr>
      <vt:lpstr>12mt</vt:lpstr>
      <vt:lpstr>13mt</vt:lpstr>
      <vt:lpstr>14mt</vt:lpstr>
      <vt:lpstr>15mt</vt:lpstr>
      <vt:lpstr>16mt</vt:lpstr>
      <vt:lpstr>17mt</vt:lpstr>
      <vt:lpstr>18mt</vt:lpstr>
      <vt:lpstr>19mt</vt:lpstr>
      <vt:lpstr>20mt</vt:lpstr>
      <vt:lpstr>21mt</vt:lpstr>
      <vt:lpstr>22mt</vt:lpstr>
      <vt:lpstr>23mt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Edgar Hernandez</dc:creator>
  <cp:lastModifiedBy>Edgar Hernandez</cp:lastModifiedBy>
  <dcterms:created xsi:type="dcterms:W3CDTF">2020-06-02T20:35:26Z</dcterms:created>
  <dcterms:modified xsi:type="dcterms:W3CDTF">2022-10-18T22:43:13Z</dcterms:modified>
</cp:coreProperties>
</file>