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nrique/Documents/UCR/Operaciones/Virtualización/Página del área/Material para la página/Cursos/DN-0112/Prácticas/"/>
    </mc:Choice>
  </mc:AlternateContent>
  <xr:revisionPtr revIDLastSave="0" documentId="8_{3110265F-1DFE-D64C-ACC1-52044475CE89}" xr6:coauthVersionLast="47" xr6:coauthVersionMax="47" xr10:uidLastSave="{00000000-0000-0000-0000-000000000000}"/>
  <bookViews>
    <workbookView xWindow="18980" yWindow="900" windowWidth="17800" windowHeight="17260" tabRatio="958" xr2:uid="{00000000-000D-0000-FFFF-FFFF00000000}"/>
  </bookViews>
  <sheets>
    <sheet name="1" sheetId="1" r:id="rId1"/>
    <sheet name="2" sheetId="2" r:id="rId2"/>
    <sheet name="3" sheetId="5" r:id="rId3"/>
    <sheet name="4" sheetId="8" r:id="rId4"/>
    <sheet name="5" sheetId="11" r:id="rId5"/>
    <sheet name="6" sheetId="21" r:id="rId6"/>
    <sheet name="7" sheetId="22" r:id="rId7"/>
    <sheet name="8" sheetId="23" r:id="rId8"/>
    <sheet name="9" sheetId="24" r:id="rId9"/>
    <sheet name="10" sheetId="25" r:id="rId10"/>
    <sheet name="11" sheetId="26" r:id="rId11"/>
    <sheet name="12" sheetId="27" r:id="rId12"/>
    <sheet name="13" sheetId="28" r:id="rId13"/>
    <sheet name="14" sheetId="29" r:id="rId14"/>
    <sheet name="15" sheetId="30" r:id="rId15"/>
    <sheet name="16" sheetId="31" r:id="rId16"/>
    <sheet name="17" sheetId="32" r:id="rId17"/>
    <sheet name="18" sheetId="33" r:id="rId18"/>
    <sheet name="19" sheetId="34" r:id="rId19"/>
    <sheet name="20" sheetId="35" r:id="rId20"/>
    <sheet name="21" sheetId="36" r:id="rId21"/>
    <sheet name="22" sheetId="37" r:id="rId22"/>
    <sheet name="23" sheetId="38" r:id="rId23"/>
    <sheet name="24" sheetId="39" r:id="rId24"/>
    <sheet name="25" sheetId="40" r:id="rId25"/>
    <sheet name="26" sheetId="43" r:id="rId26"/>
    <sheet name="27" sheetId="44" r:id="rId27"/>
    <sheet name="28" sheetId="45" r:id="rId28"/>
    <sheet name="29" sheetId="46" r:id="rId29"/>
    <sheet name="30" sheetId="47" r:id="rId30"/>
    <sheet name="31" sheetId="48" r:id="rId31"/>
    <sheet name="32" sheetId="49" r:id="rId32"/>
    <sheet name="33" sheetId="50" r:id="rId33"/>
    <sheet name="34" sheetId="51" r:id="rId34"/>
    <sheet name="35" sheetId="52" r:id="rId35"/>
    <sheet name="36" sheetId="53" r:id="rId36"/>
  </sheets>
  <externalReferences>
    <externalReference r:id="rId37"/>
    <externalReference r:id="rId38"/>
    <externalReference r:id="rId39"/>
    <externalReference r:id="rId40"/>
    <externalReference r:id="rId41"/>
  </externalReferences>
  <definedNames>
    <definedName name="__123Graph_A" hidden="1">#REF!</definedName>
    <definedName name="__123Graph_AFNTPOP" hidden="1">#REF!</definedName>
    <definedName name="__123Graph_AFNTQUE" hidden="1">#REF!</definedName>
    <definedName name="__123Graph_AMMS" hidden="1">#REF!</definedName>
    <definedName name="__123Graph_X" hidden="1">#REF!</definedName>
    <definedName name="__123Graph_XFNTPOP" hidden="1">#REF!</definedName>
    <definedName name="__123Graph_XFNTQUE" hidden="1">#REF!</definedName>
    <definedName name="__123Graph_XMMS" hidden="1">#REF!</definedName>
    <definedName name="_xlchart.v1.0" hidden="1">'2'!$B$10:$B$14</definedName>
    <definedName name="_xlchart.v1.1" hidden="1">'2'!$C$10:$C$14</definedName>
    <definedName name="_xlchart.v1.2" hidden="1">'2'!$C$9</definedName>
    <definedName name="CANTIDADDEPAJUSTADAALADEMANDA">[1]GIMAT!$J$32</definedName>
    <definedName name="cuatrob" localSheetId="28">'[2]5P'!#REF!</definedName>
    <definedName name="cuatrob" localSheetId="29">'30'!#REF!</definedName>
    <definedName name="cuatrob" localSheetId="30">'31'!#REF!</definedName>
    <definedName name="cuatrob" localSheetId="31">'32'!$O$17</definedName>
    <definedName name="cuatrob" localSheetId="32">'[2]5P'!#REF!</definedName>
    <definedName name="cuatrob" localSheetId="33">'[2]5P'!#REF!</definedName>
    <definedName name="cuatrob" localSheetId="34">'[2]5P'!#REF!</definedName>
    <definedName name="cuatrob" localSheetId="35">'[2]5P'!#REF!</definedName>
    <definedName name="cuatrob">'[2]5P'!#REF!</definedName>
    <definedName name="dosb" localSheetId="28">'[2]5P'!#REF!</definedName>
    <definedName name="dosb" localSheetId="29">'30'!#REF!</definedName>
    <definedName name="dosb" localSheetId="30">'31'!#REF!</definedName>
    <definedName name="dosb" localSheetId="31">'32'!$J$5</definedName>
    <definedName name="dosb" localSheetId="32">'[2]5P'!#REF!</definedName>
    <definedName name="dosb" localSheetId="33">'[2]5P'!#REF!</definedName>
    <definedName name="dosb" localSheetId="34">'[2]5P'!#REF!</definedName>
    <definedName name="dosb" localSheetId="35">'[2]5P'!#REF!</definedName>
    <definedName name="dosb">'[2]5P'!#REF!</definedName>
    <definedName name="MinimizeCosts">FALSE</definedName>
    <definedName name="_xlnm.Print_Area" localSheetId="2">'3'!$A$14:$G$65</definedName>
    <definedName name="TIEMPODEPENM2">[1]GIMAT!$C$25</definedName>
    <definedName name="TIEMPODEQENM2">[1]GIMAT!$D$25</definedName>
    <definedName name="TIEMPODISPONIBLE">[1]GIMAT!$C$10</definedName>
    <definedName name="TreeData">#REF!</definedName>
    <definedName name="TreeDiagBase" localSheetId="25">'[3]Pregunta 1'!#REF!</definedName>
    <definedName name="TreeDiagBase" localSheetId="26">'[3]Pregunta 1'!#REF!</definedName>
    <definedName name="TreeDiagBase" localSheetId="27">'[3]Pregunta 1'!#REF!</definedName>
    <definedName name="TreeDiagBase" localSheetId="28">'[3]Pregunta 1'!#REF!</definedName>
    <definedName name="TreeDiagBase" localSheetId="29">'[3]Pregunta 1'!#REF!</definedName>
    <definedName name="TreeDiagBase" localSheetId="30">'[3]Pregunta 1'!#REF!</definedName>
    <definedName name="TreeDiagBase" localSheetId="31">'[3]Pregunta 1'!#REF!</definedName>
    <definedName name="TreeDiagBase" localSheetId="32">'[3]Pregunta 1'!#REF!</definedName>
    <definedName name="TreeDiagBase" localSheetId="33">'[3]Pregunta 1'!#REF!</definedName>
    <definedName name="TreeDiagBase" localSheetId="34">'[3]Pregunta 1'!#REF!</definedName>
    <definedName name="TreeDiagBase" localSheetId="35">'[3]Pregunta 1'!#REF!</definedName>
    <definedName name="TreeDiagBase">#REF!</definedName>
    <definedName name="TreeDiagram" localSheetId="25">'[3]Pregunta 1'!#REF!</definedName>
    <definedName name="TreeDiagram" localSheetId="26">'[3]Pregunta 1'!#REF!</definedName>
    <definedName name="TreeDiagram" localSheetId="27">'[3]Pregunta 1'!#REF!</definedName>
    <definedName name="TreeDiagram" localSheetId="28">'[3]Pregunta 1'!#REF!</definedName>
    <definedName name="TreeDiagram" localSheetId="29">'[3]Pregunta 1'!#REF!</definedName>
    <definedName name="TreeDiagram" localSheetId="30">'[3]Pregunta 1'!#REF!</definedName>
    <definedName name="TreeDiagram" localSheetId="31">'[3]Pregunta 1'!#REF!</definedName>
    <definedName name="TreeDiagram" localSheetId="32">'[3]Pregunta 1'!#REF!</definedName>
    <definedName name="TreeDiagram" localSheetId="33">'[3]Pregunta 1'!#REF!</definedName>
    <definedName name="TreeDiagram" localSheetId="34">'[3]Pregunta 1'!#REF!</definedName>
    <definedName name="TreeDiagram" localSheetId="35">'[3]Pregunta 1'!#REF!</definedName>
    <definedName name="TreeDiagram">#REF!</definedName>
    <definedName name="tresb" localSheetId="28">'[2]5P'!#REF!</definedName>
    <definedName name="tresb" localSheetId="29">'30'!#REF!</definedName>
    <definedName name="tresb" localSheetId="30">'31'!#REF!</definedName>
    <definedName name="tresb" localSheetId="31">'32'!$N$5</definedName>
    <definedName name="tresb" localSheetId="32">'[2]5P'!#REF!</definedName>
    <definedName name="tresb" localSheetId="33">'[2]5P'!#REF!</definedName>
    <definedName name="tresb" localSheetId="34">'[2]5P'!#REF!</definedName>
    <definedName name="tresb" localSheetId="35">'[2]5P'!#REF!</definedName>
    <definedName name="tresb">'[2]5P'!#REF!</definedName>
    <definedName name="unit">#REF!</definedName>
    <definedName name="unit.">'[4]Primera pregunta'!$E$5</definedName>
    <definedName name="units">#REF!</definedName>
    <definedName name="unob" localSheetId="28">'[2]5P'!#REF!</definedName>
    <definedName name="unob" localSheetId="29">'30'!#REF!</definedName>
    <definedName name="unob" localSheetId="30">'31'!#REF!</definedName>
    <definedName name="unob" localSheetId="31">'32'!$F$5</definedName>
    <definedName name="unob" localSheetId="32">'[2]5P'!#REF!</definedName>
    <definedName name="unob" localSheetId="33">'[2]5P'!#REF!</definedName>
    <definedName name="unob" localSheetId="34">'[2]5P'!#REF!</definedName>
    <definedName name="unob" localSheetId="35">'[2]5P'!#REF!</definedName>
    <definedName name="unob">'[2]5P'!#REF!</definedName>
    <definedName name="UseExpUtility">FALSE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53" l="1"/>
  <c r="D25" i="53"/>
  <c r="C21" i="53"/>
  <c r="D32" i="53" s="1"/>
  <c r="C17" i="53"/>
  <c r="C16" i="53"/>
  <c r="E13" i="53"/>
  <c r="E12" i="53"/>
  <c r="E11" i="53"/>
  <c r="E10" i="53"/>
  <c r="H4" i="53"/>
  <c r="F4" i="53"/>
  <c r="F3" i="53"/>
  <c r="H3" i="53" s="1"/>
  <c r="G40" i="52"/>
  <c r="F40" i="52"/>
  <c r="K36" i="52" s="1"/>
  <c r="G39" i="52"/>
  <c r="G41" i="52" s="1"/>
  <c r="F39" i="52"/>
  <c r="F41" i="52" s="1"/>
  <c r="J36" i="52"/>
  <c r="J37" i="52" s="1"/>
  <c r="C24" i="52"/>
  <c r="C25" i="52" s="1"/>
  <c r="C26" i="52" s="1"/>
  <c r="C28" i="52" s="1"/>
  <c r="P22" i="52"/>
  <c r="P21" i="52"/>
  <c r="P20" i="52"/>
  <c r="M18" i="52"/>
  <c r="L18" i="52"/>
  <c r="P24" i="52" s="1"/>
  <c r="H16" i="52"/>
  <c r="G16" i="52"/>
  <c r="C44" i="52" s="1"/>
  <c r="H15" i="52"/>
  <c r="G15" i="52"/>
  <c r="C43" i="52" s="1"/>
  <c r="H14" i="52"/>
  <c r="G14" i="52"/>
  <c r="C42" i="52" s="1"/>
  <c r="H13" i="52"/>
  <c r="G13" i="52"/>
  <c r="C41" i="52" s="1"/>
  <c r="H12" i="52"/>
  <c r="G12" i="52"/>
  <c r="C40" i="52" s="1"/>
  <c r="H11" i="52"/>
  <c r="G11" i="52"/>
  <c r="C39" i="52" s="1"/>
  <c r="H10" i="52"/>
  <c r="G10" i="52"/>
  <c r="C38" i="52" s="1"/>
  <c r="H9" i="52"/>
  <c r="G9" i="52"/>
  <c r="C37" i="52" s="1"/>
  <c r="H8" i="52"/>
  <c r="G8" i="52"/>
  <c r="C36" i="52" s="1"/>
  <c r="L36" i="51"/>
  <c r="K40" i="51" s="1"/>
  <c r="K35" i="51"/>
  <c r="K33" i="51"/>
  <c r="J33" i="51"/>
  <c r="I33" i="51"/>
  <c r="L28" i="51"/>
  <c r="F28" i="51"/>
  <c r="K27" i="51"/>
  <c r="J27" i="51"/>
  <c r="I27" i="51"/>
  <c r="K38" i="51" s="1"/>
  <c r="K26" i="51"/>
  <c r="J26" i="51"/>
  <c r="K28" i="51" s="1"/>
  <c r="L29" i="51" s="1"/>
  <c r="I26" i="51"/>
  <c r="E21" i="51"/>
  <c r="E20" i="51"/>
  <c r="K18" i="51"/>
  <c r="K20" i="51" s="1"/>
  <c r="L21" i="51" s="1"/>
  <c r="J18" i="51"/>
  <c r="I18" i="51"/>
  <c r="L13" i="51"/>
  <c r="K12" i="51"/>
  <c r="J12" i="51"/>
  <c r="I12" i="51"/>
  <c r="K13" i="51" s="1"/>
  <c r="L14" i="51" s="1"/>
  <c r="G12" i="51"/>
  <c r="E12" i="51"/>
  <c r="D12" i="51"/>
  <c r="K11" i="51"/>
  <c r="J11" i="51"/>
  <c r="I11" i="51"/>
  <c r="F11" i="51"/>
  <c r="F20" i="51" s="1"/>
  <c r="F21" i="51" s="1"/>
  <c r="E11" i="51"/>
  <c r="D11" i="51"/>
  <c r="E7" i="51"/>
  <c r="G7" i="51" s="1"/>
  <c r="K6" i="51"/>
  <c r="J6" i="51"/>
  <c r="I6" i="51"/>
  <c r="G6" i="51"/>
  <c r="E6" i="51"/>
  <c r="K5" i="51"/>
  <c r="J5" i="51"/>
  <c r="I5" i="51"/>
  <c r="E5" i="51"/>
  <c r="G5" i="51" s="1"/>
  <c r="J4" i="51"/>
  <c r="I4" i="51"/>
  <c r="E4" i="51"/>
  <c r="G4" i="51" s="1"/>
  <c r="K3" i="51"/>
  <c r="K4" i="51" s="1"/>
  <c r="J3" i="51"/>
  <c r="I3" i="51"/>
  <c r="E3" i="51"/>
  <c r="G3" i="51" s="1"/>
  <c r="E42" i="50"/>
  <c r="D42" i="50"/>
  <c r="M38" i="50"/>
  <c r="E38" i="50"/>
  <c r="D38" i="50"/>
  <c r="C38" i="50"/>
  <c r="C42" i="50" s="1"/>
  <c r="E43" i="50" s="1"/>
  <c r="M37" i="50"/>
  <c r="E37" i="50"/>
  <c r="D37" i="50"/>
  <c r="C37" i="50"/>
  <c r="M36" i="50"/>
  <c r="E36" i="50"/>
  <c r="D36" i="50"/>
  <c r="C36" i="50"/>
  <c r="M35" i="50"/>
  <c r="M39" i="50" s="1"/>
  <c r="C54" i="50" s="1"/>
  <c r="E35" i="50"/>
  <c r="D35" i="50"/>
  <c r="C35" i="50"/>
  <c r="H7" i="50"/>
  <c r="C22" i="50" s="1"/>
  <c r="O6" i="50"/>
  <c r="M6" i="50"/>
  <c r="H5" i="50"/>
  <c r="M4" i="50"/>
  <c r="O4" i="50" s="1"/>
  <c r="H4" i="50"/>
  <c r="M5" i="50" s="1"/>
  <c r="O5" i="50" s="1"/>
  <c r="H3" i="50"/>
  <c r="H6" i="50" s="1"/>
  <c r="C3" i="50"/>
  <c r="I35" i="50" s="1"/>
  <c r="P14" i="49"/>
  <c r="K6" i="49"/>
  <c r="P3" i="49"/>
  <c r="K3" i="49"/>
  <c r="F3" i="49"/>
  <c r="G5" i="49" s="1"/>
  <c r="K5" i="49" s="1"/>
  <c r="L5" i="49" s="1"/>
  <c r="P5" i="49" s="1"/>
  <c r="C21" i="48"/>
  <c r="C14" i="48"/>
  <c r="P13" i="48"/>
  <c r="Q15" i="48" s="1"/>
  <c r="P2" i="48"/>
  <c r="K2" i="48"/>
  <c r="F2" i="48"/>
  <c r="G4" i="48" s="1"/>
  <c r="K4" i="48" s="1"/>
  <c r="L4" i="48" s="1"/>
  <c r="T20" i="47"/>
  <c r="V20" i="47" s="1"/>
  <c r="S20" i="47"/>
  <c r="M20" i="47"/>
  <c r="P20" i="47" s="1"/>
  <c r="K20" i="47"/>
  <c r="H20" i="47"/>
  <c r="J20" i="47" s="1"/>
  <c r="F20" i="47"/>
  <c r="S19" i="47"/>
  <c r="Q20" i="47" s="1"/>
  <c r="M19" i="47"/>
  <c r="P19" i="47" s="1"/>
  <c r="H19" i="47"/>
  <c r="J19" i="47" s="1"/>
  <c r="S18" i="47"/>
  <c r="Q19" i="47" s="1"/>
  <c r="L18" i="47"/>
  <c r="K18" i="47" s="1"/>
  <c r="H18" i="47"/>
  <c r="F19" i="47" s="1"/>
  <c r="S17" i="47"/>
  <c r="Q18" i="47" s="1"/>
  <c r="Q17" i="47"/>
  <c r="M17" i="47"/>
  <c r="P17" i="47" s="1"/>
  <c r="K17" i="47"/>
  <c r="J17" i="47"/>
  <c r="H17" i="47"/>
  <c r="F18" i="47" s="1"/>
  <c r="S16" i="47"/>
  <c r="M16" i="47"/>
  <c r="P16" i="47" s="1"/>
  <c r="J16" i="47"/>
  <c r="H16" i="47"/>
  <c r="F17" i="47" s="1"/>
  <c r="H15" i="47"/>
  <c r="L15" i="47" s="1"/>
  <c r="R11" i="47"/>
  <c r="M11" i="47"/>
  <c r="O11" i="47" s="1"/>
  <c r="K11" i="47"/>
  <c r="R10" i="47"/>
  <c r="O10" i="47"/>
  <c r="M10" i="47"/>
  <c r="R9" i="47"/>
  <c r="R8" i="47"/>
  <c r="M8" i="47"/>
  <c r="O8" i="47" s="1"/>
  <c r="R7" i="47"/>
  <c r="M7" i="47"/>
  <c r="K8" i="47" s="1"/>
  <c r="G4" i="47"/>
  <c r="H7" i="47" s="1"/>
  <c r="C21" i="46"/>
  <c r="V20" i="46"/>
  <c r="T20" i="46"/>
  <c r="P20" i="46"/>
  <c r="L20" i="46"/>
  <c r="G20" i="46"/>
  <c r="G18" i="46"/>
  <c r="H18" i="46" s="1"/>
  <c r="F18" i="46"/>
  <c r="G19" i="46" s="1"/>
  <c r="D18" i="46"/>
  <c r="C18" i="46"/>
  <c r="D16" i="46"/>
  <c r="E16" i="46" s="1"/>
  <c r="F16" i="46" s="1"/>
  <c r="G16" i="46" s="1"/>
  <c r="H16" i="46" s="1"/>
  <c r="I16" i="46" s="1"/>
  <c r="J16" i="46" s="1"/>
  <c r="G14" i="46"/>
  <c r="H14" i="46" s="1"/>
  <c r="I14" i="46" s="1"/>
  <c r="J14" i="46" s="1"/>
  <c r="E14" i="46"/>
  <c r="D14" i="46" s="1"/>
  <c r="C14" i="46" s="1"/>
  <c r="E9" i="46"/>
  <c r="D9" i="46"/>
  <c r="C9" i="46"/>
  <c r="T5" i="46"/>
  <c r="S5" i="46"/>
  <c r="R5" i="46"/>
  <c r="Q5" i="46"/>
  <c r="P5" i="46"/>
  <c r="T4" i="46"/>
  <c r="S4" i="46"/>
  <c r="R4" i="46"/>
  <c r="Q4" i="46"/>
  <c r="P4" i="46"/>
  <c r="H28" i="45"/>
  <c r="H27" i="45"/>
  <c r="L26" i="45"/>
  <c r="L27" i="45" s="1"/>
  <c r="L28" i="45" s="1"/>
  <c r="J26" i="45"/>
  <c r="J27" i="45" s="1"/>
  <c r="J28" i="45" s="1"/>
  <c r="H26" i="45"/>
  <c r="E26" i="45"/>
  <c r="H25" i="45"/>
  <c r="E25" i="45"/>
  <c r="Q24" i="45"/>
  <c r="H24" i="45"/>
  <c r="E24" i="45"/>
  <c r="Q23" i="45"/>
  <c r="Q22" i="45"/>
  <c r="Z20" i="45"/>
  <c r="X20" i="45"/>
  <c r="V20" i="45"/>
  <c r="T20" i="45"/>
  <c r="K15" i="45" s="1"/>
  <c r="R20" i="45"/>
  <c r="K13" i="45" s="1"/>
  <c r="P20" i="45"/>
  <c r="K16" i="45"/>
  <c r="K14" i="45"/>
  <c r="K12" i="45"/>
  <c r="C10" i="45"/>
  <c r="D12" i="45" s="1"/>
  <c r="K9" i="45"/>
  <c r="D18" i="45" s="1"/>
  <c r="J9" i="45"/>
  <c r="D17" i="45" s="1"/>
  <c r="I9" i="45"/>
  <c r="D16" i="45" s="1"/>
  <c r="D6" i="45"/>
  <c r="D5" i="45"/>
  <c r="D4" i="45"/>
  <c r="F2" i="45"/>
  <c r="C12" i="45" s="1"/>
  <c r="O19" i="44"/>
  <c r="L19" i="44" s="1"/>
  <c r="M19" i="44" s="1"/>
  <c r="N19" i="44"/>
  <c r="K19" i="44"/>
  <c r="H19" i="44" s="1"/>
  <c r="I19" i="44" s="1"/>
  <c r="J19" i="44"/>
  <c r="G19" i="44"/>
  <c r="F19" i="44"/>
  <c r="O18" i="44"/>
  <c r="N18" i="44"/>
  <c r="L18" i="44"/>
  <c r="M18" i="44" s="1"/>
  <c r="K18" i="44"/>
  <c r="J18" i="44"/>
  <c r="H18" i="44"/>
  <c r="I18" i="44" s="1"/>
  <c r="G18" i="44"/>
  <c r="F18" i="44"/>
  <c r="O17" i="44"/>
  <c r="N17" i="44"/>
  <c r="L17" i="44"/>
  <c r="M17" i="44" s="1"/>
  <c r="K17" i="44"/>
  <c r="J17" i="44"/>
  <c r="H17" i="44"/>
  <c r="I17" i="44" s="1"/>
  <c r="G17" i="44"/>
  <c r="F17" i="44"/>
  <c r="C14" i="44"/>
  <c r="C13" i="44"/>
  <c r="Q12" i="44"/>
  <c r="C12" i="44"/>
  <c r="F11" i="44"/>
  <c r="G11" i="44" s="1"/>
  <c r="I11" i="44" s="1"/>
  <c r="E11" i="44"/>
  <c r="C11" i="44"/>
  <c r="P6" i="44"/>
  <c r="R6" i="44" s="1"/>
  <c r="G6" i="44"/>
  <c r="R5" i="44"/>
  <c r="P5" i="44"/>
  <c r="G5" i="44"/>
  <c r="Q13" i="44" s="1"/>
  <c r="P4" i="44"/>
  <c r="R4" i="44" s="1"/>
  <c r="G4" i="44"/>
  <c r="Q11" i="44" s="1"/>
  <c r="R3" i="44"/>
  <c r="P3" i="44"/>
  <c r="G3" i="44"/>
  <c r="Q14" i="44" s="1"/>
  <c r="D24" i="43"/>
  <c r="D23" i="43"/>
  <c r="D22" i="43"/>
  <c r="Q20" i="43"/>
  <c r="D20" i="43"/>
  <c r="E20" i="43" s="1"/>
  <c r="F20" i="43" s="1"/>
  <c r="H20" i="43" s="1"/>
  <c r="Q19" i="43"/>
  <c r="K19" i="43"/>
  <c r="Q18" i="43"/>
  <c r="K18" i="43"/>
  <c r="D18" i="43"/>
  <c r="E18" i="43" s="1"/>
  <c r="F18" i="43" s="1"/>
  <c r="H18" i="43" s="1"/>
  <c r="K17" i="43"/>
  <c r="F17" i="43"/>
  <c r="H17" i="43" s="1"/>
  <c r="E17" i="43"/>
  <c r="D17" i="43"/>
  <c r="D12" i="43"/>
  <c r="C12" i="43"/>
  <c r="D11" i="43"/>
  <c r="C11" i="43"/>
  <c r="D10" i="43"/>
  <c r="C10" i="43"/>
  <c r="D9" i="43"/>
  <c r="C9" i="43"/>
  <c r="K37" i="52" l="1"/>
  <c r="K38" i="52"/>
  <c r="P25" i="52"/>
  <c r="J38" i="52"/>
  <c r="J40" i="52" s="1"/>
  <c r="J42" i="52" s="1"/>
  <c r="B42" i="52"/>
  <c r="Q20" i="52"/>
  <c r="P26" i="52"/>
  <c r="B37" i="52"/>
  <c r="B39" i="52"/>
  <c r="P27" i="52"/>
  <c r="P23" i="52"/>
  <c r="B41" i="52"/>
  <c r="B43" i="52"/>
  <c r="P28" i="52"/>
  <c r="B36" i="52"/>
  <c r="B38" i="52"/>
  <c r="B40" i="52"/>
  <c r="B44" i="52"/>
  <c r="L38" i="51"/>
  <c r="B36" i="51"/>
  <c r="L40" i="51"/>
  <c r="D36" i="51"/>
  <c r="K39" i="51"/>
  <c r="F12" i="51"/>
  <c r="F13" i="51" s="1"/>
  <c r="G21" i="51"/>
  <c r="F22" i="51" s="1"/>
  <c r="F24" i="51" s="1"/>
  <c r="F25" i="51" s="1"/>
  <c r="C25" i="50"/>
  <c r="C26" i="50"/>
  <c r="C23" i="50"/>
  <c r="C24" i="50"/>
  <c r="C28" i="50"/>
  <c r="I38" i="50"/>
  <c r="C21" i="50"/>
  <c r="C27" i="50"/>
  <c r="I36" i="50"/>
  <c r="D3" i="50"/>
  <c r="I37" i="50"/>
  <c r="F41" i="50"/>
  <c r="F43" i="50" s="1"/>
  <c r="E44" i="50" s="1"/>
  <c r="Q5" i="49"/>
  <c r="P6" i="49" s="1"/>
  <c r="Q16" i="49"/>
  <c r="J6" i="49"/>
  <c r="G6" i="49"/>
  <c r="F6" i="49" s="1"/>
  <c r="E6" i="49" s="1"/>
  <c r="I6" i="49"/>
  <c r="F5" i="48"/>
  <c r="P4" i="48"/>
  <c r="M15" i="47"/>
  <c r="J15" i="47"/>
  <c r="J7" i="47"/>
  <c r="F8" i="47"/>
  <c r="M18" i="47"/>
  <c r="O7" i="47"/>
  <c r="F16" i="47"/>
  <c r="T17" i="47"/>
  <c r="V17" i="47" s="1"/>
  <c r="H11" i="47"/>
  <c r="J11" i="47" s="1"/>
  <c r="H9" i="47"/>
  <c r="H10" i="47"/>
  <c r="H8" i="47"/>
  <c r="H6" i="47"/>
  <c r="J18" i="47"/>
  <c r="L16" i="46"/>
  <c r="K14" i="46"/>
  <c r="L14" i="46" s="1"/>
  <c r="M14" i="46" s="1"/>
  <c r="N14" i="46" s="1"/>
  <c r="I18" i="46"/>
  <c r="J18" i="46" s="1"/>
  <c r="C26" i="45"/>
  <c r="R24" i="45" s="1"/>
  <c r="S24" i="45" s="1"/>
  <c r="T24" i="45" s="1"/>
  <c r="U24" i="45" s="1"/>
  <c r="V24" i="45" s="1"/>
  <c r="W24" i="45" s="1"/>
  <c r="X24" i="45" s="1"/>
  <c r="Y24" i="45" s="1"/>
  <c r="Z24" i="45" s="1"/>
  <c r="AA24" i="45" s="1"/>
  <c r="C18" i="45"/>
  <c r="E18" i="45" s="1"/>
  <c r="D10" i="45"/>
  <c r="C11" i="45"/>
  <c r="D11" i="45"/>
  <c r="J11" i="44"/>
  <c r="K11" i="44" s="1"/>
  <c r="M11" i="44" s="1"/>
  <c r="H11" i="44"/>
  <c r="I20" i="43"/>
  <c r="J20" i="43" s="1"/>
  <c r="G20" i="43"/>
  <c r="G17" i="43"/>
  <c r="I17" i="43"/>
  <c r="J17" i="43" s="1"/>
  <c r="M17" i="43" s="1"/>
  <c r="I18" i="43"/>
  <c r="J18" i="43" s="1"/>
  <c r="M18" i="43" s="1"/>
  <c r="G18" i="43"/>
  <c r="K40" i="52" l="1"/>
  <c r="K42" i="52" s="1"/>
  <c r="F15" i="51"/>
  <c r="F16" i="51"/>
  <c r="F14" i="51"/>
  <c r="L39" i="51"/>
  <c r="L41" i="51" s="1"/>
  <c r="L43" i="51" s="1"/>
  <c r="C36" i="51"/>
  <c r="E39" i="51" s="1"/>
  <c r="E38" i="51"/>
  <c r="E40" i="51"/>
  <c r="E46" i="50"/>
  <c r="F50" i="50" s="1"/>
  <c r="H34" i="50" s="1"/>
  <c r="D46" i="50"/>
  <c r="F49" i="50" s="1"/>
  <c r="G34" i="50" s="1"/>
  <c r="C46" i="50"/>
  <c r="F48" i="50" s="1"/>
  <c r="F34" i="50" s="1"/>
  <c r="D26" i="50"/>
  <c r="E26" i="50" s="1"/>
  <c r="F26" i="50" s="1"/>
  <c r="G26" i="50" s="1"/>
  <c r="E3" i="50"/>
  <c r="N7" i="50" s="1"/>
  <c r="D23" i="50"/>
  <c r="E23" i="50" s="1"/>
  <c r="F23" i="50" s="1"/>
  <c r="G23" i="50" s="1"/>
  <c r="D27" i="50"/>
  <c r="E27" i="50" s="1"/>
  <c r="F27" i="50" s="1"/>
  <c r="G27" i="50" s="1"/>
  <c r="H27" i="50" s="1"/>
  <c r="D24" i="50"/>
  <c r="E24" i="50" s="1"/>
  <c r="F24" i="50" s="1"/>
  <c r="G24" i="50" s="1"/>
  <c r="D21" i="50"/>
  <c r="E21" i="50" s="1"/>
  <c r="F21" i="50" s="1"/>
  <c r="G21" i="50" s="1"/>
  <c r="H21" i="50" s="1"/>
  <c r="D28" i="50"/>
  <c r="E28" i="50" s="1"/>
  <c r="F28" i="50" s="1"/>
  <c r="G28" i="50" s="1"/>
  <c r="D25" i="50"/>
  <c r="E25" i="50" s="1"/>
  <c r="F25" i="50" s="1"/>
  <c r="G25" i="50" s="1"/>
  <c r="H25" i="50" s="1"/>
  <c r="D22" i="50"/>
  <c r="E22" i="50" s="1"/>
  <c r="F22" i="50" s="1"/>
  <c r="G22" i="50" s="1"/>
  <c r="S16" i="49"/>
  <c r="P16" i="49"/>
  <c r="O6" i="49"/>
  <c r="N6" i="49"/>
  <c r="Q6" i="49"/>
  <c r="P16" i="48"/>
  <c r="Q4" i="48"/>
  <c r="G5" i="48"/>
  <c r="E5" i="48"/>
  <c r="F7" i="47"/>
  <c r="L6" i="47"/>
  <c r="K19" i="47"/>
  <c r="P18" i="47"/>
  <c r="J8" i="47"/>
  <c r="F9" i="47"/>
  <c r="J10" i="47"/>
  <c r="F11" i="47"/>
  <c r="L9" i="47"/>
  <c r="F10" i="47"/>
  <c r="R15" i="47"/>
  <c r="K16" i="47"/>
  <c r="L19" i="46"/>
  <c r="K18" i="46"/>
  <c r="L18" i="46" s="1"/>
  <c r="P16" i="46"/>
  <c r="O14" i="46"/>
  <c r="P14" i="46" s="1"/>
  <c r="Q14" i="46" s="1"/>
  <c r="R14" i="46" s="1"/>
  <c r="K16" i="46"/>
  <c r="M16" i="46"/>
  <c r="N16" i="46" s="1"/>
  <c r="M18" i="46" s="1"/>
  <c r="N18" i="46" s="1"/>
  <c r="C16" i="45"/>
  <c r="E16" i="45" s="1"/>
  <c r="C24" i="45"/>
  <c r="C25" i="45"/>
  <c r="R23" i="45" s="1"/>
  <c r="S23" i="45" s="1"/>
  <c r="T23" i="45" s="1"/>
  <c r="U23" i="45" s="1"/>
  <c r="V23" i="45" s="1"/>
  <c r="W23" i="45" s="1"/>
  <c r="X23" i="45" s="1"/>
  <c r="Y23" i="45" s="1"/>
  <c r="Z23" i="45" s="1"/>
  <c r="AA23" i="45" s="1"/>
  <c r="C17" i="45"/>
  <c r="E17" i="45" s="1"/>
  <c r="N11" i="44"/>
  <c r="O11" i="44" s="1"/>
  <c r="L11" i="44"/>
  <c r="N17" i="43"/>
  <c r="O17" i="43" s="1"/>
  <c r="P17" i="43" s="1"/>
  <c r="L17" i="43"/>
  <c r="C19" i="43"/>
  <c r="D19" i="43" s="1"/>
  <c r="E19" i="43" s="1"/>
  <c r="F19" i="43" s="1"/>
  <c r="H19" i="43" s="1"/>
  <c r="N18" i="43"/>
  <c r="O18" i="43" s="1"/>
  <c r="L18" i="43"/>
  <c r="H23" i="50" l="1"/>
  <c r="H29" i="50" s="1"/>
  <c r="F36" i="50"/>
  <c r="F38" i="50"/>
  <c r="F35" i="50"/>
  <c r="F37" i="50"/>
  <c r="N11" i="50"/>
  <c r="N10" i="50"/>
  <c r="N9" i="50"/>
  <c r="G38" i="50"/>
  <c r="G35" i="50"/>
  <c r="G37" i="50"/>
  <c r="G36" i="50"/>
  <c r="H38" i="50"/>
  <c r="H35" i="50"/>
  <c r="H37" i="50"/>
  <c r="H36" i="50"/>
  <c r="P7" i="49"/>
  <c r="R6" i="49"/>
  <c r="L7" i="49"/>
  <c r="K7" i="49" s="1"/>
  <c r="P5" i="48"/>
  <c r="K5" i="48"/>
  <c r="O16" i="48"/>
  <c r="Q16" i="48"/>
  <c r="J6" i="47"/>
  <c r="M6" i="47"/>
  <c r="S15" i="47"/>
  <c r="P15" i="47"/>
  <c r="K9" i="47"/>
  <c r="J9" i="47"/>
  <c r="M9" i="47"/>
  <c r="Q16" i="46"/>
  <c r="R16" i="46" s="1"/>
  <c r="S16" i="46" s="1"/>
  <c r="T16" i="46" s="1"/>
  <c r="U16" i="46" s="1"/>
  <c r="V16" i="46" s="1"/>
  <c r="V19" i="46" s="1"/>
  <c r="O16" i="46"/>
  <c r="P19" i="46"/>
  <c r="O18" i="46"/>
  <c r="P18" i="46" s="1"/>
  <c r="Q18" i="46" s="1"/>
  <c r="R18" i="46" s="1"/>
  <c r="R22" i="45"/>
  <c r="S22" i="45" s="1"/>
  <c r="T22" i="45" s="1"/>
  <c r="U22" i="45" s="1"/>
  <c r="V22" i="45" s="1"/>
  <c r="W22" i="45" s="1"/>
  <c r="X22" i="45" s="1"/>
  <c r="Y22" i="45" s="1"/>
  <c r="Z22" i="45" s="1"/>
  <c r="AA22" i="45" s="1"/>
  <c r="AA25" i="45" s="1"/>
  <c r="J17" i="45" s="1"/>
  <c r="C27" i="45"/>
  <c r="C29" i="45" s="1"/>
  <c r="L12" i="44"/>
  <c r="M12" i="44" s="1"/>
  <c r="N12" i="44" s="1"/>
  <c r="O12" i="44" s="1"/>
  <c r="P11" i="44"/>
  <c r="J12" i="44"/>
  <c r="P18" i="43"/>
  <c r="Q22" i="43" s="1"/>
  <c r="L19" i="43"/>
  <c r="M19" i="43" s="1"/>
  <c r="N19" i="43" s="1"/>
  <c r="O19" i="43" s="1"/>
  <c r="I19" i="43"/>
  <c r="J19" i="43" s="1"/>
  <c r="G19" i="43"/>
  <c r="N14" i="50" l="1"/>
  <c r="N13" i="50"/>
  <c r="N15" i="50"/>
  <c r="J37" i="50"/>
  <c r="K37" i="50" s="1"/>
  <c r="N37" i="50" s="1"/>
  <c r="C59" i="50" s="1"/>
  <c r="J38" i="50"/>
  <c r="K38" i="50" s="1"/>
  <c r="N38" i="50" s="1"/>
  <c r="C60" i="50" s="1"/>
  <c r="J35" i="50"/>
  <c r="K35" i="50" s="1"/>
  <c r="N35" i="50" s="1"/>
  <c r="C57" i="50" s="1"/>
  <c r="J36" i="50"/>
  <c r="K36" i="50" s="1"/>
  <c r="N36" i="50" s="1"/>
  <c r="C58" i="50" s="1"/>
  <c r="J7" i="49"/>
  <c r="G7" i="49"/>
  <c r="F7" i="49" s="1"/>
  <c r="E7" i="49" s="1"/>
  <c r="Q17" i="49"/>
  <c r="Q7" i="49"/>
  <c r="O7" i="49"/>
  <c r="N7" i="49"/>
  <c r="Q5" i="48"/>
  <c r="O5" i="48"/>
  <c r="P17" i="48"/>
  <c r="J5" i="48"/>
  <c r="L5" i="48"/>
  <c r="F6" i="48" s="1"/>
  <c r="I5" i="48"/>
  <c r="K10" i="47"/>
  <c r="O9" i="47"/>
  <c r="Q16" i="47"/>
  <c r="T15" i="47"/>
  <c r="K7" i="47"/>
  <c r="Q6" i="47"/>
  <c r="T19" i="46"/>
  <c r="Z20" i="46" s="1"/>
  <c r="S18" i="46"/>
  <c r="T18" i="46" s="1"/>
  <c r="F12" i="44"/>
  <c r="K12" i="44"/>
  <c r="L13" i="44"/>
  <c r="M13" i="44" s="1"/>
  <c r="N13" i="44" s="1"/>
  <c r="O13" i="44" s="1"/>
  <c r="J13" i="44"/>
  <c r="P12" i="44"/>
  <c r="L20" i="43"/>
  <c r="M20" i="43" s="1"/>
  <c r="N20" i="43" s="1"/>
  <c r="O20" i="43" s="1"/>
  <c r="P20" i="43" s="1"/>
  <c r="K20" i="43"/>
  <c r="P19" i="43"/>
  <c r="P8" i="49" l="1"/>
  <c r="L8" i="49"/>
  <c r="K8" i="49" s="1"/>
  <c r="P17" i="49"/>
  <c r="O17" i="49" s="1"/>
  <c r="S17" i="49"/>
  <c r="I7" i="49"/>
  <c r="O17" i="48"/>
  <c r="Q17" i="48"/>
  <c r="G6" i="48"/>
  <c r="E6" i="48"/>
  <c r="P6" i="48"/>
  <c r="R5" i="48"/>
  <c r="K6" i="48"/>
  <c r="N5" i="48"/>
  <c r="R6" i="47"/>
  <c r="O6" i="47"/>
  <c r="V21" i="47"/>
  <c r="V15" i="47"/>
  <c r="F13" i="44"/>
  <c r="K13" i="44"/>
  <c r="I13" i="44"/>
  <c r="H13" i="44" s="1"/>
  <c r="L14" i="44"/>
  <c r="M14" i="44" s="1"/>
  <c r="N14" i="44" s="1"/>
  <c r="O14" i="44" s="1"/>
  <c r="P14" i="44" s="1"/>
  <c r="R16" i="44" s="1"/>
  <c r="J14" i="44"/>
  <c r="P13" i="44"/>
  <c r="E12" i="44"/>
  <c r="D12" i="44" s="1"/>
  <c r="G12" i="44"/>
  <c r="I12" i="44" s="1"/>
  <c r="H12" i="44" s="1"/>
  <c r="J8" i="49" l="1"/>
  <c r="G8" i="49"/>
  <c r="F8" i="49" s="1"/>
  <c r="E8" i="49" s="1"/>
  <c r="O8" i="49"/>
  <c r="N8" i="49"/>
  <c r="Q8" i="49"/>
  <c r="I6" i="48"/>
  <c r="L6" i="48"/>
  <c r="F7" i="48" s="1"/>
  <c r="J6" i="48"/>
  <c r="Q6" i="48"/>
  <c r="O6" i="48"/>
  <c r="N6" i="48"/>
  <c r="G13" i="44"/>
  <c r="E13" i="44"/>
  <c r="D13" i="44" s="1"/>
  <c r="F14" i="44"/>
  <c r="K14" i="44"/>
  <c r="L9" i="49" l="1"/>
  <c r="K9" i="49" s="1"/>
  <c r="P9" i="49"/>
  <c r="R8" i="49"/>
  <c r="I8" i="49"/>
  <c r="P7" i="48"/>
  <c r="K7" i="48"/>
  <c r="E7" i="48"/>
  <c r="G7" i="48"/>
  <c r="G14" i="44"/>
  <c r="I14" i="44" s="1"/>
  <c r="H14" i="44" s="1"/>
  <c r="E14" i="44"/>
  <c r="D14" i="44" s="1"/>
  <c r="Q9" i="49" l="1"/>
  <c r="Q18" i="49"/>
  <c r="O9" i="49"/>
  <c r="N9" i="49"/>
  <c r="J9" i="49"/>
  <c r="G9" i="49"/>
  <c r="F9" i="49" s="1"/>
  <c r="E9" i="49" s="1"/>
  <c r="O7" i="48"/>
  <c r="Q7" i="48"/>
  <c r="L7" i="48"/>
  <c r="F8" i="48" s="1"/>
  <c r="I7" i="48"/>
  <c r="J7" i="48"/>
  <c r="C9" i="35"/>
  <c r="C9" i="34"/>
  <c r="C9" i="33"/>
  <c r="C9" i="32"/>
  <c r="C9" i="31"/>
  <c r="C3" i="25"/>
  <c r="C4" i="25" s="1"/>
  <c r="D5" i="25" s="1"/>
  <c r="E5" i="25" s="1"/>
  <c r="F4" i="24"/>
  <c r="E4" i="24"/>
  <c r="F3" i="24"/>
  <c r="E3" i="24"/>
  <c r="F2" i="24"/>
  <c r="F5" i="24" s="1"/>
  <c r="E2" i="24"/>
  <c r="E5" i="24" s="1"/>
  <c r="C6" i="24" s="1"/>
  <c r="D7" i="24" s="1"/>
  <c r="E7" i="24" s="1"/>
  <c r="C6" i="23"/>
  <c r="C7" i="23" s="1"/>
  <c r="D8" i="23" s="1"/>
  <c r="E8" i="23" s="1"/>
  <c r="C4" i="22"/>
  <c r="C5" i="22" s="1"/>
  <c r="D6" i="22" s="1"/>
  <c r="E6" i="22" s="1"/>
  <c r="C3" i="22"/>
  <c r="C7" i="21"/>
  <c r="E7" i="21" s="1"/>
  <c r="D8" i="21" s="1"/>
  <c r="E8" i="21" s="1"/>
  <c r="E5" i="21"/>
  <c r="E4" i="21"/>
  <c r="E3" i="21"/>
  <c r="E6" i="21" s="1"/>
  <c r="E2" i="21"/>
  <c r="E12" i="2"/>
  <c r="E13" i="2" s="1"/>
  <c r="E14" i="2" s="1"/>
  <c r="E11" i="2"/>
  <c r="E10" i="2"/>
  <c r="D11" i="2"/>
  <c r="D12" i="2"/>
  <c r="D13" i="2"/>
  <c r="D14" i="2"/>
  <c r="D10" i="2"/>
  <c r="C15" i="2"/>
  <c r="C14" i="2"/>
  <c r="C13" i="2"/>
  <c r="C12" i="2"/>
  <c r="C11" i="2"/>
  <c r="C10" i="2"/>
  <c r="C19" i="1"/>
  <c r="C18" i="1"/>
  <c r="C17" i="1"/>
  <c r="C16" i="1"/>
  <c r="C13" i="1"/>
  <c r="C12" i="1"/>
  <c r="J9" i="1"/>
  <c r="I9" i="1"/>
  <c r="G9" i="1"/>
  <c r="E9" i="1"/>
  <c r="C9" i="1"/>
  <c r="C6" i="1"/>
  <c r="B48" i="8"/>
  <c r="C48" i="8" s="1"/>
  <c r="C49" i="8" s="1"/>
  <c r="C50" i="8" s="1"/>
  <c r="C51" i="8" s="1"/>
  <c r="C52" i="8" s="1"/>
  <c r="C53" i="8" s="1"/>
  <c r="C54" i="8" s="1"/>
  <c r="C55" i="8" s="1"/>
  <c r="B49" i="8"/>
  <c r="B50" i="8"/>
  <c r="B51" i="8"/>
  <c r="B52" i="8"/>
  <c r="B53" i="8"/>
  <c r="B54" i="8"/>
  <c r="B55" i="8"/>
  <c r="C36" i="8"/>
  <c r="D36" i="8" s="1"/>
  <c r="C37" i="8"/>
  <c r="D37" i="8"/>
  <c r="D38" i="8" s="1"/>
  <c r="D39" i="8" s="1"/>
  <c r="D40" i="8" s="1"/>
  <c r="D41" i="8" s="1"/>
  <c r="D42" i="8" s="1"/>
  <c r="D43" i="8" s="1"/>
  <c r="C38" i="8"/>
  <c r="C39" i="8"/>
  <c r="C40" i="8"/>
  <c r="C41" i="8"/>
  <c r="C42" i="8"/>
  <c r="C43" i="8"/>
  <c r="H20" i="8"/>
  <c r="E5" i="8"/>
  <c r="E4" i="8"/>
  <c r="E6" i="8" s="1"/>
  <c r="E9" i="8"/>
  <c r="E7" i="8"/>
  <c r="B7" i="5"/>
  <c r="E6" i="5"/>
  <c r="C2" i="5"/>
  <c r="D2" i="5" s="1"/>
  <c r="D3" i="5" s="1"/>
  <c r="D4" i="5" s="1"/>
  <c r="D5" i="5" s="1"/>
  <c r="C3" i="5"/>
  <c r="C4" i="5"/>
  <c r="C5" i="5"/>
  <c r="I9" i="49" l="1"/>
  <c r="S18" i="49"/>
  <c r="P18" i="49"/>
  <c r="O18" i="49" s="1"/>
  <c r="P10" i="49"/>
  <c r="L10" i="49"/>
  <c r="K10" i="49" s="1"/>
  <c r="G8" i="48"/>
  <c r="E8" i="48"/>
  <c r="K8" i="48"/>
  <c r="P8" i="48"/>
  <c r="R7" i="48"/>
  <c r="N7" i="48"/>
  <c r="E10" i="8"/>
  <c r="E11" i="8" s="1"/>
  <c r="E13" i="8" s="1"/>
  <c r="F13" i="8" s="1"/>
  <c r="E14" i="8" s="1"/>
  <c r="F14" i="8" s="1"/>
  <c r="E15" i="8" s="1"/>
  <c r="F15" i="8" s="1"/>
  <c r="E16" i="8" s="1"/>
  <c r="F16" i="8" s="1"/>
  <c r="E17" i="8" s="1"/>
  <c r="F17" i="8" s="1"/>
  <c r="E18" i="8" s="1"/>
  <c r="F18" i="8" s="1"/>
  <c r="E19" i="8" s="1"/>
  <c r="F19" i="8" s="1"/>
  <c r="E8" i="8"/>
  <c r="Q10" i="49" l="1"/>
  <c r="R10" i="49" s="1"/>
  <c r="O10" i="49"/>
  <c r="N10" i="49"/>
  <c r="G10" i="49"/>
  <c r="F10" i="49" s="1"/>
  <c r="E10" i="49" s="1"/>
  <c r="O21" i="49" s="1"/>
  <c r="I10" i="49"/>
  <c r="O20" i="49" s="1"/>
  <c r="O22" i="49" s="1"/>
  <c r="J10" i="49"/>
  <c r="Q8" i="48"/>
  <c r="O8" i="48"/>
  <c r="J8" i="48"/>
  <c r="I8" i="48"/>
  <c r="L8" i="48"/>
  <c r="F9" i="48" s="1"/>
  <c r="E9" i="48" l="1"/>
  <c r="G9" i="48"/>
  <c r="N8" i="48"/>
  <c r="P9" i="48"/>
  <c r="K9" i="48"/>
  <c r="L9" i="48" l="1"/>
  <c r="I9" i="48"/>
  <c r="J9" i="48"/>
  <c r="O9" i="48"/>
  <c r="N9" i="48"/>
  <c r="Q9" i="48"/>
  <c r="R9" i="48" s="1"/>
  <c r="S11" i="48" s="1"/>
  <c r="O20" i="48"/>
  <c r="O19" i="48" l="1"/>
  <c r="O21" i="48" s="1"/>
</calcChain>
</file>

<file path=xl/sharedStrings.xml><?xml version="1.0" encoding="utf-8"?>
<sst xmlns="http://schemas.openxmlformats.org/spreadsheetml/2006/main" count="1060" uniqueCount="492">
  <si>
    <t>Costo por fallos Externos</t>
  </si>
  <si>
    <t>Costo por Fallos Internos</t>
  </si>
  <si>
    <t>Valoración</t>
  </si>
  <si>
    <t>Prevención</t>
  </si>
  <si>
    <t>Total Costos de Calidad</t>
  </si>
  <si>
    <t>Costo de Ventas</t>
  </si>
  <si>
    <t>Gastos Administrativos y Ventas</t>
  </si>
  <si>
    <t>Total de Activos</t>
  </si>
  <si>
    <t>Total</t>
  </si>
  <si>
    <t>d</t>
  </si>
  <si>
    <t>Temperatura promedio de 60 refrigeradores por un lapso de 24 horas.</t>
  </si>
  <si>
    <t>Max</t>
  </si>
  <si>
    <t>Min</t>
  </si>
  <si>
    <t>Rango</t>
  </si>
  <si>
    <t>k</t>
  </si>
  <si>
    <t>i</t>
  </si>
  <si>
    <t>Rp</t>
  </si>
  <si>
    <t>md</t>
  </si>
  <si>
    <t>Límite Inferior</t>
  </si>
  <si>
    <t>Límite Superior</t>
  </si>
  <si>
    <t>Frecuencia</t>
  </si>
  <si>
    <t>4,908-4,935</t>
  </si>
  <si>
    <t>4,935-4,962</t>
  </si>
  <si>
    <t>4,962-4,989</t>
  </si>
  <si>
    <t>4,989-5,016</t>
  </si>
  <si>
    <t>5,016-5,043</t>
  </si>
  <si>
    <t>5,043-5,070</t>
  </si>
  <si>
    <t>5,070-5,097</t>
  </si>
  <si>
    <t>TIPO DE FALLA</t>
  </si>
  <si>
    <t>FRECUENCIA</t>
  </si>
  <si>
    <t>PORCENTAJE</t>
  </si>
  <si>
    <t>PORCENTAJE ACUMULADO</t>
  </si>
  <si>
    <t>( REDONDEADO )</t>
  </si>
  <si>
    <t xml:space="preserve">1. Fuga de agua en mangueras </t>
  </si>
  <si>
    <t>2. Manijas rotas</t>
  </si>
  <si>
    <t>3. Puerta no cierra</t>
  </si>
  <si>
    <t xml:space="preserve">4. Bisagras vencidas </t>
  </si>
  <si>
    <t xml:space="preserve">5. No produce hielo </t>
  </si>
  <si>
    <t>6. Soportes de charolas rotos</t>
  </si>
  <si>
    <t>7. Falla de compresor</t>
  </si>
  <si>
    <t>8. Temperatura</t>
  </si>
  <si>
    <t>TOTAL:</t>
  </si>
  <si>
    <t>MANO DE OBRA</t>
  </si>
  <si>
    <t>MATERIALES</t>
  </si>
  <si>
    <t>METODO</t>
  </si>
  <si>
    <t>MAQUINARIA</t>
  </si>
  <si>
    <t>MEDICION</t>
  </si>
  <si>
    <t>MEDIO AMBIENTE</t>
  </si>
  <si>
    <t xml:space="preserve"> No capacitada.</t>
  </si>
  <si>
    <t xml:space="preserve"> Insuficientes.</t>
  </si>
  <si>
    <t xml:space="preserve"> Inexistente.</t>
  </si>
  <si>
    <t xml:space="preserve"> Obsoleta.</t>
  </si>
  <si>
    <t>No se mide</t>
  </si>
  <si>
    <t>No controlado</t>
  </si>
  <si>
    <t xml:space="preserve"> Insuficiente.</t>
  </si>
  <si>
    <t xml:space="preserve"> De mala calidad.</t>
  </si>
  <si>
    <t xml:space="preserve"> Inadecuado.</t>
  </si>
  <si>
    <t xml:space="preserve"> Mal calibrada.</t>
  </si>
  <si>
    <t>No se tienen los medios para medir</t>
  </si>
  <si>
    <t>Excesiva humedad</t>
  </si>
  <si>
    <t>Desmotivación</t>
  </si>
  <si>
    <t xml:space="preserve"> Almacenamiento inadecuado.</t>
  </si>
  <si>
    <t xml:space="preserve"> No estandarizado.</t>
  </si>
  <si>
    <t xml:space="preserve"> No sistema formal de Mantenimiento.</t>
  </si>
  <si>
    <t>No se da seguimiento a las desviaciones detectadas</t>
  </si>
  <si>
    <t>Falta limpieza</t>
  </si>
  <si>
    <t>n</t>
  </si>
  <si>
    <t>m</t>
  </si>
  <si>
    <t>A2</t>
  </si>
  <si>
    <t>Costos por fallos internos</t>
  </si>
  <si>
    <t>Costos por fallos externos</t>
  </si>
  <si>
    <t>Costos de valoración</t>
  </si>
  <si>
    <t>Costos de prevención</t>
  </si>
  <si>
    <t>Detalle</t>
  </si>
  <si>
    <t>Costo</t>
  </si>
  <si>
    <t>Entrenamiento en calidad</t>
  </si>
  <si>
    <t>Programa de Capacitación</t>
  </si>
  <si>
    <t>Pruebas en el campo</t>
  </si>
  <si>
    <t>Medición de equipos</t>
  </si>
  <si>
    <t>Desperdicios</t>
  </si>
  <si>
    <t xml:space="preserve">Inspección </t>
  </si>
  <si>
    <t>Mantenimiento en el campo</t>
  </si>
  <si>
    <t>Re proceso</t>
  </si>
  <si>
    <t>Costo de garantía</t>
  </si>
  <si>
    <t>Devoluciones</t>
  </si>
  <si>
    <t>Pruebas de laboratorio</t>
  </si>
  <si>
    <t>Entregas tardías</t>
  </si>
  <si>
    <t>Calidad deficiente</t>
  </si>
  <si>
    <t>Producto defectuoso</t>
  </si>
  <si>
    <t>Totales</t>
  </si>
  <si>
    <t>1- Comparando con ventas</t>
  </si>
  <si>
    <t>2- Comparando con capital</t>
  </si>
  <si>
    <t>Primero comunicar el impacto de la baja calidad en la empresa</t>
  </si>
  <si>
    <t>Costos por fallos</t>
  </si>
  <si>
    <t>Segundo explicar la mala distribución de los costos que demuestra una baja inversión en el sistema de calidad como causa raíz del problema</t>
  </si>
  <si>
    <t>Defectos en el proceso de laminado</t>
  </si>
  <si>
    <t>No hay suficiente cobre en el depósito electrolítico</t>
  </si>
  <si>
    <t>Se presenta separación en el electro depósito</t>
  </si>
  <si>
    <t>Deficiencias en el proceso de grabado</t>
  </si>
  <si>
    <t>Cobertura electrolítica insuficiente</t>
  </si>
  <si>
    <t>IIIIIIIIIIII</t>
  </si>
  <si>
    <t>IIIIII</t>
  </si>
  <si>
    <t>IIIIIIIIIIIIIIIIIIIIIIIIII</t>
  </si>
  <si>
    <t>IIII</t>
  </si>
  <si>
    <t>II</t>
  </si>
  <si>
    <t>Hoja de Verificación. Causas de rechazo de las Tarjetas de Circuito</t>
  </si>
  <si>
    <t>Falta de cobre en depósito</t>
  </si>
  <si>
    <t>Causa</t>
  </si>
  <si>
    <t>Porcentaje</t>
  </si>
  <si>
    <t>Cobertura insuficiente</t>
  </si>
  <si>
    <t>Defectos en laminado</t>
  </si>
  <si>
    <t xml:space="preserve">Separación en electro </t>
  </si>
  <si>
    <t>Deficiencias en grabado</t>
  </si>
  <si>
    <t>Acumulado</t>
  </si>
  <si>
    <t>Vi</t>
  </si>
  <si>
    <t>ppm =</t>
  </si>
  <si>
    <t>Nivel sigma =</t>
  </si>
  <si>
    <t>Jornada</t>
  </si>
  <si>
    <t>Meta</t>
  </si>
  <si>
    <t>Retiraron</t>
  </si>
  <si>
    <t>Vi =</t>
  </si>
  <si>
    <t>ppm=</t>
  </si>
  <si>
    <t>Desperdicio</t>
  </si>
  <si>
    <t>Respuesta: 120</t>
  </si>
  <si>
    <t>Respuesta: 20</t>
  </si>
  <si>
    <t>Respuesta: 378</t>
  </si>
  <si>
    <t>Respuesta: 324</t>
  </si>
  <si>
    <t>Respuesta: 72</t>
  </si>
  <si>
    <t>Ruta de Aprovechamiento</t>
  </si>
  <si>
    <t>Maq 1</t>
  </si>
  <si>
    <t>Maq 2</t>
  </si>
  <si>
    <t>Ensamble 1</t>
  </si>
  <si>
    <t>Ensamble 2</t>
  </si>
  <si>
    <t>Ensamble 3</t>
  </si>
  <si>
    <t>No. Actividad</t>
  </si>
  <si>
    <t>a</t>
  </si>
  <si>
    <t>b</t>
  </si>
  <si>
    <t>c</t>
  </si>
  <si>
    <t>e</t>
  </si>
  <si>
    <t>f</t>
  </si>
  <si>
    <t>g</t>
  </si>
  <si>
    <t>h</t>
  </si>
  <si>
    <t>j</t>
  </si>
  <si>
    <t>l</t>
  </si>
  <si>
    <t>o</t>
  </si>
  <si>
    <t>p</t>
  </si>
  <si>
    <t>q</t>
  </si>
  <si>
    <t>R/76</t>
  </si>
  <si>
    <t>Tiempo en min</t>
  </si>
  <si>
    <t>Predecesora</t>
  </si>
  <si>
    <t xml:space="preserve"> --</t>
  </si>
  <si>
    <t>a,b,c</t>
  </si>
  <si>
    <t>e,g</t>
  </si>
  <si>
    <t>h,i</t>
  </si>
  <si>
    <t>j,k</t>
  </si>
  <si>
    <t>n,o</t>
  </si>
  <si>
    <t>R/13</t>
  </si>
  <si>
    <t>b,c</t>
  </si>
  <si>
    <t>e,f</t>
  </si>
  <si>
    <t>f,c</t>
  </si>
  <si>
    <t>R/200</t>
  </si>
  <si>
    <t>b,e</t>
  </si>
  <si>
    <t>d,f</t>
  </si>
  <si>
    <t>c,g</t>
  </si>
  <si>
    <t>R/32</t>
  </si>
  <si>
    <t>a,b</t>
  </si>
  <si>
    <t>c,d</t>
  </si>
  <si>
    <t>f,g</t>
  </si>
  <si>
    <t>l,m</t>
  </si>
  <si>
    <t>R/12</t>
  </si>
  <si>
    <t>5,3</t>
  </si>
  <si>
    <t>6,8</t>
  </si>
  <si>
    <t>6,7</t>
  </si>
  <si>
    <t>9,10</t>
  </si>
  <si>
    <t>Producto</t>
  </si>
  <si>
    <t>L1</t>
  </si>
  <si>
    <t>L2</t>
  </si>
  <si>
    <t>L3</t>
  </si>
  <si>
    <t>Fecha Prometida</t>
  </si>
  <si>
    <t>Alistamientos</t>
  </si>
  <si>
    <t>A</t>
  </si>
  <si>
    <t>Línea</t>
  </si>
  <si>
    <t>B</t>
  </si>
  <si>
    <t>C</t>
  </si>
  <si>
    <t>D</t>
  </si>
  <si>
    <t>Johnson</t>
  </si>
  <si>
    <t>LA</t>
  </si>
  <si>
    <t>LB</t>
  </si>
  <si>
    <t>Orden</t>
  </si>
  <si>
    <t>DBR/JOHNSON</t>
  </si>
  <si>
    <t>A1</t>
  </si>
  <si>
    <t>OP1</t>
  </si>
  <si>
    <t>OP2</t>
  </si>
  <si>
    <t>BUFFER</t>
  </si>
  <si>
    <t>A3</t>
  </si>
  <si>
    <t>OP3</t>
  </si>
  <si>
    <t>FF</t>
  </si>
  <si>
    <t>FP</t>
  </si>
  <si>
    <t>Lcb B=</t>
  </si>
  <si>
    <t>Retraso promedio</t>
  </si>
  <si>
    <t>Lcb A=</t>
  </si>
  <si>
    <t>Lcb D=</t>
  </si>
  <si>
    <t>Q</t>
  </si>
  <si>
    <t xml:space="preserve">                  Tiempos en Minutos
         L1                  L2                  L3 </t>
  </si>
  <si>
    <t>Fecha Entrega en días</t>
  </si>
  <si>
    <t>Alistamientos en horas</t>
  </si>
  <si>
    <t>MINSOP</t>
  </si>
  <si>
    <t>Fecha proceso</t>
  </si>
  <si>
    <t>Fecha entrega</t>
  </si>
  <si>
    <t>Holgura</t>
  </si>
  <si>
    <t>Secuencia</t>
  </si>
  <si>
    <t>Capacidad</t>
  </si>
  <si>
    <t>Unds/hr</t>
  </si>
  <si>
    <t>R</t>
  </si>
  <si>
    <t>Órdenes retrasadas:</t>
  </si>
  <si>
    <t>Días</t>
  </si>
  <si>
    <t>Hrs</t>
  </si>
  <si>
    <t>Pedidos</t>
  </si>
  <si>
    <t>Pronóstico</t>
  </si>
  <si>
    <t>Diario</t>
  </si>
  <si>
    <t>Ch</t>
  </si>
  <si>
    <t>Clientes</t>
  </si>
  <si>
    <t>Blanco</t>
  </si>
  <si>
    <t>Gris</t>
  </si>
  <si>
    <t>Negro</t>
  </si>
  <si>
    <t>Universal</t>
  </si>
  <si>
    <t>Lehman</t>
  </si>
  <si>
    <t>Siman</t>
  </si>
  <si>
    <t>Econo</t>
  </si>
  <si>
    <t>Cemaco</t>
  </si>
  <si>
    <t>Ciclo fabricación</t>
  </si>
  <si>
    <t>Heijunka</t>
  </si>
  <si>
    <t>NNNNNN GG B</t>
  </si>
  <si>
    <t>Despacho</t>
  </si>
  <si>
    <t>2 blancos y 5 negros</t>
  </si>
  <si>
    <t>1 blanco, 4 grises y 5 negros</t>
  </si>
  <si>
    <t>3 grises y 10 negros</t>
  </si>
  <si>
    <t>Programación</t>
  </si>
  <si>
    <t>Montaje</t>
  </si>
  <si>
    <t>Ventas de hoy</t>
  </si>
  <si>
    <t xml:space="preserve">Producción </t>
  </si>
  <si>
    <t>2 grises y 10 negros</t>
  </si>
  <si>
    <t>1 blanco y 3 negros</t>
  </si>
  <si>
    <t>Costo de conservación</t>
  </si>
  <si>
    <t>Alisto/und</t>
  </si>
  <si>
    <t>Operación 1</t>
  </si>
  <si>
    <t>Operación 2</t>
  </si>
  <si>
    <t>Inventario</t>
  </si>
  <si>
    <t>Hay</t>
  </si>
  <si>
    <t>Quedan</t>
  </si>
  <si>
    <t>Entrada</t>
  </si>
  <si>
    <t>Salida</t>
  </si>
  <si>
    <t>Zona almacén</t>
  </si>
  <si>
    <t>kanban</t>
  </si>
  <si>
    <t>T std</t>
  </si>
  <si>
    <t>T carga</t>
  </si>
  <si>
    <t>Arranca lleno</t>
  </si>
  <si>
    <t>KP</t>
  </si>
  <si>
    <t>KT</t>
  </si>
  <si>
    <t>Llega señal</t>
  </si>
  <si>
    <t>Listo</t>
  </si>
  <si>
    <t>llega</t>
  </si>
  <si>
    <t>Carga Heijunka</t>
  </si>
  <si>
    <t>Tiempo traslado</t>
  </si>
  <si>
    <t>Kanban</t>
  </si>
  <si>
    <t>OP 1</t>
  </si>
  <si>
    <t>OP 2</t>
  </si>
  <si>
    <t>OP 3</t>
  </si>
  <si>
    <t>E</t>
  </si>
  <si>
    <t>Op</t>
  </si>
  <si>
    <t>OP A</t>
  </si>
  <si>
    <t>OP B</t>
  </si>
  <si>
    <t>La secuencia sería: B-C-D-A-E</t>
  </si>
  <si>
    <t>CARGA</t>
  </si>
  <si>
    <t>Tiempo disponible:</t>
  </si>
  <si>
    <t>A4</t>
  </si>
  <si>
    <t>A5</t>
  </si>
  <si>
    <t>--</t>
  </si>
  <si>
    <t>FC</t>
  </si>
  <si>
    <t>Retraso promedio:</t>
  </si>
  <si>
    <t>LCB =</t>
  </si>
  <si>
    <t>R/ Mejor DBR/Johnson porque da un retraso promedio menor</t>
  </si>
  <si>
    <t>KANBAN DBR</t>
  </si>
  <si>
    <t>ORD</t>
  </si>
  <si>
    <t>TC</t>
  </si>
  <si>
    <t>TM</t>
  </si>
  <si>
    <t>O1</t>
  </si>
  <si>
    <t>O2</t>
  </si>
  <si>
    <t>0-1</t>
  </si>
  <si>
    <t>5-6</t>
  </si>
  <si>
    <t>9-10</t>
  </si>
  <si>
    <t>14-15</t>
  </si>
  <si>
    <t>18-19</t>
  </si>
  <si>
    <t>19-20</t>
  </si>
  <si>
    <t>O4</t>
  </si>
  <si>
    <t>O5</t>
  </si>
  <si>
    <t>TB</t>
  </si>
  <si>
    <t>A6</t>
  </si>
  <si>
    <t>O6</t>
  </si>
  <si>
    <t>Ff</t>
  </si>
  <si>
    <t>Fp</t>
  </si>
  <si>
    <t>Atraso</t>
  </si>
  <si>
    <t>23-24</t>
  </si>
  <si>
    <t>33-34</t>
  </si>
  <si>
    <t>44-45</t>
  </si>
  <si>
    <t>49-50</t>
  </si>
  <si>
    <t>59-60</t>
  </si>
  <si>
    <t>96-97</t>
  </si>
  <si>
    <t>101-102</t>
  </si>
  <si>
    <t>111-112</t>
  </si>
  <si>
    <t>Atraso promerio</t>
  </si>
  <si>
    <t>KANBAN</t>
  </si>
  <si>
    <t>O3</t>
  </si>
  <si>
    <t>- -</t>
  </si>
  <si>
    <t>117.67-118.67</t>
  </si>
  <si>
    <t>202-203</t>
  </si>
  <si>
    <t>O2-O1</t>
  </si>
  <si>
    <t>Qk</t>
  </si>
  <si>
    <t>250 unidades</t>
  </si>
  <si>
    <t>Pr</t>
  </si>
  <si>
    <t>180 unidades</t>
  </si>
  <si>
    <t>Tr</t>
  </si>
  <si>
    <t>horas</t>
  </si>
  <si>
    <t>Este es el tiempo de reorden.</t>
  </si>
  <si>
    <t>Cuando queden 15 horas por</t>
  </si>
  <si>
    <t>procesar, se pide otro lote.</t>
  </si>
  <si>
    <t>33.33-34.33</t>
  </si>
  <si>
    <t>75-76</t>
  </si>
  <si>
    <t>150 unidades</t>
  </si>
  <si>
    <t>CMI</t>
  </si>
  <si>
    <t>Cuando queden 25 horas por</t>
  </si>
  <si>
    <t>DBR</t>
  </si>
  <si>
    <t>105-106</t>
  </si>
  <si>
    <t>190-191</t>
  </si>
  <si>
    <t>A)</t>
  </si>
  <si>
    <t>Mensual</t>
  </si>
  <si>
    <t>Con buffer</t>
  </si>
  <si>
    <t>Productos o componentes</t>
  </si>
  <si>
    <t>Demandas</t>
  </si>
  <si>
    <t>B)</t>
  </si>
  <si>
    <t>Tiempo disponible</t>
  </si>
  <si>
    <t>Productos</t>
  </si>
  <si>
    <t>Demanda</t>
  </si>
  <si>
    <t>Días laborales</t>
  </si>
  <si>
    <t>Demanda diaria</t>
  </si>
  <si>
    <t>Alsito</t>
  </si>
  <si>
    <t>Componentes</t>
  </si>
  <si>
    <t>X</t>
  </si>
  <si>
    <t>Z</t>
  </si>
  <si>
    <t>Tiempo disponible diario</t>
  </si>
  <si>
    <t>El ciclo de fabricación:</t>
  </si>
  <si>
    <t>Proveedor 1</t>
  </si>
  <si>
    <t>Proveedor 2</t>
  </si>
  <si>
    <t>Programa de producción:</t>
  </si>
  <si>
    <t>M1</t>
  </si>
  <si>
    <t>M2</t>
  </si>
  <si>
    <t>M3</t>
  </si>
  <si>
    <t>M4</t>
  </si>
  <si>
    <t>La secuencia sería: AAABBC</t>
  </si>
  <si>
    <t>Máquinas</t>
  </si>
  <si>
    <t>Takt Time</t>
  </si>
  <si>
    <t>Tc/Takt Time</t>
  </si>
  <si>
    <t>Maquinas necesarias</t>
  </si>
  <si>
    <t>Costo de Máquinas</t>
  </si>
  <si>
    <t>Compra de Maq</t>
  </si>
  <si>
    <t>M1 - proveedor 1</t>
  </si>
  <si>
    <t>M1 - proveedor 2</t>
  </si>
  <si>
    <t>M2 - proveedor 1</t>
  </si>
  <si>
    <t>M2 - proveedor 2</t>
  </si>
  <si>
    <t>M3 - proveedor 1</t>
  </si>
  <si>
    <t>M3 - proveedor 2</t>
  </si>
  <si>
    <t>M4 - proveedor 1</t>
  </si>
  <si>
    <t>M4 - proveedor 2</t>
  </si>
  <si>
    <t>Inversión</t>
  </si>
  <si>
    <t>C) Trabajar Toc en lugar de lean</t>
  </si>
  <si>
    <t>Compra de máquinas con presupuesto máximo</t>
  </si>
  <si>
    <t>Carga</t>
  </si>
  <si>
    <t>Tiempo Disponible</t>
  </si>
  <si>
    <t>Carga Total</t>
  </si>
  <si>
    <t>% de carga</t>
  </si>
  <si>
    <t>Máquinas necesarias</t>
  </si>
  <si>
    <t>% de Utilización</t>
  </si>
  <si>
    <t>Tiempo/und.</t>
  </si>
  <si>
    <t>Producción máxima</t>
  </si>
  <si>
    <t>Fabricación</t>
  </si>
  <si>
    <t>Mezcla</t>
  </si>
  <si>
    <t>A =</t>
  </si>
  <si>
    <t>B =</t>
  </si>
  <si>
    <t>C =</t>
  </si>
  <si>
    <t>Inversión =</t>
  </si>
  <si>
    <t>Heijunka =</t>
  </si>
  <si>
    <t>AAABBC</t>
  </si>
  <si>
    <t>Porcentaje de U:</t>
  </si>
  <si>
    <t>Es adecuado :</t>
  </si>
  <si>
    <t>No es adecuado</t>
  </si>
  <si>
    <t>Recomendación :</t>
  </si>
  <si>
    <t>Mejor utilizar TOC hasta conseguir los recursos suficientes</t>
  </si>
  <si>
    <t>Demanda</t>
    <phoneticPr fontId="0" type="noConversion"/>
  </si>
  <si>
    <t>Tiempo</t>
    <phoneticPr fontId="0" type="noConversion"/>
  </si>
  <si>
    <t>%</t>
    <phoneticPr fontId="0" type="noConversion"/>
  </si>
  <si>
    <t>A</t>
    <phoneticPr fontId="0" type="noConversion"/>
  </si>
  <si>
    <t>B</t>
    <phoneticPr fontId="0" type="noConversion"/>
  </si>
  <si>
    <t>C</t>
    <phoneticPr fontId="0" type="noConversion"/>
  </si>
  <si>
    <t>Producto</t>
    <phoneticPr fontId="0" type="noConversion"/>
  </si>
  <si>
    <t>Carga</t>
    <phoneticPr fontId="0" type="noConversion"/>
  </si>
  <si>
    <t>Disponible</t>
    <phoneticPr fontId="0" type="noConversion"/>
  </si>
  <si>
    <t>Margen de Ctr</t>
    <phoneticPr fontId="0" type="noConversion"/>
  </si>
  <si>
    <t>M1</t>
    <phoneticPr fontId="0" type="noConversion"/>
  </si>
  <si>
    <t>TCb</t>
    <phoneticPr fontId="0" type="noConversion"/>
  </si>
  <si>
    <t>M2</t>
    <phoneticPr fontId="0" type="noConversion"/>
  </si>
  <si>
    <t>Throuhput M2</t>
    <phoneticPr fontId="0" type="noConversion"/>
  </si>
  <si>
    <t>M3</t>
    <phoneticPr fontId="0" type="noConversion"/>
  </si>
  <si>
    <t>Throuhput M3</t>
  </si>
  <si>
    <t>M4</t>
    <phoneticPr fontId="0" type="noConversion"/>
  </si>
  <si>
    <t>Throuhput M1</t>
    <phoneticPr fontId="0" type="noConversion"/>
  </si>
  <si>
    <t>M5</t>
    <phoneticPr fontId="0" type="noConversion"/>
  </si>
  <si>
    <t>PRUEBA EN M3</t>
    <phoneticPr fontId="0" type="noConversion"/>
  </si>
  <si>
    <t>X =</t>
    <phoneticPr fontId="0" type="noConversion"/>
  </si>
  <si>
    <t>A=</t>
    <phoneticPr fontId="0" type="noConversion"/>
  </si>
  <si>
    <t>HAGO SOLO 1000 DE A</t>
  </si>
  <si>
    <t>Se pasa en</t>
    <phoneticPr fontId="0" type="noConversion"/>
  </si>
  <si>
    <t>B=</t>
    <phoneticPr fontId="0" type="noConversion"/>
  </si>
  <si>
    <t>C=</t>
    <phoneticPr fontId="0" type="noConversion"/>
  </si>
  <si>
    <t>Recorto</t>
    <phoneticPr fontId="0" type="noConversion"/>
  </si>
  <si>
    <t>Recalculo</t>
    <phoneticPr fontId="0" type="noConversion"/>
  </si>
  <si>
    <t>Exceso</t>
    <phoneticPr fontId="0" type="noConversion"/>
  </si>
  <si>
    <t>X=</t>
    <phoneticPr fontId="0" type="noConversion"/>
  </si>
  <si>
    <t>PRUEBA EN M1</t>
    <phoneticPr fontId="0" type="noConversion"/>
  </si>
  <si>
    <t>HAGO SOLO 1500 DE C</t>
  </si>
  <si>
    <t>Mezcla del Cuello de Botella</t>
    <phoneticPr fontId="0" type="noConversion"/>
  </si>
  <si>
    <t xml:space="preserve">             MEZCLA FINAL</t>
    <phoneticPr fontId="0" type="noConversion"/>
  </si>
  <si>
    <t>U Bruta</t>
    <phoneticPr fontId="0" type="noConversion"/>
  </si>
  <si>
    <t>G de operación</t>
    <phoneticPr fontId="0" type="noConversion"/>
  </si>
  <si>
    <t>UAII</t>
    <phoneticPr fontId="0" type="noConversion"/>
  </si>
  <si>
    <t>1. Análisis de cargas</t>
  </si>
  <si>
    <t>En este caso al no haber demanda, debemos buscar cuál es la relación buscada. El ejercicio NO pide relación, solo pide usar el precio</t>
  </si>
  <si>
    <t>de venta como factor de decisión. Por lo tanto, solamente se utiliza a Q como único producto que se va a fabricar. Es decir no ocupamos</t>
  </si>
  <si>
    <t>hacer nada con P. Por ende, calculamos la capacidad de la planta solamente produciendo Q.</t>
  </si>
  <si>
    <t>3X + 2Y</t>
  </si>
  <si>
    <t>1X + 2Y</t>
  </si>
  <si>
    <t>Máquina</t>
  </si>
  <si>
    <t>Y</t>
  </si>
  <si>
    <t>P</t>
  </si>
  <si>
    <t>Carga P</t>
  </si>
  <si>
    <t>Carga Q</t>
  </si>
  <si>
    <t>B1</t>
  </si>
  <si>
    <t>CB para P</t>
  </si>
  <si>
    <t>B2</t>
  </si>
  <si>
    <t>B3</t>
  </si>
  <si>
    <t>CB para Q</t>
  </si>
  <si>
    <t>C1</t>
  </si>
  <si>
    <t>C2</t>
  </si>
  <si>
    <t>C3</t>
  </si>
  <si>
    <t>Como se puede ver, si solo se produjera P el CB sería B1. Pero al producirse solamente Q, el CB es B3.</t>
  </si>
  <si>
    <t>Prueba Carga</t>
  </si>
  <si>
    <t>TD</t>
  </si>
  <si>
    <t>2. Cálculo de ventas y utilidad usando el precio</t>
  </si>
  <si>
    <t>El de mayor precio de venta es Q, por ende decido producir todo lo que pueda de Q.</t>
  </si>
  <si>
    <t>minutos</t>
  </si>
  <si>
    <t>kilos</t>
  </si>
  <si>
    <t>UBO</t>
  </si>
  <si>
    <t>Gastos</t>
  </si>
  <si>
    <t>UN</t>
  </si>
  <si>
    <t>3. Cálculo de ventas y utilidad usando relación 3:1</t>
  </si>
  <si>
    <t>En este caso, el diferente a la parte a. Como no sabemos el CB dada la relación 3 a 1, debemos probar todas las posibles relaciones.</t>
  </si>
  <si>
    <t>Por esto, debemos usar 3P:1Q y 1P:3Q. Es importante notar que al darse de PREVIO la relación, NO hace falta hacer un análisis de TPT.</t>
  </si>
  <si>
    <t>El resultado viene dado por aquella mezcla que genera mayor utiiidad.</t>
  </si>
  <si>
    <t>3P:1Q</t>
  </si>
  <si>
    <t>1P:3Q</t>
  </si>
  <si>
    <t>PV</t>
  </si>
  <si>
    <t>CMP</t>
  </si>
  <si>
    <t>CB</t>
  </si>
  <si>
    <t>MC</t>
  </si>
  <si>
    <t>TCB</t>
  </si>
  <si>
    <t>TPT</t>
  </si>
  <si>
    <t>4. Respuestas</t>
  </si>
  <si>
    <t>a. La capacidad de la planta es de 84.728 kilos de Q y da una utilidad de 551.703.</t>
  </si>
  <si>
    <t>b. La capacidad de la planta es de 38.816 kilos de Q y 12.939 kilos de P y da una utilidad de 255.156.</t>
  </si>
  <si>
    <t>Tabla de cargas</t>
  </si>
  <si>
    <t>P+Q</t>
  </si>
  <si>
    <t>a. Capacidad</t>
  </si>
  <si>
    <t>Si la planta solo hace P, la capacidad son 160 unidades</t>
  </si>
  <si>
    <t>Si la planta solo hace Q, la capacidad son 53 unidades</t>
  </si>
  <si>
    <t>b. Plan de producción que maximiza utilidad</t>
  </si>
  <si>
    <t>Se debe hacer todo lo que se pueda de P y lo que sobra de Q</t>
  </si>
  <si>
    <t>c. Plan de producción con relación 2:1</t>
  </si>
  <si>
    <t>3x(15)+1x(30)=2400</t>
  </si>
  <si>
    <t>x=</t>
  </si>
  <si>
    <t>d. Productividad</t>
  </si>
  <si>
    <t>Productividad= Producción / Insumos totales</t>
  </si>
  <si>
    <t>Parte b</t>
  </si>
  <si>
    <t>Parte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</si>
</sst>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00"/>
    <numFmt numFmtId="165" formatCode="0.000"/>
    <numFmt numFmtId="166" formatCode="_(* #,##0.00_);_(* \(#,##0.00\);_(* &quot;-&quot;??_);_(@_)"/>
    <numFmt numFmtId="167" formatCode="_-[$$-409]* #,##0.00_ ;_-[$$-409]* \-#,##0.00\ ;_-[$$-409]* &quot;-&quot;??_ ;_-@_ "/>
    <numFmt numFmtId="168" formatCode="0.0000"/>
    <numFmt numFmtId="169" formatCode="_(&quot;$&quot;* #,##0.00_);_(&quot;$&quot;* \(#,##0.00\);_(&quot;$&quot;* &quot;-&quot;??_);_(@_)"/>
    <numFmt numFmtId="170" formatCode="_(&quot;$&quot;* #,##0_);_(&quot;$&quot;* \(#,##0\);_(&quot;$&quot;* &quot;-&quot;??_);_(@_)"/>
    <numFmt numFmtId="171" formatCode="[$$-540A]#,##0.00"/>
    <numFmt numFmtId="172" formatCode="[$$-409]#,##0.00"/>
    <numFmt numFmtId="173" formatCode="_(* #,##0_);_(* \(#,##0\);_(* &quot;-&quot;??_);_(@_)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</font>
    <font>
      <sz val="12"/>
      <color rgb="FF000000"/>
      <name val="Arial"/>
    </font>
    <font>
      <sz val="18"/>
      <name val="Arial"/>
    </font>
    <font>
      <sz val="11"/>
      <color indexed="8"/>
      <name val="Calibri"/>
      <family val="2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4"/>
      <color rgb="FFFF0000"/>
      <name val="Calibri"/>
      <family val="2"/>
      <scheme val="minor"/>
    </font>
    <font>
      <b/>
      <sz val="10"/>
      <name val="Verdana"/>
      <family val="2"/>
    </font>
    <font>
      <b/>
      <sz val="20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6"/>
      <color rgb="FFFF0000"/>
      <name val="Calibri"/>
      <family val="2"/>
      <scheme val="minor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6"/>
      <color rgb="FFFF0000"/>
      <name val="Times New Roman"/>
      <family val="1"/>
    </font>
    <font>
      <sz val="10"/>
      <name val="Verdana"/>
      <family val="2"/>
    </font>
    <font>
      <sz val="10"/>
      <color indexed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</borders>
  <cellStyleXfs count="18">
    <xf numFmtId="0" fontId="0" fillId="0" borderId="0"/>
    <xf numFmtId="9" fontId="2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166" fontId="4" fillId="0" borderId="0" applyFont="0" applyFill="0" applyBorder="0" applyAlignment="0" applyProtection="0"/>
    <xf numFmtId="0" fontId="7" fillId="0" borderId="0"/>
    <xf numFmtId="166" fontId="4" fillId="0" borderId="0" applyFont="0" applyFill="0" applyBorder="0" applyAlignment="0" applyProtection="0"/>
    <xf numFmtId="0" fontId="4" fillId="0" borderId="0"/>
    <xf numFmtId="0" fontId="1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27" fillId="0" borderId="0"/>
    <xf numFmtId="166" fontId="1" fillId="0" borderId="0" applyFont="0" applyFill="0" applyBorder="0" applyAlignment="0" applyProtection="0"/>
  </cellStyleXfs>
  <cellXfs count="274">
    <xf numFmtId="0" fontId="0" fillId="0" borderId="0" xfId="0"/>
    <xf numFmtId="0" fontId="4" fillId="0" borderId="0" xfId="2"/>
    <xf numFmtId="2" fontId="4" fillId="0" borderId="0" xfId="2" applyNumberFormat="1"/>
    <xf numFmtId="2" fontId="0" fillId="2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6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2" fontId="0" fillId="7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9" fontId="8" fillId="0" borderId="4" xfId="1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/>
    <xf numFmtId="4" fontId="0" fillId="0" borderId="11" xfId="0" applyNumberFormat="1" applyBorder="1"/>
    <xf numFmtId="0" fontId="0" fillId="0" borderId="11" xfId="0" applyBorder="1"/>
    <xf numFmtId="0" fontId="0" fillId="0" borderId="12" xfId="0" applyBorder="1"/>
    <xf numFmtId="4" fontId="0" fillId="0" borderId="13" xfId="0" applyNumberFormat="1" applyBorder="1"/>
    <xf numFmtId="167" fontId="0" fillId="7" borderId="1" xfId="0" applyNumberFormat="1" applyFill="1" applyBorder="1"/>
    <xf numFmtId="9" fontId="0" fillId="0" borderId="0" xfId="1" applyFont="1" applyAlignment="1">
      <alignment horizontal="center"/>
    </xf>
    <xf numFmtId="10" fontId="0" fillId="0" borderId="0" xfId="1" applyNumberFormat="1" applyFont="1"/>
    <xf numFmtId="10" fontId="0" fillId="0" borderId="0" xfId="0" applyNumberFormat="1"/>
    <xf numFmtId="0" fontId="0" fillId="0" borderId="6" xfId="0" applyBorder="1"/>
    <xf numFmtId="0" fontId="0" fillId="0" borderId="6" xfId="0" applyBorder="1" applyAlignment="1">
      <alignment horizontal="justify" vertical="center"/>
    </xf>
    <xf numFmtId="0" fontId="0" fillId="0" borderId="0" xfId="0" applyAlignment="1">
      <alignment horizontal="justify" vertical="center"/>
    </xf>
    <xf numFmtId="165" fontId="0" fillId="0" borderId="6" xfId="0" applyNumberFormat="1" applyBorder="1" applyAlignment="1">
      <alignment horizontal="center"/>
    </xf>
    <xf numFmtId="9" fontId="0" fillId="0" borderId="0" xfId="13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0" fontId="3" fillId="0" borderId="0" xfId="1" applyNumberFormat="1" applyFont="1"/>
    <xf numFmtId="0" fontId="13" fillId="0" borderId="0" xfId="0" applyFont="1"/>
    <xf numFmtId="0" fontId="14" fillId="0" borderId="0" xfId="0" applyFont="1" applyAlignment="1">
      <alignment horizontal="center"/>
    </xf>
    <xf numFmtId="10" fontId="14" fillId="0" borderId="0" xfId="0" applyNumberFormat="1" applyFont="1"/>
    <xf numFmtId="0" fontId="3" fillId="0" borderId="6" xfId="0" applyFont="1" applyBorder="1" applyAlignment="1">
      <alignment horizontal="left"/>
    </xf>
    <xf numFmtId="0" fontId="0" fillId="8" borderId="15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2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14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1" fillId="0" borderId="0" xfId="14" applyAlignment="1">
      <alignment horizontal="center"/>
    </xf>
    <xf numFmtId="0" fontId="1" fillId="0" borderId="0" xfId="14"/>
    <xf numFmtId="167" fontId="1" fillId="0" borderId="0" xfId="14" applyNumberFormat="1"/>
    <xf numFmtId="0" fontId="3" fillId="0" borderId="6" xfId="14" applyFont="1" applyBorder="1" applyAlignment="1">
      <alignment horizontal="center"/>
    </xf>
    <xf numFmtId="0" fontId="1" fillId="0" borderId="0" xfId="14" applyAlignment="1">
      <alignment horizontal="left"/>
    </xf>
    <xf numFmtId="1" fontId="1" fillId="0" borderId="0" xfId="14" applyNumberFormat="1" applyAlignment="1">
      <alignment horizontal="center"/>
    </xf>
    <xf numFmtId="0" fontId="3" fillId="0" borderId="6" xfId="14" applyFont="1" applyBorder="1" applyAlignment="1">
      <alignment horizontal="left"/>
    </xf>
    <xf numFmtId="0" fontId="1" fillId="0" borderId="6" xfId="14" applyBorder="1" applyAlignment="1">
      <alignment horizontal="center"/>
    </xf>
    <xf numFmtId="20" fontId="1" fillId="0" borderId="0" xfId="14" applyNumberFormat="1" applyAlignment="1">
      <alignment horizontal="center"/>
    </xf>
    <xf numFmtId="0" fontId="3" fillId="0" borderId="0" xfId="14" applyFont="1"/>
    <xf numFmtId="0" fontId="1" fillId="0" borderId="6" xfId="14" applyBorder="1"/>
    <xf numFmtId="20" fontId="1" fillId="0" borderId="6" xfId="14" applyNumberFormat="1" applyBorder="1" applyAlignment="1">
      <alignment horizontal="center"/>
    </xf>
    <xf numFmtId="0" fontId="1" fillId="0" borderId="6" xfId="14" applyBorder="1" applyAlignment="1">
      <alignment horizontal="left"/>
    </xf>
    <xf numFmtId="0" fontId="1" fillId="0" borderId="0" xfId="14" applyAlignment="1">
      <alignment horizontal="center" vertical="center"/>
    </xf>
    <xf numFmtId="18" fontId="1" fillId="0" borderId="0" xfId="14" applyNumberFormat="1" applyAlignment="1">
      <alignment horizontal="center"/>
    </xf>
    <xf numFmtId="2" fontId="1" fillId="0" borderId="0" xfId="14" applyNumberFormat="1" applyAlignment="1">
      <alignment horizontal="center"/>
    </xf>
    <xf numFmtId="167" fontId="1" fillId="0" borderId="0" xfId="14" applyNumberFormat="1" applyAlignment="1">
      <alignment horizontal="center"/>
    </xf>
    <xf numFmtId="165" fontId="1" fillId="0" borderId="0" xfId="14" applyNumberFormat="1"/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23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17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168" fontId="0" fillId="0" borderId="0" xfId="0" applyNumberFormat="1" applyAlignment="1">
      <alignment horizontal="center"/>
    </xf>
    <xf numFmtId="0" fontId="18" fillId="0" borderId="0" xfId="0" applyFont="1" applyAlignment="1">
      <alignment horizontal="left"/>
    </xf>
    <xf numFmtId="0" fontId="3" fillId="0" borderId="0" xfId="0" applyFont="1"/>
    <xf numFmtId="0" fontId="19" fillId="0" borderId="0" xfId="0" applyFont="1" applyAlignment="1">
      <alignment horizontal="center"/>
    </xf>
    <xf numFmtId="0" fontId="19" fillId="0" borderId="6" xfId="0" applyFont="1" applyBorder="1" applyAlignment="1">
      <alignment horizontal="center"/>
    </xf>
    <xf numFmtId="170" fontId="3" fillId="0" borderId="0" xfId="15" applyNumberFormat="1" applyFont="1"/>
    <xf numFmtId="49" fontId="0" fillId="0" borderId="6" xfId="0" applyNumberFormat="1" applyBorder="1" applyAlignment="1">
      <alignment horizontal="center"/>
    </xf>
    <xf numFmtId="2" fontId="0" fillId="9" borderId="6" xfId="0" applyNumberFormat="1" applyFill="1" applyBorder="1" applyAlignment="1">
      <alignment horizontal="center"/>
    </xf>
    <xf numFmtId="2" fontId="0" fillId="9" borderId="6" xfId="0" applyNumberFormat="1" applyFill="1" applyBorder="1"/>
    <xf numFmtId="49" fontId="0" fillId="0" borderId="6" xfId="0" quotePrefix="1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19" fillId="0" borderId="6" xfId="0" applyNumberFormat="1" applyFont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49" fontId="0" fillId="0" borderId="6" xfId="0" applyNumberFormat="1" applyBorder="1"/>
    <xf numFmtId="2" fontId="3" fillId="0" borderId="0" xfId="0" applyNumberFormat="1" applyFont="1"/>
    <xf numFmtId="0" fontId="0" fillId="7" borderId="0" xfId="0" applyFill="1" applyAlignment="1">
      <alignment horizontal="center"/>
    </xf>
    <xf numFmtId="0" fontId="0" fillId="0" borderId="0" xfId="0" quotePrefix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2" fillId="0" borderId="6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6" xfId="0" applyFont="1" applyBorder="1" applyAlignment="1">
      <alignment horizontal="center" vertical="center" wrapText="1"/>
    </xf>
    <xf numFmtId="0" fontId="23" fillId="0" borderId="0" xfId="0" applyFont="1"/>
    <xf numFmtId="0" fontId="22" fillId="0" borderId="6" xfId="0" applyFont="1" applyBorder="1"/>
    <xf numFmtId="0" fontId="21" fillId="0" borderId="6" xfId="0" applyFont="1" applyBorder="1"/>
    <xf numFmtId="2" fontId="21" fillId="0" borderId="6" xfId="0" applyNumberFormat="1" applyFont="1" applyBorder="1"/>
    <xf numFmtId="0" fontId="21" fillId="0" borderId="0" xfId="0" applyFont="1"/>
    <xf numFmtId="0" fontId="22" fillId="0" borderId="6" xfId="0" applyFont="1" applyBorder="1" applyAlignment="1">
      <alignment horizontal="center"/>
    </xf>
    <xf numFmtId="0" fontId="24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4" fillId="0" borderId="6" xfId="0" applyFont="1" applyBorder="1" applyAlignment="1">
      <alignment horizontal="center"/>
    </xf>
    <xf numFmtId="1" fontId="21" fillId="0" borderId="6" xfId="0" applyNumberFormat="1" applyFont="1" applyBorder="1" applyAlignment="1">
      <alignment horizontal="center"/>
    </xf>
    <xf numFmtId="0" fontId="21" fillId="0" borderId="6" xfId="0" applyFont="1" applyBorder="1" applyAlignment="1">
      <alignment horizontal="right"/>
    </xf>
    <xf numFmtId="2" fontId="21" fillId="8" borderId="33" xfId="0" applyNumberFormat="1" applyFont="1" applyFill="1" applyBorder="1" applyAlignment="1">
      <alignment horizontal="center"/>
    </xf>
    <xf numFmtId="0" fontId="21" fillId="8" borderId="7" xfId="0" applyFont="1" applyFill="1" applyBorder="1" applyAlignment="1">
      <alignment horizontal="center"/>
    </xf>
    <xf numFmtId="1" fontId="21" fillId="0" borderId="31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" fontId="21" fillId="0" borderId="29" xfId="0" applyNumberFormat="1" applyFont="1" applyBorder="1" applyAlignment="1">
      <alignment horizontal="center"/>
    </xf>
    <xf numFmtId="171" fontId="16" fillId="0" borderId="6" xfId="0" applyNumberFormat="1" applyFont="1" applyBorder="1" applyAlignment="1">
      <alignment horizontal="center" vertical="center" wrapText="1"/>
    </xf>
    <xf numFmtId="171" fontId="16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center" vertical="center" wrapText="1"/>
    </xf>
    <xf numFmtId="165" fontId="21" fillId="0" borderId="6" xfId="0" applyNumberFormat="1" applyFont="1" applyBorder="1" applyAlignment="1">
      <alignment vertical="center"/>
    </xf>
    <xf numFmtId="2" fontId="21" fillId="0" borderId="6" xfId="0" applyNumberFormat="1" applyFont="1" applyBorder="1" applyAlignment="1">
      <alignment horizontal="center"/>
    </xf>
    <xf numFmtId="171" fontId="21" fillId="0" borderId="6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172" fontId="25" fillId="0" borderId="0" xfId="0" applyNumberFormat="1" applyFont="1" applyAlignment="1">
      <alignment horizontal="center"/>
    </xf>
    <xf numFmtId="165" fontId="21" fillId="0" borderId="6" xfId="0" applyNumberFormat="1" applyFont="1" applyBorder="1" applyAlignment="1">
      <alignment horizontal="center"/>
    </xf>
    <xf numFmtId="10" fontId="21" fillId="0" borderId="6" xfId="13" applyNumberFormat="1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2" fillId="0" borderId="34" xfId="0" applyFont="1" applyBorder="1" applyAlignment="1">
      <alignment horizontal="center" vertical="center" wrapText="1"/>
    </xf>
    <xf numFmtId="1" fontId="21" fillId="0" borderId="23" xfId="0" applyNumberFormat="1" applyFont="1" applyBorder="1" applyAlignment="1">
      <alignment horizontal="center"/>
    </xf>
    <xf numFmtId="1" fontId="21" fillId="0" borderId="0" xfId="0" applyNumberFormat="1" applyFont="1" applyAlignment="1">
      <alignment horizontal="center"/>
    </xf>
    <xf numFmtId="1" fontId="21" fillId="0" borderId="34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21" fillId="0" borderId="34" xfId="0" applyFont="1" applyBorder="1"/>
    <xf numFmtId="0" fontId="0" fillId="0" borderId="35" xfId="0" applyBorder="1"/>
    <xf numFmtId="0" fontId="0" fillId="0" borderId="17" xfId="0" applyBorder="1"/>
    <xf numFmtId="0" fontId="21" fillId="0" borderId="17" xfId="0" applyFont="1" applyBorder="1" applyAlignment="1">
      <alignment horizontal="center"/>
    </xf>
    <xf numFmtId="1" fontId="21" fillId="0" borderId="22" xfId="0" applyNumberFormat="1" applyFont="1" applyBorder="1" applyAlignment="1">
      <alignment horizontal="center"/>
    </xf>
    <xf numFmtId="172" fontId="21" fillId="0" borderId="6" xfId="0" applyNumberFormat="1" applyFont="1" applyBorder="1"/>
    <xf numFmtId="10" fontId="21" fillId="0" borderId="6" xfId="0" applyNumberFormat="1" applyFont="1" applyBorder="1"/>
    <xf numFmtId="0" fontId="21" fillId="0" borderId="29" xfId="0" applyFont="1" applyBorder="1"/>
    <xf numFmtId="0" fontId="19" fillId="0" borderId="0" xfId="16" applyFont="1" applyAlignment="1">
      <alignment horizontal="center"/>
    </xf>
    <xf numFmtId="0" fontId="19" fillId="0" borderId="0" xfId="16" applyFont="1"/>
    <xf numFmtId="0" fontId="27" fillId="0" borderId="0" xfId="16"/>
    <xf numFmtId="2" fontId="27" fillId="0" borderId="0" xfId="16" applyNumberFormat="1" applyAlignment="1">
      <alignment horizontal="center"/>
    </xf>
    <xf numFmtId="0" fontId="27" fillId="0" borderId="0" xfId="16" applyAlignment="1">
      <alignment horizontal="center"/>
    </xf>
    <xf numFmtId="1" fontId="27" fillId="0" borderId="0" xfId="16" applyNumberFormat="1" applyAlignment="1">
      <alignment horizontal="center"/>
    </xf>
    <xf numFmtId="2" fontId="27" fillId="0" borderId="0" xfId="16" applyNumberFormat="1"/>
    <xf numFmtId="0" fontId="19" fillId="10" borderId="0" xfId="16" applyFont="1" applyFill="1" applyAlignment="1">
      <alignment horizontal="center"/>
    </xf>
    <xf numFmtId="2" fontId="27" fillId="10" borderId="0" xfId="16" applyNumberFormat="1" applyFill="1" applyAlignment="1">
      <alignment horizontal="center"/>
    </xf>
    <xf numFmtId="0" fontId="27" fillId="10" borderId="0" xfId="16" applyFill="1" applyAlignment="1">
      <alignment horizontal="center"/>
    </xf>
    <xf numFmtId="1" fontId="27" fillId="10" borderId="0" xfId="16" applyNumberFormat="1" applyFill="1" applyAlignment="1">
      <alignment horizontal="center"/>
    </xf>
    <xf numFmtId="1" fontId="27" fillId="11" borderId="0" xfId="16" applyNumberFormat="1" applyFill="1"/>
    <xf numFmtId="1" fontId="27" fillId="0" borderId="0" xfId="16" applyNumberFormat="1"/>
    <xf numFmtId="0" fontId="27" fillId="0" borderId="0" xfId="16" applyAlignment="1">
      <alignment horizontal="right"/>
    </xf>
    <xf numFmtId="1" fontId="27" fillId="0" borderId="0" xfId="16" applyNumberFormat="1" applyAlignment="1">
      <alignment horizontal="left"/>
    </xf>
    <xf numFmtId="1" fontId="27" fillId="0" borderId="36" xfId="16" applyNumberFormat="1" applyBorder="1" applyAlignment="1">
      <alignment horizontal="left"/>
    </xf>
    <xf numFmtId="1" fontId="27" fillId="0" borderId="36" xfId="16" applyNumberFormat="1" applyBorder="1" applyAlignment="1">
      <alignment horizontal="center"/>
    </xf>
    <xf numFmtId="0" fontId="27" fillId="0" borderId="0" xfId="16" applyAlignment="1">
      <alignment horizontal="left"/>
    </xf>
    <xf numFmtId="1" fontId="19" fillId="0" borderId="0" xfId="16" applyNumberFormat="1" applyFont="1" applyAlignment="1">
      <alignment horizontal="center"/>
    </xf>
    <xf numFmtId="0" fontId="28" fillId="0" borderId="0" xfId="16" applyFont="1"/>
    <xf numFmtId="172" fontId="27" fillId="0" borderId="0" xfId="16" applyNumberFormat="1"/>
    <xf numFmtId="2" fontId="19" fillId="0" borderId="0" xfId="16" applyNumberFormat="1" applyFont="1" applyAlignment="1">
      <alignment horizontal="center"/>
    </xf>
    <xf numFmtId="173" fontId="27" fillId="0" borderId="0" xfId="17" applyNumberFormat="1" applyFont="1" applyAlignment="1">
      <alignment horizontal="center"/>
    </xf>
    <xf numFmtId="173" fontId="27" fillId="0" borderId="0" xfId="17" applyNumberFormat="1" applyFont="1"/>
    <xf numFmtId="0" fontId="27" fillId="0" borderId="14" xfId="16" applyBorder="1" applyAlignment="1">
      <alignment horizontal="center"/>
    </xf>
    <xf numFmtId="1" fontId="19" fillId="0" borderId="0" xfId="16" applyNumberFormat="1" applyFont="1"/>
    <xf numFmtId="0" fontId="19" fillId="0" borderId="0" xfId="16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8" borderId="15" xfId="0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0" fillId="8" borderId="15" xfId="0" applyFill="1" applyBorder="1" applyAlignment="1">
      <alignment horizontal="left" vertical="center" wrapText="1"/>
    </xf>
    <xf numFmtId="0" fontId="0" fillId="8" borderId="15" xfId="0" applyFill="1" applyBorder="1" applyAlignment="1">
      <alignment horizontal="left" vertical="center"/>
    </xf>
    <xf numFmtId="0" fontId="3" fillId="0" borderId="16" xfId="14" applyFont="1" applyBorder="1" applyAlignment="1">
      <alignment horizontal="center"/>
    </xf>
    <xf numFmtId="0" fontId="3" fillId="0" borderId="15" xfId="14" applyFont="1" applyBorder="1" applyAlignment="1">
      <alignment horizontal="center"/>
    </xf>
    <xf numFmtId="0" fontId="3" fillId="0" borderId="7" xfId="14" applyFont="1" applyBorder="1" applyAlignment="1">
      <alignment horizontal="center"/>
    </xf>
    <xf numFmtId="0" fontId="1" fillId="0" borderId="0" xfId="14" applyAlignment="1">
      <alignment horizontal="center"/>
    </xf>
    <xf numFmtId="0" fontId="3" fillId="0" borderId="0" xfId="14" applyFont="1" applyAlignment="1">
      <alignment horizontal="center"/>
    </xf>
    <xf numFmtId="20" fontId="1" fillId="0" borderId="6" xfId="14" applyNumberFormat="1" applyBorder="1" applyAlignment="1">
      <alignment horizontal="center"/>
    </xf>
    <xf numFmtId="0" fontId="1" fillId="0" borderId="6" xfId="14" applyBorder="1" applyAlignment="1">
      <alignment horizontal="center"/>
    </xf>
    <xf numFmtId="0" fontId="3" fillId="0" borderId="24" xfId="0" quotePrefix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19" fillId="9" borderId="6" xfId="0" applyFont="1" applyFill="1" applyBorder="1" applyAlignment="1">
      <alignment horizontal="center"/>
    </xf>
    <xf numFmtId="0" fontId="0" fillId="9" borderId="6" xfId="0" applyFill="1" applyBorder="1"/>
    <xf numFmtId="0" fontId="0" fillId="9" borderId="6" xfId="0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/>
    <xf numFmtId="169" fontId="0" fillId="0" borderId="0" xfId="15" applyFont="1" applyAlignment="1">
      <alignment horizontal="center"/>
    </xf>
    <xf numFmtId="0" fontId="22" fillId="0" borderId="20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172" fontId="21" fillId="0" borderId="29" xfId="0" applyNumberFormat="1" applyFont="1" applyBorder="1" applyAlignment="1">
      <alignment horizontal="center" vertical="center"/>
    </xf>
    <xf numFmtId="172" fontId="21" fillId="0" borderId="3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21" fillId="8" borderId="16" xfId="0" applyFont="1" applyFill="1" applyBorder="1" applyAlignment="1">
      <alignment horizontal="center"/>
    </xf>
    <xf numFmtId="0" fontId="21" fillId="8" borderId="15" xfId="0" applyFont="1" applyFill="1" applyBorder="1" applyAlignment="1">
      <alignment horizont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4" fillId="8" borderId="32" xfId="0" applyFont="1" applyFill="1" applyBorder="1" applyAlignment="1">
      <alignment horizontal="center"/>
    </xf>
    <xf numFmtId="0" fontId="24" fillId="8" borderId="0" xfId="0" applyFont="1" applyFill="1" applyAlignment="1">
      <alignment horizontal="center"/>
    </xf>
    <xf numFmtId="0" fontId="24" fillId="8" borderId="16" xfId="0" applyFont="1" applyFill="1" applyBorder="1" applyAlignment="1">
      <alignment horizontal="center"/>
    </xf>
    <xf numFmtId="0" fontId="24" fillId="8" borderId="15" xfId="0" applyFont="1" applyFill="1" applyBorder="1" applyAlignment="1">
      <alignment horizontal="center"/>
    </xf>
    <xf numFmtId="173" fontId="27" fillId="0" borderId="0" xfId="17" applyNumberFormat="1" applyFont="1" applyAlignment="1">
      <alignment horizontal="right"/>
    </xf>
    <xf numFmtId="173" fontId="19" fillId="0" borderId="0" xfId="17" applyNumberFormat="1" applyFont="1" applyAlignment="1">
      <alignment horizontal="right"/>
    </xf>
  </cellXfs>
  <cellStyles count="18">
    <cellStyle name="Comma 2" xfId="7" xr:uid="{00000000-0005-0000-0000-000000000000}"/>
    <cellStyle name="Comma 2 2" xfId="17" xr:uid="{05160442-03D9-344A-9170-006297B06A29}"/>
    <cellStyle name="Currency 2 2" xfId="15" xr:uid="{AA6EEA72-7871-304B-80B0-7C1E400D5E39}"/>
    <cellStyle name="Followed Hyperlink" xfId="4" builtinId="9" hidden="1"/>
    <cellStyle name="Hyperlink" xfId="3" builtinId="8" hidden="1"/>
    <cellStyle name="Millares 2" xfId="9" xr:uid="{00000000-0005-0000-0000-000003000000}"/>
    <cellStyle name="Normal" xfId="0" builtinId="0"/>
    <cellStyle name="Normal 2" xfId="2" xr:uid="{00000000-0005-0000-0000-000005000000}"/>
    <cellStyle name="Normal 2 2" xfId="6" xr:uid="{00000000-0005-0000-0000-000006000000}"/>
    <cellStyle name="Normal 2 3" xfId="16" xr:uid="{E0FFCF9C-71E9-7547-BF0A-06C11BBB0055}"/>
    <cellStyle name="Normal 3" xfId="5" xr:uid="{00000000-0005-0000-0000-000007000000}"/>
    <cellStyle name="Normal 3 2" xfId="14" xr:uid="{01556CAF-61D3-AB46-BE87-764513564CEB}"/>
    <cellStyle name="Normal 4" xfId="10" xr:uid="{00000000-0005-0000-0000-000008000000}"/>
    <cellStyle name="Normal 5" xfId="8" xr:uid="{00000000-0005-0000-0000-000009000000}"/>
    <cellStyle name="Normal 6" xfId="11" xr:uid="{00000000-0005-0000-0000-00000A000000}"/>
    <cellStyle name="Percent" xfId="1" builtinId="5"/>
    <cellStyle name="Percent 2" xfId="13" xr:uid="{1F0E1113-63AB-C749-B306-C8991AE02D71}"/>
    <cellStyle name="Porcentual 2" xfId="12" xr:uid="{00000000-0005-0000-0000-00000D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0888205579768"/>
          <c:y val="0.21052685682271999"/>
          <c:w val="0.22062401787324301"/>
          <c:h val="0.484211770692256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CD-5E41-887D-799C07451BC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CD-5E41-887D-799C07451BC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'3'!$D$6:$D$7</c:f>
              <c:strCache>
                <c:ptCount val="2"/>
                <c:pt idx="0">
                  <c:v>Total Costos de Calidad</c:v>
                </c:pt>
                <c:pt idx="1">
                  <c:v>Costo de Ventas</c:v>
                </c:pt>
              </c:strCache>
            </c:strRef>
          </c:cat>
          <c:val>
            <c:numRef>
              <c:f>'3'!$E$6:$E$7</c:f>
              <c:numCache>
                <c:formatCode>General</c:formatCode>
                <c:ptCount val="2"/>
                <c:pt idx="0">
                  <c:v>1050529</c:v>
                </c:pt>
                <c:pt idx="1">
                  <c:v>6000000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CD-5E41-887D-799C07451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659529069657699"/>
          <c:y val="0.88421259842519695"/>
          <c:w val="0.48681168451065898"/>
          <c:h val="8.42109407376710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C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R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849011842897202"/>
          <c:y val="0.206349472901001"/>
          <c:w val="0.225420192174836"/>
          <c:h val="0.49735513981266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2D-BB4E-B726-8014D054FA98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2D-BB4E-B726-8014D054FA9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'3'!$D$8:$D$9</c:f>
              <c:strCache>
                <c:ptCount val="2"/>
                <c:pt idx="0">
                  <c:v>Total Costos de Calidad</c:v>
                </c:pt>
                <c:pt idx="1">
                  <c:v>Gastos Administrativos y Ventas</c:v>
                </c:pt>
              </c:strCache>
            </c:strRef>
          </c:cat>
          <c:val>
            <c:numRef>
              <c:f>'3'!$E$8:$E$9</c:f>
              <c:numCache>
                <c:formatCode>General</c:formatCode>
                <c:ptCount val="2"/>
                <c:pt idx="0">
                  <c:v>1050529</c:v>
                </c:pt>
                <c:pt idx="1">
                  <c:v>1300000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2D-BB4E-B726-8014D054F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705073736286601"/>
          <c:y val="0.88889013873265799"/>
          <c:w val="0.62590079117808095"/>
          <c:h val="7.9365079365079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C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R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701991216790799"/>
          <c:y val="0.206349472901001"/>
          <c:w val="0.22596193629679101"/>
          <c:h val="0.49735513981266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3D-974C-B183-0FCBCFE8E082}"/>
              </c:ext>
            </c:extLst>
          </c:dPt>
          <c:dPt>
            <c:idx val="1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F3D-974C-B183-0FCBCFE8E08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'3'!$D$10:$D$11</c:f>
              <c:strCache>
                <c:ptCount val="2"/>
                <c:pt idx="0">
                  <c:v>Total Costos de Calidad</c:v>
                </c:pt>
                <c:pt idx="1">
                  <c:v>Total de Activos</c:v>
                </c:pt>
              </c:strCache>
            </c:strRef>
          </c:cat>
          <c:val>
            <c:numRef>
              <c:f>'3'!$E$10:$E$11</c:f>
              <c:numCache>
                <c:formatCode>General</c:formatCode>
                <c:ptCount val="2"/>
                <c:pt idx="0">
                  <c:v>1050529</c:v>
                </c:pt>
                <c:pt idx="1">
                  <c:v>4000000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3D-974C-B183-0FCBCFE8E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923133706844299"/>
          <c:y val="0.88889013873265799"/>
          <c:w val="0.46153921865536002"/>
          <c:h val="7.9365079365079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C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R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Diagrama de Pareto Costos de Calidad</a:t>
            </a:r>
          </a:p>
        </c:rich>
      </c:tx>
      <c:layout>
        <c:manualLayout>
          <c:xMode val="edge"/>
          <c:yMode val="edge"/>
          <c:x val="0.33333333333333298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96296296296303E-2"/>
          <c:y val="0.119825708061002"/>
          <c:w val="0.93185185185185204"/>
          <c:h val="0.81481481481481499"/>
        </c:manualLayout>
      </c:layout>
      <c:barChart>
        <c:barDir val="col"/>
        <c:grouping val="clustered"/>
        <c:varyColors val="0"/>
        <c:ser>
          <c:idx val="2"/>
          <c:order val="0"/>
          <c:invertIfNegative val="0"/>
          <c:cat>
            <c:strRef>
              <c:f>[5]Reporte!$A$2:$A$5</c:f>
              <c:strCache>
                <c:ptCount val="4"/>
                <c:pt idx="0">
                  <c:v>Costo por fallos Externos</c:v>
                </c:pt>
                <c:pt idx="1">
                  <c:v>Costo por Fallos Internos</c:v>
                </c:pt>
                <c:pt idx="2">
                  <c:v>Valoración</c:v>
                </c:pt>
                <c:pt idx="3">
                  <c:v>Prevención</c:v>
                </c:pt>
              </c:strCache>
            </c:strRef>
          </c:cat>
          <c:val>
            <c:numRef>
              <c:f>[5]Reporte!$B$2:$B$5</c:f>
              <c:numCache>
                <c:formatCode>General</c:formatCode>
                <c:ptCount val="4"/>
                <c:pt idx="0">
                  <c:v>590826</c:v>
                </c:pt>
                <c:pt idx="1">
                  <c:v>265508</c:v>
                </c:pt>
                <c:pt idx="2">
                  <c:v>156347</c:v>
                </c:pt>
                <c:pt idx="3">
                  <c:v>37848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3-0A48-B11D-3086B932A765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'3'!$A$2:$A$5</c:f>
              <c:strCache>
                <c:ptCount val="4"/>
                <c:pt idx="0">
                  <c:v>Costo por fallos Externos</c:v>
                </c:pt>
                <c:pt idx="1">
                  <c:v>Costo por Fallos Internos</c:v>
                </c:pt>
                <c:pt idx="2">
                  <c:v>Valoración</c:v>
                </c:pt>
                <c:pt idx="3">
                  <c:v>Prevención</c:v>
                </c:pt>
              </c:strCache>
            </c:strRef>
          </c:cat>
          <c:val>
            <c:numRef>
              <c:f>'3'!$C$2:$C$5</c:f>
              <c:numCache>
                <c:formatCode>0.00</c:formatCode>
                <c:ptCount val="4"/>
                <c:pt idx="0">
                  <c:v>0.56240808202343773</c:v>
                </c:pt>
                <c:pt idx="1">
                  <c:v>0.25273743038031315</c:v>
                </c:pt>
                <c:pt idx="2">
                  <c:v>0.14882692434002298</c:v>
                </c:pt>
                <c:pt idx="3">
                  <c:v>3.602756325622615E-2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93-0A48-B11D-3086B932A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488680"/>
        <c:axId val="959053720"/>
      </c:barChart>
      <c:lineChart>
        <c:grouping val="standard"/>
        <c:varyColors val="0"/>
        <c:ser>
          <c:idx val="1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'3'!$A$2:$A$5</c:f>
              <c:strCache>
                <c:ptCount val="4"/>
                <c:pt idx="0">
                  <c:v>Costo por fallos Externos</c:v>
                </c:pt>
                <c:pt idx="1">
                  <c:v>Costo por Fallos Internos</c:v>
                </c:pt>
                <c:pt idx="2">
                  <c:v>Valoración</c:v>
                </c:pt>
                <c:pt idx="3">
                  <c:v>Prevención</c:v>
                </c:pt>
              </c:strCache>
            </c:strRef>
          </c:cat>
          <c:val>
            <c:numRef>
              <c:f>'3'!$D$2:$D$5</c:f>
              <c:numCache>
                <c:formatCode>0.00</c:formatCode>
                <c:ptCount val="4"/>
                <c:pt idx="0">
                  <c:v>0.56240808202343773</c:v>
                </c:pt>
                <c:pt idx="1">
                  <c:v>0.81514551240375088</c:v>
                </c:pt>
                <c:pt idx="2">
                  <c:v>0.96397243674377386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93-0A48-B11D-3086B932A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427215"/>
        <c:axId val="1686208159"/>
      </c:lineChart>
      <c:catAx>
        <c:axId val="1482488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959053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9053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482488680"/>
        <c:crosses val="autoZero"/>
        <c:crossBetween val="between"/>
      </c:valAx>
      <c:valAx>
        <c:axId val="1686208159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crossAx val="1631427215"/>
        <c:crosses val="max"/>
        <c:crossBetween val="between"/>
      </c:valAx>
      <c:catAx>
        <c:axId val="16314272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86208159"/>
        <c:crosses val="autoZero"/>
        <c:auto val="1"/>
        <c:lblAlgn val="ctr"/>
        <c:lblOffset val="100"/>
        <c:noMultiLvlLbl val="0"/>
      </c:cat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R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Histograma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'4'!$H$12</c:f>
              <c:strCache>
                <c:ptCount val="1"/>
                <c:pt idx="0">
                  <c:v>Frecuencia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invertIfNegative val="0"/>
          <c:cat>
            <c:strRef>
              <c:f>'4'!$G$13:$G$19</c:f>
              <c:strCache>
                <c:ptCount val="7"/>
                <c:pt idx="0">
                  <c:v>4,908-4,935</c:v>
                </c:pt>
                <c:pt idx="1">
                  <c:v>4,935-4,962</c:v>
                </c:pt>
                <c:pt idx="2">
                  <c:v>4,962-4,989</c:v>
                </c:pt>
                <c:pt idx="3">
                  <c:v>4,989-5,016</c:v>
                </c:pt>
                <c:pt idx="4">
                  <c:v>5,016-5,043</c:v>
                </c:pt>
                <c:pt idx="5">
                  <c:v>5,043-5,070</c:v>
                </c:pt>
                <c:pt idx="6">
                  <c:v>5,070-5,097</c:v>
                </c:pt>
              </c:strCache>
            </c:strRef>
          </c:cat>
          <c:val>
            <c:numRef>
              <c:f>'4'!$H$13:$H$19</c:f>
              <c:numCache>
                <c:formatCode>General</c:formatCode>
                <c:ptCount val="7"/>
                <c:pt idx="0">
                  <c:v>4</c:v>
                </c:pt>
                <c:pt idx="1">
                  <c:v>10</c:v>
                </c:pt>
                <c:pt idx="2">
                  <c:v>9</c:v>
                </c:pt>
                <c:pt idx="3">
                  <c:v>13</c:v>
                </c:pt>
                <c:pt idx="4">
                  <c:v>10</c:v>
                </c:pt>
                <c:pt idx="5">
                  <c:v>8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B-B247-B1EE-FC8226D8D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59126968"/>
        <c:axId val="959129976"/>
      </c:barChart>
      <c:catAx>
        <c:axId val="959126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9129976"/>
        <c:crosses val="autoZero"/>
        <c:auto val="1"/>
        <c:lblAlgn val="ctr"/>
        <c:lblOffset val="100"/>
        <c:noMultiLvlLbl val="0"/>
      </c:catAx>
      <c:valAx>
        <c:axId val="959129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9126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Diagrama</a:t>
            </a:r>
            <a:r>
              <a:rPr lang="en-US" baseline="0"/>
              <a:t> de Pareto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'4'!$B$46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cat>
            <c:strRef>
              <c:f>'4'!$A$47:$A$55</c:f>
              <c:strCache>
                <c:ptCount val="9"/>
                <c:pt idx="1">
                  <c:v>1. Fuga de agua en mangueras </c:v>
                </c:pt>
                <c:pt idx="2">
                  <c:v>2. Manijas rotas</c:v>
                </c:pt>
                <c:pt idx="3">
                  <c:v>3. Puerta no cierra</c:v>
                </c:pt>
                <c:pt idx="4">
                  <c:v>4. Bisagras vencidas </c:v>
                </c:pt>
                <c:pt idx="5">
                  <c:v>5. No produce hielo </c:v>
                </c:pt>
                <c:pt idx="6">
                  <c:v>6. Soportes de charolas rotos</c:v>
                </c:pt>
                <c:pt idx="7">
                  <c:v>7. Falla de compresor</c:v>
                </c:pt>
                <c:pt idx="8">
                  <c:v>8. Temperatura</c:v>
                </c:pt>
              </c:strCache>
            </c:strRef>
          </c:cat>
          <c:val>
            <c:numRef>
              <c:f>'4'!$B$47:$B$55</c:f>
              <c:numCache>
                <c:formatCode>0%</c:formatCode>
                <c:ptCount val="9"/>
                <c:pt idx="0" formatCode="General">
                  <c:v>0</c:v>
                </c:pt>
                <c:pt idx="1">
                  <c:v>0.40298507462686567</c:v>
                </c:pt>
                <c:pt idx="2">
                  <c:v>0.26865671641791045</c:v>
                </c:pt>
                <c:pt idx="3">
                  <c:v>0.11940298507462686</c:v>
                </c:pt>
                <c:pt idx="4">
                  <c:v>5.9701492537313432E-2</c:v>
                </c:pt>
                <c:pt idx="5">
                  <c:v>5.9701492537313432E-2</c:v>
                </c:pt>
                <c:pt idx="6">
                  <c:v>2.9850746268656716E-2</c:v>
                </c:pt>
                <c:pt idx="7">
                  <c:v>2.9850746268656716E-2</c:v>
                </c:pt>
                <c:pt idx="8">
                  <c:v>2.9850746268656716E-2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1-8241-B6D3-2EB6A2A84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59164456"/>
        <c:axId val="959167432"/>
      </c:barChart>
      <c:lineChart>
        <c:grouping val="standard"/>
        <c:varyColors val="0"/>
        <c:ser>
          <c:idx val="1"/>
          <c:order val="1"/>
          <c:tx>
            <c:strRef>
              <c:f>'4'!$C$46</c:f>
              <c:strCache>
                <c:ptCount val="1"/>
                <c:pt idx="0">
                  <c:v>PORCENTAJE ACUMULADO</c:v>
                </c:pt>
              </c:strCache>
            </c:strRef>
          </c:tx>
          <c:marker>
            <c:symbol val="none"/>
          </c:marker>
          <c:cat>
            <c:strRef>
              <c:f>'4'!$A$47:$A$55</c:f>
              <c:strCache>
                <c:ptCount val="9"/>
                <c:pt idx="1">
                  <c:v>1. Fuga de agua en mangueras </c:v>
                </c:pt>
                <c:pt idx="2">
                  <c:v>2. Manijas rotas</c:v>
                </c:pt>
                <c:pt idx="3">
                  <c:v>3. Puerta no cierra</c:v>
                </c:pt>
                <c:pt idx="4">
                  <c:v>4. Bisagras vencidas </c:v>
                </c:pt>
                <c:pt idx="5">
                  <c:v>5. No produce hielo </c:v>
                </c:pt>
                <c:pt idx="6">
                  <c:v>6. Soportes de charolas rotos</c:v>
                </c:pt>
                <c:pt idx="7">
                  <c:v>7. Falla de compresor</c:v>
                </c:pt>
                <c:pt idx="8">
                  <c:v>8. Temperatura</c:v>
                </c:pt>
              </c:strCache>
            </c:strRef>
          </c:cat>
          <c:val>
            <c:numRef>
              <c:f>'4'!$C$47:$C$55</c:f>
              <c:numCache>
                <c:formatCode>0%</c:formatCode>
                <c:ptCount val="9"/>
                <c:pt idx="1">
                  <c:v>0.40298507462686567</c:v>
                </c:pt>
                <c:pt idx="2">
                  <c:v>0.67164179104477606</c:v>
                </c:pt>
                <c:pt idx="3">
                  <c:v>0.79104477611940294</c:v>
                </c:pt>
                <c:pt idx="4">
                  <c:v>0.85074626865671632</c:v>
                </c:pt>
                <c:pt idx="5">
                  <c:v>0.9104477611940297</c:v>
                </c:pt>
                <c:pt idx="6">
                  <c:v>0.94029850746268639</c:v>
                </c:pt>
                <c:pt idx="7">
                  <c:v>0.97014925373134309</c:v>
                </c:pt>
                <c:pt idx="8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C1-8241-B6D3-2EB6A2A84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164456"/>
        <c:axId val="959167432"/>
      </c:lineChart>
      <c:catAx>
        <c:axId val="959164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59167432"/>
        <c:crosses val="autoZero"/>
        <c:auto val="1"/>
        <c:lblAlgn val="ctr"/>
        <c:lblOffset val="100"/>
        <c:noMultiLvlLbl val="0"/>
      </c:catAx>
      <c:valAx>
        <c:axId val="9591674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9591644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txData>
          <cx:v>Causas de Rechazo  Tarjetas de Circuito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rPr>
            <a:t>Causas de Rechazo  Tarjetas de Circuito</a:t>
          </a:r>
        </a:p>
      </cx:txPr>
    </cx:title>
    <cx:plotArea>
      <cx:plotAreaRegion>
        <cx:series layoutId="clusteredColumn" uniqueId="{CE1E3065-41FA-4948-837D-810210184DD2}">
          <cx:tx>
            <cx:txData>
              <cx:f>_xlchart.v1.2</cx:f>
              <cx:v>Frecuencia</cx:v>
            </cx:txData>
          </cx:tx>
          <cx:dataId val="0"/>
          <cx:layoutPr>
            <cx:aggregation/>
          </cx:layoutPr>
          <cx:axisId val="1"/>
        </cx:series>
        <cx:series layoutId="paretoLine" ownerIdx="0" uniqueId="{36944B19-6081-D240-9115-A953C37D5D14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13603</xdr:colOff>
      <xdr:row>16</xdr:row>
      <xdr:rowOff>2720</xdr:rowOff>
    </xdr:from>
    <xdr:to>
      <xdr:col>5</xdr:col>
      <xdr:colOff>0</xdr:colOff>
      <xdr:row>42</xdr:row>
      <xdr:rowOff>163286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0" name="Chart 9">
              <a:extLst>
                <a:ext uri="{FF2B5EF4-FFF2-40B4-BE49-F238E27FC236}">
                  <a16:creationId xmlns:a16="http://schemas.microsoft.com/office/drawing/2014/main" id="{D99CE046-6CFA-3ECD-3B46-3F1AFBE716D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9103" y="3330120"/>
              <a:ext cx="6996797" cy="544376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25400</xdr:rowOff>
    </xdr:from>
    <xdr:to>
      <xdr:col>14</xdr:col>
      <xdr:colOff>584200</xdr:colOff>
      <xdr:row>16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17</xdr:row>
      <xdr:rowOff>25400</xdr:rowOff>
    </xdr:from>
    <xdr:to>
      <xdr:col>14</xdr:col>
      <xdr:colOff>584200</xdr:colOff>
      <xdr:row>32</xdr:row>
      <xdr:rowOff>139700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33</xdr:row>
      <xdr:rowOff>114300</xdr:rowOff>
    </xdr:from>
    <xdr:to>
      <xdr:col>14</xdr:col>
      <xdr:colOff>609600</xdr:colOff>
      <xdr:row>49</xdr:row>
      <xdr:rowOff>76200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absoluteAnchor>
    <xdr:pos x="101600" y="1981201"/>
    <xdr:ext cx="7158567" cy="4635500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33336</xdr:colOff>
      <xdr:row>1</xdr:row>
      <xdr:rowOff>119062</xdr:rowOff>
    </xdr:from>
    <xdr:to>
      <xdr:col>16</xdr:col>
      <xdr:colOff>762000</xdr:colOff>
      <xdr:row>20</xdr:row>
      <xdr:rowOff>142875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787400</xdr:colOff>
      <xdr:row>21</xdr:row>
      <xdr:rowOff>127000</xdr:rowOff>
    </xdr:from>
    <xdr:to>
      <xdr:col>16</xdr:col>
      <xdr:colOff>596900</xdr:colOff>
      <xdr:row>44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728662</xdr:colOff>
      <xdr:row>56</xdr:row>
      <xdr:rowOff>150812</xdr:rowOff>
    </xdr:from>
    <xdr:to>
      <xdr:col>14</xdr:col>
      <xdr:colOff>479425</xdr:colOff>
      <xdr:row>56</xdr:row>
      <xdr:rowOff>150812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11587162" y="12304712"/>
          <a:ext cx="4703763" cy="0"/>
        </a:xfrm>
        <a:prstGeom prst="line">
          <a:avLst/>
        </a:prstGeom>
        <a:noFill/>
        <a:ln w="38100">
          <a:solidFill>
            <a:schemeClr val="tx1"/>
          </a:solidFill>
          <a:round/>
          <a:headEnd type="none"/>
          <a:tailEnd type="triangle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endParaRPr lang="es-CR"/>
        </a:p>
      </xdr:txBody>
    </xdr:sp>
    <xdr:clientData/>
  </xdr:twoCellAnchor>
  <xdr:twoCellAnchor>
    <xdr:from>
      <xdr:col>13</xdr:col>
      <xdr:colOff>15875</xdr:colOff>
      <xdr:row>50</xdr:row>
      <xdr:rowOff>96837</xdr:rowOff>
    </xdr:from>
    <xdr:to>
      <xdr:col>14</xdr:col>
      <xdr:colOff>95250</xdr:colOff>
      <xdr:row>56</xdr:row>
      <xdr:rowOff>150812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15001875" y="10853737"/>
          <a:ext cx="904875" cy="1450975"/>
        </a:xfrm>
        <a:prstGeom prst="line">
          <a:avLst/>
        </a:prstGeom>
        <a:noFill/>
        <a:ln w="1905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endParaRPr lang="es-CR"/>
        </a:p>
      </xdr:txBody>
    </xdr:sp>
    <xdr:clientData/>
  </xdr:twoCellAnchor>
  <xdr:twoCellAnchor>
    <xdr:from>
      <xdr:col>13</xdr:col>
      <xdr:colOff>304800</xdr:colOff>
      <xdr:row>56</xdr:row>
      <xdr:rowOff>150812</xdr:rowOff>
    </xdr:from>
    <xdr:to>
      <xdr:col>14</xdr:col>
      <xdr:colOff>95250</xdr:colOff>
      <xdr:row>63</xdr:row>
      <xdr:rowOff>77787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 flipH="1">
          <a:off x="15290800" y="12304712"/>
          <a:ext cx="615950" cy="1260475"/>
        </a:xfrm>
        <a:prstGeom prst="line">
          <a:avLst/>
        </a:prstGeom>
        <a:noFill/>
        <a:ln w="1905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endParaRPr lang="es-CR"/>
        </a:p>
      </xdr:txBody>
    </xdr:sp>
    <xdr:clientData/>
  </xdr:twoCellAnchor>
  <xdr:twoCellAnchor>
    <xdr:from>
      <xdr:col>11</xdr:col>
      <xdr:colOff>371475</xdr:colOff>
      <xdr:row>56</xdr:row>
      <xdr:rowOff>136525</xdr:rowOff>
    </xdr:from>
    <xdr:to>
      <xdr:col>12</xdr:col>
      <xdr:colOff>252412</xdr:colOff>
      <xdr:row>63</xdr:row>
      <xdr:rowOff>149225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 flipH="1">
          <a:off x="13706475" y="12290425"/>
          <a:ext cx="706437" cy="1346200"/>
        </a:xfrm>
        <a:prstGeom prst="line">
          <a:avLst/>
        </a:prstGeom>
        <a:noFill/>
        <a:ln w="1905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endParaRPr lang="es-CR"/>
        </a:p>
      </xdr:txBody>
    </xdr:sp>
    <xdr:clientData/>
  </xdr:twoCellAnchor>
  <xdr:twoCellAnchor>
    <xdr:from>
      <xdr:col>11</xdr:col>
      <xdr:colOff>227012</xdr:colOff>
      <xdr:row>50</xdr:row>
      <xdr:rowOff>96837</xdr:rowOff>
    </xdr:from>
    <xdr:to>
      <xdr:col>12</xdr:col>
      <xdr:colOff>241300</xdr:colOff>
      <xdr:row>56</xdr:row>
      <xdr:rowOff>115887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 flipH="1" flipV="1">
          <a:off x="13562012" y="10853737"/>
          <a:ext cx="839788" cy="1416050"/>
        </a:xfrm>
        <a:prstGeom prst="line">
          <a:avLst/>
        </a:prstGeom>
        <a:noFill/>
        <a:ln w="1905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endParaRPr lang="es-CR"/>
        </a:p>
      </xdr:txBody>
    </xdr:sp>
    <xdr:clientData/>
  </xdr:twoCellAnchor>
  <xdr:twoCellAnchor>
    <xdr:from>
      <xdr:col>9</xdr:col>
      <xdr:colOff>365125</xdr:colOff>
      <xdr:row>56</xdr:row>
      <xdr:rowOff>136525</xdr:rowOff>
    </xdr:from>
    <xdr:to>
      <xdr:col>10</xdr:col>
      <xdr:colOff>422275</xdr:colOff>
      <xdr:row>63</xdr:row>
      <xdr:rowOff>149225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ShapeType="1"/>
        </xdr:cNvSpPr>
      </xdr:nvSpPr>
      <xdr:spPr bwMode="auto">
        <a:xfrm flipH="1">
          <a:off x="12049125" y="12290425"/>
          <a:ext cx="882650" cy="1346200"/>
        </a:xfrm>
        <a:prstGeom prst="line">
          <a:avLst/>
        </a:prstGeom>
        <a:noFill/>
        <a:ln w="1905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endParaRPr lang="es-CR"/>
        </a:p>
      </xdr:txBody>
    </xdr:sp>
    <xdr:clientData/>
  </xdr:twoCellAnchor>
  <xdr:twoCellAnchor>
    <xdr:from>
      <xdr:col>9</xdr:col>
      <xdr:colOff>222250</xdr:colOff>
      <xdr:row>50</xdr:row>
      <xdr:rowOff>96837</xdr:rowOff>
    </xdr:from>
    <xdr:to>
      <xdr:col>10</xdr:col>
      <xdr:colOff>422275</xdr:colOff>
      <xdr:row>56</xdr:row>
      <xdr:rowOff>115887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ShapeType="1"/>
        </xdr:cNvSpPr>
      </xdr:nvSpPr>
      <xdr:spPr bwMode="auto">
        <a:xfrm flipH="1" flipV="1">
          <a:off x="11906250" y="10853737"/>
          <a:ext cx="1025525" cy="1416050"/>
        </a:xfrm>
        <a:prstGeom prst="line">
          <a:avLst/>
        </a:prstGeom>
        <a:noFill/>
        <a:ln w="1905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endParaRPr lang="es-CR"/>
        </a:p>
      </xdr:txBody>
    </xdr:sp>
    <xdr:clientData/>
  </xdr:twoCellAnchor>
  <xdr:twoCellAnchor>
    <xdr:from>
      <xdr:col>14</xdr:col>
      <xdr:colOff>487362</xdr:colOff>
      <xdr:row>54</xdr:row>
      <xdr:rowOff>76200</xdr:rowOff>
    </xdr:from>
    <xdr:to>
      <xdr:col>16</xdr:col>
      <xdr:colOff>131762</xdr:colOff>
      <xdr:row>59</xdr:row>
      <xdr:rowOff>47625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6298862" y="11836400"/>
          <a:ext cx="1295400" cy="936625"/>
        </a:xfrm>
        <a:prstGeom prst="rect">
          <a:avLst/>
        </a:prstGeom>
        <a:noFill/>
        <a:ln w="19050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pPr algn="ctr" eaLnBrk="1" hangingPunct="1"/>
          <a:endParaRPr lang="en-US" sz="1000">
            <a:cs typeface="Arial" charset="0"/>
          </a:endParaRPr>
        </a:p>
        <a:p>
          <a:pPr algn="ctr" eaLnBrk="1" hangingPunct="1"/>
          <a:r>
            <a:rPr lang="en-US" sz="1000">
              <a:cs typeface="Arial" charset="0"/>
            </a:rPr>
            <a:t>% de Refrigeradoas defectuosas</a:t>
          </a:r>
        </a:p>
        <a:p>
          <a:pPr algn="ctr"/>
          <a:endParaRPr lang="en-US" sz="1000"/>
        </a:p>
      </xdr:txBody>
    </xdr:sp>
    <xdr:clientData/>
  </xdr:twoCellAnchor>
  <xdr:twoCellAnchor>
    <xdr:from>
      <xdr:col>8</xdr:col>
      <xdr:colOff>327025</xdr:colOff>
      <xdr:row>48</xdr:row>
      <xdr:rowOff>0</xdr:rowOff>
    </xdr:from>
    <xdr:to>
      <xdr:col>9</xdr:col>
      <xdr:colOff>808037</xdr:colOff>
      <xdr:row>50</xdr:row>
      <xdr:rowOff>101600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11185525" y="10350500"/>
          <a:ext cx="1306512" cy="508000"/>
        </a:xfrm>
        <a:prstGeom prst="rect">
          <a:avLst/>
        </a:prstGeom>
        <a:noFill/>
        <a:ln w="19050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pPr algn="ctr" eaLnBrk="1" hangingPunct="1"/>
          <a:endParaRPr lang="en-US" sz="1000"/>
        </a:p>
        <a:p>
          <a:pPr algn="ctr" eaLnBrk="1" hangingPunct="1"/>
          <a:r>
            <a:rPr lang="en-US" sz="1000"/>
            <a:t>METODO</a:t>
          </a:r>
          <a:endParaRPr lang="en-US" sz="1000">
            <a:cs typeface="Times New Roman" charset="0"/>
          </a:endParaRPr>
        </a:p>
        <a:p>
          <a:pPr algn="ctr"/>
          <a:endParaRPr lang="en-US" sz="1000"/>
        </a:p>
      </xdr:txBody>
    </xdr:sp>
    <xdr:clientData/>
  </xdr:twoCellAnchor>
  <xdr:twoCellAnchor>
    <xdr:from>
      <xdr:col>10</xdr:col>
      <xdr:colOff>260350</xdr:colOff>
      <xdr:row>48</xdr:row>
      <xdr:rowOff>0</xdr:rowOff>
    </xdr:from>
    <xdr:to>
      <xdr:col>12</xdr:col>
      <xdr:colOff>28575</xdr:colOff>
      <xdr:row>50</xdr:row>
      <xdr:rowOff>80962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12769850" y="10350500"/>
          <a:ext cx="1419225" cy="487362"/>
        </a:xfrm>
        <a:prstGeom prst="rect">
          <a:avLst/>
        </a:prstGeom>
        <a:noFill/>
        <a:ln w="19050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pPr algn="ctr" eaLnBrk="1" hangingPunct="1"/>
          <a:endParaRPr lang="en-US" sz="1000"/>
        </a:p>
        <a:p>
          <a:pPr algn="ctr" eaLnBrk="1" hangingPunct="1"/>
          <a:r>
            <a:rPr lang="en-US" sz="1000"/>
            <a:t>MATERIALES</a:t>
          </a:r>
          <a:endParaRPr lang="en-US" sz="1000">
            <a:cs typeface="Times New Roman" charset="0"/>
          </a:endParaRPr>
        </a:p>
        <a:p>
          <a:pPr algn="ctr"/>
          <a:endParaRPr lang="en-US" sz="1000"/>
        </a:p>
      </xdr:txBody>
    </xdr:sp>
    <xdr:clientData/>
  </xdr:twoCellAnchor>
  <xdr:twoCellAnchor>
    <xdr:from>
      <xdr:col>12</xdr:col>
      <xdr:colOff>409575</xdr:colOff>
      <xdr:row>48</xdr:row>
      <xdr:rowOff>0</xdr:rowOff>
    </xdr:from>
    <xdr:to>
      <xdr:col>14</xdr:col>
      <xdr:colOff>233362</xdr:colOff>
      <xdr:row>50</xdr:row>
      <xdr:rowOff>79375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14570075" y="10350500"/>
          <a:ext cx="1474787" cy="485775"/>
        </a:xfrm>
        <a:prstGeom prst="rect">
          <a:avLst/>
        </a:prstGeom>
        <a:noFill/>
        <a:ln w="19050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pPr algn="ctr" eaLnBrk="1" hangingPunct="1"/>
          <a:endParaRPr lang="en-US" sz="1000"/>
        </a:p>
        <a:p>
          <a:pPr algn="ctr" eaLnBrk="1" hangingPunct="1"/>
          <a:r>
            <a:rPr lang="en-US" sz="1000"/>
            <a:t>MANO DE OBRA</a:t>
          </a:r>
          <a:endParaRPr lang="en-US" sz="1000">
            <a:cs typeface="Times New Roman" charset="0"/>
          </a:endParaRPr>
        </a:p>
        <a:p>
          <a:pPr algn="ctr"/>
          <a:endParaRPr lang="en-US" sz="1000"/>
        </a:p>
      </xdr:txBody>
    </xdr:sp>
    <xdr:clientData/>
  </xdr:twoCellAnchor>
  <xdr:twoCellAnchor>
    <xdr:from>
      <xdr:col>8</xdr:col>
      <xdr:colOff>457200</xdr:colOff>
      <xdr:row>63</xdr:row>
      <xdr:rowOff>139700</xdr:rowOff>
    </xdr:from>
    <xdr:to>
      <xdr:col>10</xdr:col>
      <xdr:colOff>228600</xdr:colOff>
      <xdr:row>66</xdr:row>
      <xdr:rowOff>82550</xdr:rowOff>
    </xdr:to>
    <xdr:sp macro="" textlink="">
      <xdr:nvSpPr>
        <xdr:cNvPr id="15" name="Text Box 16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11315700" y="13627100"/>
          <a:ext cx="1422400" cy="514350"/>
        </a:xfrm>
        <a:prstGeom prst="rect">
          <a:avLst/>
        </a:prstGeom>
        <a:noFill/>
        <a:ln w="19050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pPr algn="ctr" eaLnBrk="1" hangingPunct="1"/>
          <a:endParaRPr lang="en-US" sz="1000"/>
        </a:p>
        <a:p>
          <a:pPr algn="ctr" eaLnBrk="1" hangingPunct="1"/>
          <a:r>
            <a:rPr lang="en-US" sz="1000"/>
            <a:t>MAQUINARIA</a:t>
          </a:r>
          <a:endParaRPr lang="en-US" sz="1000">
            <a:cs typeface="Times New Roman" charset="0"/>
          </a:endParaRPr>
        </a:p>
        <a:p>
          <a:pPr algn="ctr"/>
          <a:endParaRPr lang="en-US" sz="1000"/>
        </a:p>
      </xdr:txBody>
    </xdr:sp>
    <xdr:clientData/>
  </xdr:twoCellAnchor>
  <xdr:twoCellAnchor>
    <xdr:from>
      <xdr:col>10</xdr:col>
      <xdr:colOff>485775</xdr:colOff>
      <xdr:row>63</xdr:row>
      <xdr:rowOff>139700</xdr:rowOff>
    </xdr:from>
    <xdr:to>
      <xdr:col>12</xdr:col>
      <xdr:colOff>193675</xdr:colOff>
      <xdr:row>66</xdr:row>
      <xdr:rowOff>82550</xdr:rowOff>
    </xdr:to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12995275" y="13627100"/>
          <a:ext cx="1358900" cy="514350"/>
        </a:xfrm>
        <a:prstGeom prst="rect">
          <a:avLst/>
        </a:prstGeom>
        <a:noFill/>
        <a:ln w="19050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pPr algn="ctr" eaLnBrk="1" hangingPunct="1"/>
          <a:endParaRPr lang="en-US" sz="1000"/>
        </a:p>
        <a:p>
          <a:pPr algn="ctr" eaLnBrk="1" hangingPunct="1"/>
          <a:r>
            <a:rPr lang="en-US" sz="1000"/>
            <a:t>MEDIO AMBIENTE</a:t>
          </a:r>
          <a:endParaRPr lang="en-US" sz="1000">
            <a:cs typeface="Times New Roman" charset="0"/>
          </a:endParaRPr>
        </a:p>
        <a:p>
          <a:pPr algn="ctr"/>
          <a:endParaRPr lang="en-US" sz="1000"/>
        </a:p>
      </xdr:txBody>
    </xdr:sp>
    <xdr:clientData/>
  </xdr:twoCellAnchor>
  <xdr:twoCellAnchor>
    <xdr:from>
      <xdr:col>12</xdr:col>
      <xdr:colOff>595312</xdr:colOff>
      <xdr:row>63</xdr:row>
      <xdr:rowOff>139700</xdr:rowOff>
    </xdr:from>
    <xdr:to>
      <xdr:col>14</xdr:col>
      <xdr:colOff>171450</xdr:colOff>
      <xdr:row>66</xdr:row>
      <xdr:rowOff>82550</xdr:rowOff>
    </xdr:to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14755812" y="13627100"/>
          <a:ext cx="1227138" cy="514350"/>
        </a:xfrm>
        <a:prstGeom prst="rect">
          <a:avLst/>
        </a:prstGeom>
        <a:noFill/>
        <a:ln w="19050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pPr algn="ctr" eaLnBrk="1" hangingPunct="1"/>
          <a:endParaRPr lang="en-US" sz="1000"/>
        </a:p>
        <a:p>
          <a:pPr algn="ctr" eaLnBrk="1" hangingPunct="1"/>
          <a:r>
            <a:rPr lang="en-US" sz="1000"/>
            <a:t>MEDICION</a:t>
          </a:r>
          <a:endParaRPr lang="en-US" sz="1000">
            <a:cs typeface="Times New Roman" charset="0"/>
          </a:endParaRPr>
        </a:p>
        <a:p>
          <a:pPr algn="ctr"/>
          <a:endParaRPr lang="en-US" sz="1000"/>
        </a:p>
      </xdr:txBody>
    </xdr:sp>
    <xdr:clientData/>
  </xdr:twoCellAnchor>
  <xdr:twoCellAnchor>
    <xdr:from>
      <xdr:col>7</xdr:col>
      <xdr:colOff>762000</xdr:colOff>
      <xdr:row>51</xdr:row>
      <xdr:rowOff>38100</xdr:rowOff>
    </xdr:from>
    <xdr:to>
      <xdr:col>9</xdr:col>
      <xdr:colOff>198437</xdr:colOff>
      <xdr:row>52</xdr:row>
      <xdr:rowOff>111899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10795000" y="10998200"/>
          <a:ext cx="1087437" cy="27699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pPr eaLnBrk="1" hangingPunct="1">
            <a:spcBef>
              <a:spcPct val="50000"/>
            </a:spcBef>
          </a:pPr>
          <a:r>
            <a:rPr lang="es-MX" sz="1200"/>
            <a:t>Inexistente</a:t>
          </a:r>
        </a:p>
      </xdr:txBody>
    </xdr:sp>
    <xdr:clientData/>
  </xdr:twoCellAnchor>
  <xdr:twoCellAnchor>
    <xdr:from>
      <xdr:col>7</xdr:col>
      <xdr:colOff>800100</xdr:colOff>
      <xdr:row>52</xdr:row>
      <xdr:rowOff>195262</xdr:rowOff>
    </xdr:from>
    <xdr:to>
      <xdr:col>9</xdr:col>
      <xdr:colOff>554037</xdr:colOff>
      <xdr:row>54</xdr:row>
      <xdr:rowOff>65861</xdr:rowOff>
    </xdr:to>
    <xdr:sp macro="" textlink="">
      <xdr:nvSpPr>
        <xdr:cNvPr id="19" name="Text Box 24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10833100" y="11358562"/>
          <a:ext cx="1404937" cy="46749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pPr marL="0" indent="0" algn="l" rtl="0" eaLnBrk="1" fontAlgn="base" hangingPunct="1">
            <a:spcBef>
              <a:spcPct val="50000"/>
            </a:spcBef>
            <a:spcAft>
              <a:spcPct val="0"/>
            </a:spcAft>
          </a:pPr>
          <a:r>
            <a:rPr lang="es-MX" sz="1200"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rPr>
            <a:t>No estandarizado</a:t>
          </a:r>
        </a:p>
      </xdr:txBody>
    </xdr:sp>
    <xdr:clientData/>
  </xdr:twoCellAnchor>
  <xdr:twoCellAnchor>
    <xdr:from>
      <xdr:col>8</xdr:col>
      <xdr:colOff>546100</xdr:colOff>
      <xdr:row>54</xdr:row>
      <xdr:rowOff>147637</xdr:rowOff>
    </xdr:from>
    <xdr:to>
      <xdr:col>9</xdr:col>
      <xdr:colOff>774700</xdr:colOff>
      <xdr:row>56</xdr:row>
      <xdr:rowOff>30936</xdr:rowOff>
    </xdr:to>
    <xdr:sp macro="" textlink="">
      <xdr:nvSpPr>
        <xdr:cNvPr id="20" name="Text Box 25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11404600" y="11907837"/>
          <a:ext cx="1054100" cy="27699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pPr eaLnBrk="1" hangingPunct="1">
            <a:spcBef>
              <a:spcPct val="50000"/>
            </a:spcBef>
          </a:pPr>
          <a:r>
            <a:rPr lang="es-MX" sz="1200"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rPr>
            <a:t>inadecuado</a:t>
          </a:r>
        </a:p>
      </xdr:txBody>
    </xdr:sp>
    <xdr:clientData/>
  </xdr:twoCellAnchor>
  <xdr:twoCellAnchor>
    <xdr:from>
      <xdr:col>10</xdr:col>
      <xdr:colOff>44450</xdr:colOff>
      <xdr:row>51</xdr:row>
      <xdr:rowOff>38100</xdr:rowOff>
    </xdr:from>
    <xdr:to>
      <xdr:col>11</xdr:col>
      <xdr:colOff>444500</xdr:colOff>
      <xdr:row>52</xdr:row>
      <xdr:rowOff>111899</xdr:rowOff>
    </xdr:to>
    <xdr:sp macro="" textlink="">
      <xdr:nvSpPr>
        <xdr:cNvPr id="21" name="Text Box 26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12553950" y="10998200"/>
          <a:ext cx="1225550" cy="27699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pPr eaLnBrk="1" hangingPunct="1">
            <a:spcBef>
              <a:spcPct val="50000"/>
            </a:spcBef>
          </a:pPr>
          <a:r>
            <a:rPr lang="es-MX" sz="1200"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rPr>
            <a:t>Insuficientes</a:t>
          </a:r>
        </a:p>
      </xdr:txBody>
    </xdr:sp>
    <xdr:clientData/>
  </xdr:twoCellAnchor>
  <xdr:twoCellAnchor>
    <xdr:from>
      <xdr:col>10</xdr:col>
      <xdr:colOff>404812</xdr:colOff>
      <xdr:row>52</xdr:row>
      <xdr:rowOff>195262</xdr:rowOff>
    </xdr:from>
    <xdr:to>
      <xdr:col>11</xdr:col>
      <xdr:colOff>673100</xdr:colOff>
      <xdr:row>54</xdr:row>
      <xdr:rowOff>65861</xdr:rowOff>
    </xdr:to>
    <xdr:sp macro="" textlink="">
      <xdr:nvSpPr>
        <xdr:cNvPr id="22" name="Text Box 27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12914312" y="11358562"/>
          <a:ext cx="1093788" cy="46749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pPr eaLnBrk="1" hangingPunct="1">
            <a:spcBef>
              <a:spcPct val="50000"/>
            </a:spcBef>
          </a:pPr>
          <a:r>
            <a:rPr lang="es-MX" sz="1200"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rPr>
            <a:t>Mala calidad</a:t>
          </a:r>
        </a:p>
      </xdr:txBody>
    </xdr:sp>
    <xdr:clientData/>
  </xdr:twoCellAnchor>
  <xdr:twoCellAnchor>
    <xdr:from>
      <xdr:col>10</xdr:col>
      <xdr:colOff>444500</xdr:colOff>
      <xdr:row>54</xdr:row>
      <xdr:rowOff>152400</xdr:rowOff>
    </xdr:from>
    <xdr:to>
      <xdr:col>12</xdr:col>
      <xdr:colOff>165099</xdr:colOff>
      <xdr:row>56</xdr:row>
      <xdr:rowOff>35699</xdr:rowOff>
    </xdr:to>
    <xdr:sp macro="" textlink="">
      <xdr:nvSpPr>
        <xdr:cNvPr id="23" name="Text Box 28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12954000" y="11912600"/>
          <a:ext cx="1371599" cy="27699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pPr eaLnBrk="1" hangingPunct="1">
            <a:spcBef>
              <a:spcPct val="50000"/>
            </a:spcBef>
          </a:pPr>
          <a:r>
            <a:rPr lang="es-MX" sz="1200"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rPr>
            <a:t>Almacenamiento</a:t>
          </a:r>
        </a:p>
      </xdr:txBody>
    </xdr:sp>
    <xdr:clientData/>
  </xdr:twoCellAnchor>
  <xdr:twoCellAnchor>
    <xdr:from>
      <xdr:col>11</xdr:col>
      <xdr:colOff>658812</xdr:colOff>
      <xdr:row>51</xdr:row>
      <xdr:rowOff>38100</xdr:rowOff>
    </xdr:from>
    <xdr:to>
      <xdr:col>13</xdr:col>
      <xdr:colOff>177800</xdr:colOff>
      <xdr:row>52</xdr:row>
      <xdr:rowOff>111899</xdr:rowOff>
    </xdr:to>
    <xdr:sp macro="" textlink="">
      <xdr:nvSpPr>
        <xdr:cNvPr id="24" name="Text Box 29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13993812" y="10998200"/>
          <a:ext cx="1169988" cy="27699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pPr eaLnBrk="1" hangingPunct="1">
            <a:spcBef>
              <a:spcPct val="50000"/>
            </a:spcBef>
          </a:pPr>
          <a:r>
            <a:rPr lang="es-MX" sz="1200"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rPr>
            <a:t>Capacitación</a:t>
          </a:r>
        </a:p>
      </xdr:txBody>
    </xdr:sp>
    <xdr:clientData/>
  </xdr:twoCellAnchor>
  <xdr:twoCellAnchor>
    <xdr:from>
      <xdr:col>12</xdr:col>
      <xdr:colOff>193674</xdr:colOff>
      <xdr:row>52</xdr:row>
      <xdr:rowOff>195262</xdr:rowOff>
    </xdr:from>
    <xdr:to>
      <xdr:col>13</xdr:col>
      <xdr:colOff>393699</xdr:colOff>
      <xdr:row>54</xdr:row>
      <xdr:rowOff>65861</xdr:rowOff>
    </xdr:to>
    <xdr:sp macro="" textlink="">
      <xdr:nvSpPr>
        <xdr:cNvPr id="25" name="Text Box 30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14354174" y="11358562"/>
          <a:ext cx="1025525" cy="46749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pPr eaLnBrk="1" hangingPunct="1">
            <a:spcBef>
              <a:spcPct val="50000"/>
            </a:spcBef>
          </a:pPr>
          <a:r>
            <a:rPr lang="es-MX" sz="1200"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rPr>
            <a:t>Insuficiente</a:t>
          </a:r>
        </a:p>
      </xdr:txBody>
    </xdr:sp>
    <xdr:clientData/>
  </xdr:twoCellAnchor>
  <xdr:twoCellAnchor>
    <xdr:from>
      <xdr:col>12</xdr:col>
      <xdr:colOff>355600</xdr:colOff>
      <xdr:row>54</xdr:row>
      <xdr:rowOff>147637</xdr:rowOff>
    </xdr:from>
    <xdr:to>
      <xdr:col>14</xdr:col>
      <xdr:colOff>25400</xdr:colOff>
      <xdr:row>56</xdr:row>
      <xdr:rowOff>30936</xdr:rowOff>
    </xdr:to>
    <xdr:sp macro="" textlink="">
      <xdr:nvSpPr>
        <xdr:cNvPr id="26" name="Text Box 31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14516100" y="11907837"/>
          <a:ext cx="1320800" cy="27699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pPr eaLnBrk="1" hangingPunct="1">
            <a:spcBef>
              <a:spcPct val="50000"/>
            </a:spcBef>
          </a:pPr>
          <a:r>
            <a:rPr lang="es-MX" sz="1200"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rPr>
            <a:t>Desmotivación</a:t>
          </a:r>
        </a:p>
      </xdr:txBody>
    </xdr:sp>
    <xdr:clientData/>
  </xdr:twoCellAnchor>
  <xdr:twoCellAnchor>
    <xdr:from>
      <xdr:col>8</xdr:col>
      <xdr:colOff>762000</xdr:colOff>
      <xdr:row>57</xdr:row>
      <xdr:rowOff>144463</xdr:rowOff>
    </xdr:from>
    <xdr:to>
      <xdr:col>9</xdr:col>
      <xdr:colOff>774700</xdr:colOff>
      <xdr:row>59</xdr:row>
      <xdr:rowOff>40462</xdr:rowOff>
    </xdr:to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11620500" y="12488863"/>
          <a:ext cx="838200" cy="27699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pPr eaLnBrk="1" hangingPunct="1">
            <a:spcBef>
              <a:spcPct val="50000"/>
            </a:spcBef>
          </a:pPr>
          <a:r>
            <a:rPr lang="es-MX" sz="1200"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rPr>
            <a:t>Obsoleta</a:t>
          </a:r>
        </a:p>
      </xdr:txBody>
    </xdr:sp>
    <xdr:clientData/>
  </xdr:twoCellAnchor>
  <xdr:twoCellAnchor>
    <xdr:from>
      <xdr:col>8</xdr:col>
      <xdr:colOff>254000</xdr:colOff>
      <xdr:row>59</xdr:row>
      <xdr:rowOff>123825</xdr:rowOff>
    </xdr:from>
    <xdr:to>
      <xdr:col>9</xdr:col>
      <xdr:colOff>519112</xdr:colOff>
      <xdr:row>61</xdr:row>
      <xdr:rowOff>19824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11112500" y="12849225"/>
          <a:ext cx="1090612" cy="27699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pPr eaLnBrk="1" hangingPunct="1">
            <a:spcBef>
              <a:spcPct val="50000"/>
            </a:spcBef>
          </a:pPr>
          <a:r>
            <a:rPr lang="es-MX" sz="1200"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rPr>
            <a:t>Mal calibrada</a:t>
          </a:r>
        </a:p>
      </xdr:txBody>
    </xdr:sp>
    <xdr:clientData/>
  </xdr:twoCellAnchor>
  <xdr:twoCellAnchor>
    <xdr:from>
      <xdr:col>7</xdr:col>
      <xdr:colOff>774700</xdr:colOff>
      <xdr:row>61</xdr:row>
      <xdr:rowOff>101600</xdr:rowOff>
    </xdr:from>
    <xdr:to>
      <xdr:col>9</xdr:col>
      <xdr:colOff>442912</xdr:colOff>
      <xdr:row>62</xdr:row>
      <xdr:rowOff>188099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10807700" y="13208000"/>
          <a:ext cx="1319212" cy="27699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pPr eaLnBrk="1" hangingPunct="1">
            <a:spcBef>
              <a:spcPct val="50000"/>
            </a:spcBef>
          </a:pPr>
          <a:r>
            <a:rPr lang="es-MX" sz="1200"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rPr>
            <a:t>Mantenimiento</a:t>
          </a:r>
        </a:p>
      </xdr:txBody>
    </xdr:sp>
    <xdr:clientData/>
  </xdr:twoCellAnchor>
  <xdr:twoCellAnchor>
    <xdr:from>
      <xdr:col>10</xdr:col>
      <xdr:colOff>330200</xdr:colOff>
      <xdr:row>57</xdr:row>
      <xdr:rowOff>68262</xdr:rowOff>
    </xdr:from>
    <xdr:to>
      <xdr:col>11</xdr:col>
      <xdr:colOff>730250</xdr:colOff>
      <xdr:row>58</xdr:row>
      <xdr:rowOff>154761</xdr:rowOff>
    </xdr:to>
    <xdr:sp macro="" textlink="">
      <xdr:nvSpPr>
        <xdr:cNvPr id="30" name="Text Box 35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12839700" y="12412662"/>
          <a:ext cx="1225550" cy="27699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pPr eaLnBrk="1" hangingPunct="1">
            <a:spcBef>
              <a:spcPct val="50000"/>
            </a:spcBef>
          </a:pPr>
          <a:r>
            <a:rPr lang="es-MX" sz="1200"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rPr>
            <a:t>No controlado</a:t>
          </a:r>
        </a:p>
      </xdr:txBody>
    </xdr:sp>
    <xdr:clientData/>
  </xdr:twoCellAnchor>
  <xdr:twoCellAnchor>
    <xdr:from>
      <xdr:col>10</xdr:col>
      <xdr:colOff>404812</xdr:colOff>
      <xdr:row>59</xdr:row>
      <xdr:rowOff>50800</xdr:rowOff>
    </xdr:from>
    <xdr:to>
      <xdr:col>11</xdr:col>
      <xdr:colOff>533400</xdr:colOff>
      <xdr:row>60</xdr:row>
      <xdr:rowOff>137299</xdr:rowOff>
    </xdr:to>
    <xdr:sp macro="" textlink="">
      <xdr:nvSpPr>
        <xdr:cNvPr id="31" name="Text Box 36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12914312" y="12776200"/>
          <a:ext cx="954088" cy="27699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pPr eaLnBrk="1" hangingPunct="1">
            <a:spcBef>
              <a:spcPct val="50000"/>
            </a:spcBef>
          </a:pPr>
          <a:r>
            <a:rPr lang="es-MX" sz="1200"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rPr>
            <a:t>Humedad</a:t>
          </a:r>
        </a:p>
      </xdr:txBody>
    </xdr:sp>
    <xdr:clientData/>
  </xdr:twoCellAnchor>
  <xdr:twoCellAnchor>
    <xdr:from>
      <xdr:col>10</xdr:col>
      <xdr:colOff>115886</xdr:colOff>
      <xdr:row>61</xdr:row>
      <xdr:rowOff>101600</xdr:rowOff>
    </xdr:from>
    <xdr:to>
      <xdr:col>11</xdr:col>
      <xdr:colOff>431799</xdr:colOff>
      <xdr:row>62</xdr:row>
      <xdr:rowOff>188099</xdr:rowOff>
    </xdr:to>
    <xdr:sp macro="" textlink="">
      <xdr:nvSpPr>
        <xdr:cNvPr id="32" name="Text Box 37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12625386" y="13208000"/>
          <a:ext cx="1141413" cy="27699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pPr eaLnBrk="1" hangingPunct="1">
            <a:spcBef>
              <a:spcPct val="50000"/>
            </a:spcBef>
          </a:pPr>
          <a:r>
            <a:rPr lang="es-MX" sz="1200"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rPr>
            <a:t>Limpieza</a:t>
          </a:r>
        </a:p>
      </xdr:txBody>
    </xdr:sp>
    <xdr:clientData/>
  </xdr:twoCellAnchor>
  <xdr:twoCellAnchor>
    <xdr:from>
      <xdr:col>12</xdr:col>
      <xdr:colOff>431800</xdr:colOff>
      <xdr:row>57</xdr:row>
      <xdr:rowOff>71437</xdr:rowOff>
    </xdr:from>
    <xdr:to>
      <xdr:col>13</xdr:col>
      <xdr:colOff>615950</xdr:colOff>
      <xdr:row>58</xdr:row>
      <xdr:rowOff>157936</xdr:rowOff>
    </xdr:to>
    <xdr:sp macro="" textlink="">
      <xdr:nvSpPr>
        <xdr:cNvPr id="33" name="Text Box 38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14592300" y="12415837"/>
          <a:ext cx="1009650" cy="27699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pPr eaLnBrk="1" hangingPunct="1">
            <a:spcBef>
              <a:spcPct val="50000"/>
            </a:spcBef>
          </a:pPr>
          <a:r>
            <a:rPr lang="es-MX" sz="1200"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rPr>
            <a:t>No se mide</a:t>
          </a:r>
        </a:p>
      </xdr:txBody>
    </xdr:sp>
    <xdr:clientData/>
  </xdr:twoCellAnchor>
  <xdr:twoCellAnchor>
    <xdr:from>
      <xdr:col>12</xdr:col>
      <xdr:colOff>25400</xdr:colOff>
      <xdr:row>59</xdr:row>
      <xdr:rowOff>50800</xdr:rowOff>
    </xdr:from>
    <xdr:to>
      <xdr:col>13</xdr:col>
      <xdr:colOff>469900</xdr:colOff>
      <xdr:row>61</xdr:row>
      <xdr:rowOff>131465</xdr:rowOff>
    </xdr:to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14185900" y="12776200"/>
          <a:ext cx="1270000" cy="46166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pPr eaLnBrk="1" hangingPunct="1">
            <a:spcBef>
              <a:spcPct val="50000"/>
            </a:spcBef>
          </a:pPr>
          <a:r>
            <a:rPr lang="es-MX" sz="1200"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rPr>
            <a:t>No se tiene los medios</a:t>
          </a:r>
        </a:p>
      </xdr:txBody>
    </xdr:sp>
    <xdr:clientData/>
  </xdr:twoCellAnchor>
  <xdr:twoCellAnchor>
    <xdr:from>
      <xdr:col>11</xdr:col>
      <xdr:colOff>546100</xdr:colOff>
      <xdr:row>61</xdr:row>
      <xdr:rowOff>101600</xdr:rowOff>
    </xdr:from>
    <xdr:to>
      <xdr:col>13</xdr:col>
      <xdr:colOff>457200</xdr:colOff>
      <xdr:row>62</xdr:row>
      <xdr:rowOff>188099</xdr:rowOff>
    </xdr:to>
    <xdr:sp macro="" textlink="">
      <xdr:nvSpPr>
        <xdr:cNvPr id="35" name="Text Box 40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13881100" y="13208000"/>
          <a:ext cx="1562100" cy="27699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5pPr>
          <a:lvl6pPr marL="22860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6pPr>
          <a:lvl7pPr marL="27432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7pPr>
          <a:lvl8pPr marL="32004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8pPr>
          <a:lvl9pPr marL="3657600" algn="l" defTabSz="457200" rtl="0" eaLnBrk="1" latinLnBrk="0" hangingPunct="1">
            <a:defRPr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defRPr>
          </a:lvl9pPr>
        </a:lstStyle>
        <a:p>
          <a:pPr eaLnBrk="1" hangingPunct="1">
            <a:spcBef>
              <a:spcPct val="50000"/>
            </a:spcBef>
          </a:pPr>
          <a:r>
            <a:rPr lang="es-MX" sz="1200" kern="1200">
              <a:solidFill>
                <a:schemeClr val="tx1"/>
              </a:solidFill>
              <a:latin typeface="Arial" charset="0"/>
              <a:ea typeface="ＭＳ Ｐゴシック" charset="0"/>
              <a:cs typeface="+mn-cs"/>
            </a:rPr>
            <a:t>No hay seguimiento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160866</xdr:rowOff>
    </xdr:from>
    <xdr:to>
      <xdr:col>9</xdr:col>
      <xdr:colOff>133352</xdr:colOff>
      <xdr:row>26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60866"/>
          <a:ext cx="7435852" cy="4957234"/>
        </a:xfrm>
        <a:prstGeom prst="rect">
          <a:avLst/>
        </a:prstGeom>
      </xdr:spPr>
    </xdr:pic>
    <xdr:clientData/>
  </xdr:twoCellAnchor>
  <xdr:twoCellAnchor editAs="oneCell">
    <xdr:from>
      <xdr:col>9</xdr:col>
      <xdr:colOff>355600</xdr:colOff>
      <xdr:row>0</xdr:row>
      <xdr:rowOff>165100</xdr:rowOff>
    </xdr:from>
    <xdr:to>
      <xdr:col>18</xdr:col>
      <xdr:colOff>355600</xdr:colOff>
      <xdr:row>26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85100" y="165100"/>
          <a:ext cx="7429500" cy="5283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/Desktop/2P%20GO/Fabia&#769;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Enrique%20Leo&#769;/UCR/Docencia/Exa&#769;menes/Examenes%20de%20GC/Banco%20de%20preguntas/Primer%20parcial/Banco%20de%20preguntas%20primer%20parcial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/Documents/UCR/Profesor/Ex&#225;menes/Soluci&#243;n%20de%20Ex&#225;menes/Gerencia%20de%20Operaciones/1p-I-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/Documents/UCR/Profesor/Ex&#225;menes/Soluci&#243;n%20de%20Ex&#225;menes/Gerencia%20de%20Operaciones/Tercer%20Parcial%20b-II-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/Documents/UCR/Profesor/Ex&#225;menes/Soluci&#243;n%20de%20Ex&#225;menes/Gerencia%20de%20Operaciones/3-I-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ME 1"/>
      <sheetName val="PYME 2"/>
      <sheetName val="PANDUIT 1"/>
      <sheetName val="GIMAT"/>
    </sheetNames>
    <sheetDataSet>
      <sheetData sheetId="0" refreshError="1"/>
      <sheetData sheetId="1" refreshError="1"/>
      <sheetData sheetId="2" refreshError="1"/>
      <sheetData sheetId="3">
        <row r="10">
          <cell r="C10">
            <v>2400.3000000000002</v>
          </cell>
        </row>
        <row r="25">
          <cell r="C25">
            <v>15</v>
          </cell>
          <cell r="D25">
            <v>24</v>
          </cell>
        </row>
        <row r="32">
          <cell r="J32">
            <v>70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P"/>
      <sheetName val="2P"/>
      <sheetName val="3P"/>
      <sheetName val="4P"/>
      <sheetName val="5P"/>
      <sheetName val="6P"/>
      <sheetName val="7P"/>
      <sheetName val="1LT"/>
      <sheetName val="2LT"/>
      <sheetName val="3LT"/>
      <sheetName val="4L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gunta 1"/>
      <sheetName val="Pregunta 2"/>
      <sheetName val="Pregunta 3"/>
      <sheetName val="Pregunta 4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a pregunta"/>
      <sheetName val="Segunda pregunta"/>
      <sheetName val="Tercera pregunta"/>
      <sheetName val="Cuarta pregunta"/>
    </sheetNames>
    <sheetDataSet>
      <sheetData sheetId="0">
        <row r="5">
          <cell r="E5" t="str">
            <v>hour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gunta 3"/>
      <sheetName val="Bondad de Ajuste"/>
      <sheetName val="Gráfica U"/>
      <sheetName val="Gráfica Pareto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Costo por fallos Externos</v>
          </cell>
          <cell r="B2">
            <v>590826</v>
          </cell>
        </row>
        <row r="3">
          <cell r="A3" t="str">
            <v>Costo por Fallos Internos</v>
          </cell>
          <cell r="B3">
            <v>265508</v>
          </cell>
        </row>
        <row r="4">
          <cell r="A4" t="str">
            <v>Valoración</v>
          </cell>
          <cell r="B4">
            <v>156347</v>
          </cell>
        </row>
        <row r="5">
          <cell r="A5" t="str">
            <v>Prevención</v>
          </cell>
          <cell r="B5">
            <v>37848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130" zoomScaleNormal="130" workbookViewId="0">
      <selection activeCell="A18" sqref="A18"/>
    </sheetView>
  </sheetViews>
  <sheetFormatPr baseColWidth="10" defaultRowHeight="16" x14ac:dyDescent="0.2"/>
  <cols>
    <col min="1" max="1" width="7.1640625" bestFit="1" customWidth="1"/>
    <col min="2" max="2" width="24.1640625" customWidth="1"/>
    <col min="3" max="3" width="12.5" customWidth="1"/>
    <col min="4" max="4" width="24.83203125" bestFit="1" customWidth="1"/>
    <col min="5" max="5" width="11.5" customWidth="1"/>
    <col min="6" max="6" width="20.1640625" bestFit="1" customWidth="1"/>
    <col min="8" max="8" width="23.6640625" customWidth="1"/>
    <col min="10" max="10" width="13.83203125" bestFit="1" customWidth="1"/>
  </cols>
  <sheetData>
    <row r="1" spans="1:10" ht="17" thickBot="1" x14ac:dyDescent="0.25"/>
    <row r="2" spans="1:10" x14ac:dyDescent="0.2">
      <c r="B2" s="202" t="s">
        <v>69</v>
      </c>
      <c r="C2" s="203"/>
      <c r="D2" s="202" t="s">
        <v>70</v>
      </c>
      <c r="E2" s="203"/>
      <c r="F2" s="202" t="s">
        <v>71</v>
      </c>
      <c r="G2" s="203"/>
      <c r="H2" s="202" t="s">
        <v>72</v>
      </c>
      <c r="I2" s="203"/>
    </row>
    <row r="3" spans="1:10" x14ac:dyDescent="0.2">
      <c r="B3" s="27" t="s">
        <v>73</v>
      </c>
      <c r="C3" s="28" t="s">
        <v>74</v>
      </c>
      <c r="D3" s="27" t="s">
        <v>73</v>
      </c>
      <c r="E3" s="28" t="s">
        <v>74</v>
      </c>
      <c r="F3" s="27" t="s">
        <v>73</v>
      </c>
      <c r="G3" s="28" t="s">
        <v>74</v>
      </c>
      <c r="H3" s="27" t="s">
        <v>73</v>
      </c>
      <c r="I3" s="28" t="s">
        <v>74</v>
      </c>
    </row>
    <row r="4" spans="1:10" x14ac:dyDescent="0.2">
      <c r="B4" s="29" t="s">
        <v>79</v>
      </c>
      <c r="C4" s="30">
        <v>475000</v>
      </c>
      <c r="D4" s="29" t="s">
        <v>81</v>
      </c>
      <c r="E4" s="30">
        <v>15000</v>
      </c>
      <c r="F4" s="29" t="s">
        <v>77</v>
      </c>
      <c r="G4" s="30">
        <v>3500</v>
      </c>
      <c r="H4" s="29" t="s">
        <v>75</v>
      </c>
      <c r="I4" s="30">
        <v>1200</v>
      </c>
    </row>
    <row r="5" spans="1:10" x14ac:dyDescent="0.2">
      <c r="B5" s="29" t="s">
        <v>82</v>
      </c>
      <c r="C5" s="30">
        <v>1200000</v>
      </c>
      <c r="D5" s="29" t="s">
        <v>83</v>
      </c>
      <c r="E5" s="30">
        <v>45000</v>
      </c>
      <c r="F5" s="29" t="s">
        <v>78</v>
      </c>
      <c r="G5" s="30">
        <v>400</v>
      </c>
      <c r="H5" s="29" t="s">
        <v>76</v>
      </c>
      <c r="I5" s="30">
        <v>500</v>
      </c>
    </row>
    <row r="6" spans="1:10" x14ac:dyDescent="0.2">
      <c r="B6" s="29" t="s">
        <v>88</v>
      </c>
      <c r="C6" s="30">
        <f>(7000000*0.072)+(7000000*0.115)+(7000000*0.098)</f>
        <v>1995000</v>
      </c>
      <c r="D6" s="29" t="s">
        <v>84</v>
      </c>
      <c r="E6" s="30">
        <v>375000</v>
      </c>
      <c r="F6" s="29" t="s">
        <v>80</v>
      </c>
      <c r="G6" s="30">
        <v>85000</v>
      </c>
      <c r="H6" s="29"/>
      <c r="I6" s="31"/>
    </row>
    <row r="7" spans="1:10" x14ac:dyDescent="0.2">
      <c r="B7" s="29"/>
      <c r="C7" s="31"/>
      <c r="D7" s="29" t="s">
        <v>86</v>
      </c>
      <c r="E7" s="30">
        <v>50000</v>
      </c>
      <c r="F7" s="29" t="s">
        <v>85</v>
      </c>
      <c r="G7" s="30">
        <v>3700</v>
      </c>
      <c r="H7" s="29"/>
      <c r="I7" s="31"/>
    </row>
    <row r="8" spans="1:10" ht="17" thickBot="1" x14ac:dyDescent="0.25">
      <c r="B8" s="29"/>
      <c r="C8" s="31"/>
      <c r="D8" s="29" t="s">
        <v>87</v>
      </c>
      <c r="E8" s="30">
        <v>200000</v>
      </c>
      <c r="F8" s="29"/>
      <c r="G8" s="31"/>
      <c r="H8" s="29"/>
      <c r="I8" s="31"/>
    </row>
    <row r="9" spans="1:10" ht="17" thickBot="1" x14ac:dyDescent="0.25">
      <c r="A9" t="s">
        <v>89</v>
      </c>
      <c r="B9" s="32"/>
      <c r="C9" s="33">
        <f>C4+C5+C6</f>
        <v>3670000</v>
      </c>
      <c r="D9" s="32"/>
      <c r="E9" s="33">
        <f>SUM(E4:E8)</f>
        <v>685000</v>
      </c>
      <c r="F9" s="32"/>
      <c r="G9" s="33">
        <f>G4+G5+G6+G7</f>
        <v>92600</v>
      </c>
      <c r="H9" s="32"/>
      <c r="I9" s="33">
        <f>I4+I5</f>
        <v>1700</v>
      </c>
      <c r="J9" s="34">
        <f>C9+E9+G9+I9</f>
        <v>4449300</v>
      </c>
    </row>
    <row r="11" spans="1:10" x14ac:dyDescent="0.2">
      <c r="B11" t="s">
        <v>92</v>
      </c>
    </row>
    <row r="12" spans="1:10" x14ac:dyDescent="0.2">
      <c r="B12" t="s">
        <v>90</v>
      </c>
      <c r="C12" s="35">
        <f>J9/7000000</f>
        <v>0.63561428571428569</v>
      </c>
    </row>
    <row r="13" spans="1:10" x14ac:dyDescent="0.2">
      <c r="B13" t="s">
        <v>91</v>
      </c>
      <c r="C13" s="35">
        <f>J9/3500000</f>
        <v>1.2712285714285714</v>
      </c>
    </row>
    <row r="15" spans="1:10" x14ac:dyDescent="0.2">
      <c r="B15" t="s">
        <v>94</v>
      </c>
    </row>
    <row r="16" spans="1:10" x14ac:dyDescent="0.2">
      <c r="B16" t="s">
        <v>93</v>
      </c>
      <c r="C16" s="36">
        <f>(C9+E9)/J9</f>
        <v>0.9788056548221068</v>
      </c>
    </row>
    <row r="17" spans="2:3" x14ac:dyDescent="0.2">
      <c r="B17" t="s">
        <v>71</v>
      </c>
      <c r="C17" s="36">
        <f>G9/J9</f>
        <v>2.0812262603106108E-2</v>
      </c>
    </row>
    <row r="18" spans="2:3" x14ac:dyDescent="0.2">
      <c r="B18" t="s">
        <v>72</v>
      </c>
      <c r="C18" s="36">
        <f>I9/J9</f>
        <v>3.8208257478704517E-4</v>
      </c>
    </row>
    <row r="19" spans="2:3" x14ac:dyDescent="0.2">
      <c r="C19" s="37">
        <f>C16+C17+C18</f>
        <v>0.99999999999999989</v>
      </c>
    </row>
  </sheetData>
  <mergeCells count="4">
    <mergeCell ref="B2:C2"/>
    <mergeCell ref="D2:E2"/>
    <mergeCell ref="F2:G2"/>
    <mergeCell ref="H2:I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5EA16-050A-704F-A410-374704349388}">
  <dimension ref="B2:G25"/>
  <sheetViews>
    <sheetView workbookViewId="0">
      <selection activeCell="D12" sqref="D12"/>
    </sheetView>
  </sheetViews>
  <sheetFormatPr baseColWidth="10" defaultRowHeight="16" x14ac:dyDescent="0.2"/>
  <cols>
    <col min="2" max="2" width="12.33203125" bestFit="1" customWidth="1"/>
  </cols>
  <sheetData>
    <row r="2" spans="2:7" x14ac:dyDescent="0.2">
      <c r="B2" s="10" t="s">
        <v>122</v>
      </c>
      <c r="C2" s="10">
        <v>5</v>
      </c>
      <c r="D2" s="10"/>
      <c r="E2" s="10"/>
      <c r="F2" s="10"/>
      <c r="G2" s="10"/>
    </row>
    <row r="3" spans="2:7" x14ac:dyDescent="0.2">
      <c r="B3" s="10" t="s">
        <v>8</v>
      </c>
      <c r="C3" s="10">
        <f>1*1000</f>
        <v>1000</v>
      </c>
      <c r="D3" s="10"/>
      <c r="E3" s="10"/>
      <c r="F3" s="10"/>
      <c r="G3" s="10"/>
    </row>
    <row r="4" spans="2:7" x14ac:dyDescent="0.2">
      <c r="B4" s="10" t="s">
        <v>115</v>
      </c>
      <c r="C4" s="10">
        <f>+(C2/C3)*1000000</f>
        <v>5000</v>
      </c>
      <c r="D4" s="10"/>
      <c r="E4" s="10"/>
      <c r="F4" s="10"/>
      <c r="G4" s="10"/>
    </row>
    <row r="5" spans="2:7" x14ac:dyDescent="0.2">
      <c r="B5" s="10" t="s">
        <v>116</v>
      </c>
      <c r="C5" s="10">
        <v>0.84060000000000001</v>
      </c>
      <c r="D5" s="10">
        <f>SQRT(29.37-(2.221*LN(C4)))</f>
        <v>3.2331585055274563</v>
      </c>
      <c r="E5" s="11">
        <f>+C5+D5</f>
        <v>4.0737585055274561</v>
      </c>
      <c r="F5" s="10"/>
      <c r="G5" s="10"/>
    </row>
    <row r="6" spans="2:7" x14ac:dyDescent="0.2">
      <c r="B6" s="10"/>
      <c r="C6" s="10"/>
      <c r="D6" s="10"/>
      <c r="E6" s="10"/>
      <c r="F6" s="10"/>
      <c r="G6" s="10"/>
    </row>
    <row r="7" spans="2:7" x14ac:dyDescent="0.2">
      <c r="B7" s="10"/>
      <c r="C7" s="10"/>
      <c r="D7" s="10"/>
      <c r="E7" s="10"/>
      <c r="F7" s="10"/>
      <c r="G7" s="10"/>
    </row>
    <row r="8" spans="2:7" x14ac:dyDescent="0.2">
      <c r="B8" s="10"/>
      <c r="C8" s="10"/>
      <c r="D8" s="10"/>
      <c r="E8" s="10"/>
      <c r="F8" s="10"/>
      <c r="G8" s="10"/>
    </row>
    <row r="9" spans="2:7" x14ac:dyDescent="0.2">
      <c r="B9" s="10"/>
      <c r="C9" s="10"/>
      <c r="D9" s="10"/>
      <c r="E9" s="10"/>
      <c r="F9" s="10"/>
      <c r="G9" s="10"/>
    </row>
    <row r="10" spans="2:7" x14ac:dyDescent="0.2">
      <c r="B10" s="10"/>
      <c r="C10" s="10"/>
      <c r="D10" s="10"/>
      <c r="E10" s="10"/>
      <c r="F10" s="10"/>
      <c r="G10" s="10"/>
    </row>
    <row r="11" spans="2:7" x14ac:dyDescent="0.2">
      <c r="B11" s="10"/>
      <c r="C11" s="10"/>
      <c r="D11" s="10"/>
      <c r="E11" s="10"/>
      <c r="F11" s="10"/>
      <c r="G11" s="10"/>
    </row>
    <row r="12" spans="2:7" x14ac:dyDescent="0.2">
      <c r="B12" s="10"/>
      <c r="C12" s="10"/>
      <c r="D12" s="10"/>
      <c r="E12" s="10"/>
      <c r="F12" s="10"/>
      <c r="G12" s="10"/>
    </row>
    <row r="13" spans="2:7" x14ac:dyDescent="0.2">
      <c r="B13" s="10"/>
      <c r="C13" s="10"/>
      <c r="D13" s="10"/>
      <c r="E13" s="10"/>
      <c r="F13" s="10"/>
      <c r="G13" s="10"/>
    </row>
    <row r="14" spans="2:7" x14ac:dyDescent="0.2">
      <c r="B14" s="10"/>
      <c r="C14" s="10"/>
      <c r="D14" s="10"/>
      <c r="E14" s="10"/>
      <c r="F14" s="10"/>
      <c r="G14" s="10"/>
    </row>
    <row r="15" spans="2:7" x14ac:dyDescent="0.2">
      <c r="B15" s="10"/>
      <c r="C15" s="10"/>
      <c r="D15" s="10"/>
      <c r="E15" s="10"/>
      <c r="F15" s="10"/>
      <c r="G15" s="10"/>
    </row>
    <row r="16" spans="2:7" x14ac:dyDescent="0.2">
      <c r="B16" s="10"/>
      <c r="C16" s="10"/>
      <c r="D16" s="10"/>
      <c r="E16" s="10"/>
      <c r="F16" s="10"/>
      <c r="G16" s="10"/>
    </row>
    <row r="17" spans="2:7" x14ac:dyDescent="0.2">
      <c r="B17" s="10"/>
      <c r="C17" s="10"/>
      <c r="D17" s="10"/>
      <c r="E17" s="10"/>
      <c r="F17" s="10"/>
      <c r="G17" s="10"/>
    </row>
    <row r="18" spans="2:7" x14ac:dyDescent="0.2">
      <c r="B18" s="10"/>
      <c r="C18" s="10"/>
      <c r="D18" s="10"/>
      <c r="E18" s="10"/>
      <c r="F18" s="10"/>
      <c r="G18" s="10"/>
    </row>
    <row r="19" spans="2:7" x14ac:dyDescent="0.2">
      <c r="B19" s="10"/>
      <c r="C19" s="10"/>
      <c r="D19" s="10"/>
      <c r="E19" s="10"/>
      <c r="F19" s="10"/>
      <c r="G19" s="10"/>
    </row>
    <row r="20" spans="2:7" x14ac:dyDescent="0.2">
      <c r="B20" s="10"/>
      <c r="C20" s="10"/>
      <c r="D20" s="10"/>
      <c r="E20" s="10"/>
      <c r="F20" s="10"/>
      <c r="G20" s="10"/>
    </row>
    <row r="21" spans="2:7" x14ac:dyDescent="0.2">
      <c r="B21" s="10"/>
      <c r="C21" s="10"/>
      <c r="D21" s="10"/>
      <c r="E21" s="10"/>
      <c r="F21" s="10"/>
      <c r="G21" s="10"/>
    </row>
    <row r="22" spans="2:7" x14ac:dyDescent="0.2">
      <c r="B22" s="10"/>
      <c r="C22" s="10"/>
      <c r="D22" s="10"/>
      <c r="E22" s="10"/>
      <c r="F22" s="10"/>
      <c r="G22" s="10"/>
    </row>
    <row r="23" spans="2:7" x14ac:dyDescent="0.2">
      <c r="B23" s="10"/>
      <c r="C23" s="10"/>
      <c r="D23" s="10"/>
      <c r="E23" s="10"/>
      <c r="F23" s="10"/>
      <c r="G23" s="10"/>
    </row>
    <row r="24" spans="2:7" x14ac:dyDescent="0.2">
      <c r="B24" s="10"/>
      <c r="C24" s="10"/>
      <c r="D24" s="10"/>
      <c r="E24" s="10"/>
      <c r="F24" s="10"/>
      <c r="G24" s="10"/>
    </row>
    <row r="25" spans="2:7" x14ac:dyDescent="0.2">
      <c r="B25" s="10"/>
      <c r="C25" s="10"/>
      <c r="D25" s="10"/>
      <c r="E25" s="10"/>
      <c r="F25" s="10"/>
      <c r="G25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D5981-5D82-AE48-B07A-C6E75B58A74F}">
  <dimension ref="B2:C2"/>
  <sheetViews>
    <sheetView workbookViewId="0">
      <selection activeCell="B4" sqref="B4"/>
    </sheetView>
  </sheetViews>
  <sheetFormatPr baseColWidth="10" defaultRowHeight="16" x14ac:dyDescent="0.2"/>
  <sheetData>
    <row r="2" spans="2:3" ht="24" x14ac:dyDescent="0.3">
      <c r="B2" s="208" t="s">
        <v>123</v>
      </c>
      <c r="C2" s="208"/>
    </row>
  </sheetData>
  <mergeCells count="1">
    <mergeCell ref="B2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C7D17-F2AE-9142-B76F-3E42A0B4259F}">
  <dimension ref="B2:C2"/>
  <sheetViews>
    <sheetView workbookViewId="0">
      <selection activeCell="B2" sqref="B2:C2"/>
    </sheetView>
  </sheetViews>
  <sheetFormatPr baseColWidth="10" defaultRowHeight="16" x14ac:dyDescent="0.2"/>
  <sheetData>
    <row r="2" spans="2:3" ht="24" x14ac:dyDescent="0.3">
      <c r="B2" s="208" t="s">
        <v>124</v>
      </c>
      <c r="C2" s="208"/>
    </row>
  </sheetData>
  <mergeCells count="1">
    <mergeCell ref="B2:C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ABA78-D8D8-5F46-AA37-C7F3C645F4AC}">
  <dimension ref="B2:C2"/>
  <sheetViews>
    <sheetView workbookViewId="0">
      <selection activeCell="B2" sqref="B2:C2"/>
    </sheetView>
  </sheetViews>
  <sheetFormatPr baseColWidth="10" defaultRowHeight="16" x14ac:dyDescent="0.2"/>
  <sheetData>
    <row r="2" spans="2:3" ht="24" x14ac:dyDescent="0.3">
      <c r="B2" s="208" t="s">
        <v>125</v>
      </c>
      <c r="C2" s="208"/>
    </row>
  </sheetData>
  <mergeCells count="1">
    <mergeCell ref="B2:C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D930D-EDE8-184F-88AB-09526A3C8733}">
  <dimension ref="B2:C2"/>
  <sheetViews>
    <sheetView workbookViewId="0">
      <selection activeCell="B2" sqref="B2:C2"/>
    </sheetView>
  </sheetViews>
  <sheetFormatPr baseColWidth="10" defaultRowHeight="16" x14ac:dyDescent="0.2"/>
  <sheetData>
    <row r="2" spans="2:3" ht="24" x14ac:dyDescent="0.3">
      <c r="B2" s="208" t="s">
        <v>126</v>
      </c>
      <c r="C2" s="208"/>
    </row>
  </sheetData>
  <mergeCells count="1">
    <mergeCell ref="B2:C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889F1-4C46-7942-B5FF-459BCC268D20}">
  <dimension ref="B2:C2"/>
  <sheetViews>
    <sheetView workbookViewId="0">
      <selection activeCell="M10" sqref="M10"/>
    </sheetView>
  </sheetViews>
  <sheetFormatPr baseColWidth="10" defaultRowHeight="16" x14ac:dyDescent="0.2"/>
  <sheetData>
    <row r="2" spans="2:3" ht="24" x14ac:dyDescent="0.3">
      <c r="B2" s="208" t="s">
        <v>127</v>
      </c>
      <c r="C2" s="208"/>
    </row>
  </sheetData>
  <mergeCells count="1">
    <mergeCell ref="B2:C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67E44-7AE9-8843-ABEB-82F82ED60220}">
  <dimension ref="B2:C9"/>
  <sheetViews>
    <sheetView workbookViewId="0">
      <selection activeCell="B2" sqref="B2:C9"/>
    </sheetView>
  </sheetViews>
  <sheetFormatPr baseColWidth="10" defaultRowHeight="16" x14ac:dyDescent="0.2"/>
  <sheetData>
    <row r="2" spans="2:3" x14ac:dyDescent="0.2">
      <c r="B2" t="s">
        <v>128</v>
      </c>
    </row>
    <row r="4" spans="2:3" x14ac:dyDescent="0.2">
      <c r="B4" t="s">
        <v>129</v>
      </c>
      <c r="C4">
        <v>0.88</v>
      </c>
    </row>
    <row r="5" spans="2:3" x14ac:dyDescent="0.2">
      <c r="B5" t="s">
        <v>130</v>
      </c>
      <c r="C5">
        <v>0.91</v>
      </c>
    </row>
    <row r="6" spans="2:3" x14ac:dyDescent="0.2">
      <c r="B6" t="s">
        <v>131</v>
      </c>
      <c r="C6">
        <v>0.9</v>
      </c>
    </row>
    <row r="7" spans="2:3" x14ac:dyDescent="0.2">
      <c r="B7" t="s">
        <v>132</v>
      </c>
      <c r="C7">
        <v>0.84</v>
      </c>
    </row>
    <row r="8" spans="2:3" x14ac:dyDescent="0.2">
      <c r="B8" t="s">
        <v>133</v>
      </c>
      <c r="C8">
        <v>0.75</v>
      </c>
    </row>
    <row r="9" spans="2:3" x14ac:dyDescent="0.2">
      <c r="B9" s="23" t="s">
        <v>114</v>
      </c>
      <c r="C9" s="47">
        <f>C4*C5*C6*C7*C8</f>
        <v>0.45405359999999995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9BCB3-7F85-C44F-844B-7043B02E2232}">
  <dimension ref="B2:C9"/>
  <sheetViews>
    <sheetView workbookViewId="0">
      <selection activeCell="B2" sqref="B2:C9"/>
    </sheetView>
  </sheetViews>
  <sheetFormatPr baseColWidth="10" defaultRowHeight="16" x14ac:dyDescent="0.2"/>
  <sheetData>
    <row r="2" spans="2:3" x14ac:dyDescent="0.2">
      <c r="B2" s="48" t="s">
        <v>128</v>
      </c>
      <c r="C2" s="48"/>
    </row>
    <row r="3" spans="2:3" x14ac:dyDescent="0.2">
      <c r="B3" s="48"/>
      <c r="C3" s="48"/>
    </row>
    <row r="4" spans="2:3" x14ac:dyDescent="0.2">
      <c r="B4" s="48" t="s">
        <v>129</v>
      </c>
      <c r="C4" s="48">
        <v>0.9</v>
      </c>
    </row>
    <row r="5" spans="2:3" x14ac:dyDescent="0.2">
      <c r="B5" s="48" t="s">
        <v>130</v>
      </c>
      <c r="C5" s="48">
        <v>0.92</v>
      </c>
    </row>
    <row r="6" spans="2:3" x14ac:dyDescent="0.2">
      <c r="B6" s="48" t="s">
        <v>131</v>
      </c>
      <c r="C6" s="48">
        <v>0.9</v>
      </c>
    </row>
    <row r="7" spans="2:3" x14ac:dyDescent="0.2">
      <c r="B7" s="48" t="s">
        <v>132</v>
      </c>
      <c r="C7" s="48">
        <v>0.87</v>
      </c>
    </row>
    <row r="8" spans="2:3" x14ac:dyDescent="0.2">
      <c r="B8" s="48" t="s">
        <v>133</v>
      </c>
      <c r="C8" s="48">
        <v>0.79</v>
      </c>
    </row>
    <row r="9" spans="2:3" x14ac:dyDescent="0.2">
      <c r="B9" s="49" t="s">
        <v>114</v>
      </c>
      <c r="C9" s="50">
        <f>C4*C5*C6*C7*C8</f>
        <v>0.5121759600000001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27035-2D49-7D47-8DD0-32B16E11956B}">
  <dimension ref="B2:C9"/>
  <sheetViews>
    <sheetView workbookViewId="0">
      <selection activeCell="B2" sqref="B2:C9"/>
    </sheetView>
  </sheetViews>
  <sheetFormatPr baseColWidth="10" defaultRowHeight="16" x14ac:dyDescent="0.2"/>
  <sheetData>
    <row r="2" spans="2:3" x14ac:dyDescent="0.2">
      <c r="B2" s="48" t="s">
        <v>128</v>
      </c>
      <c r="C2" s="48"/>
    </row>
    <row r="3" spans="2:3" x14ac:dyDescent="0.2">
      <c r="B3" s="48"/>
      <c r="C3" s="48"/>
    </row>
    <row r="4" spans="2:3" x14ac:dyDescent="0.2">
      <c r="B4" s="48" t="s">
        <v>129</v>
      </c>
      <c r="C4" s="48">
        <v>0.89</v>
      </c>
    </row>
    <row r="5" spans="2:3" x14ac:dyDescent="0.2">
      <c r="B5" s="48" t="s">
        <v>130</v>
      </c>
      <c r="C5" s="48">
        <v>0.94</v>
      </c>
    </row>
    <row r="6" spans="2:3" x14ac:dyDescent="0.2">
      <c r="B6" s="48" t="s">
        <v>131</v>
      </c>
      <c r="C6" s="48">
        <v>0.92</v>
      </c>
    </row>
    <row r="7" spans="2:3" x14ac:dyDescent="0.2">
      <c r="B7" s="48" t="s">
        <v>132</v>
      </c>
      <c r="C7" s="48">
        <v>0.99</v>
      </c>
    </row>
    <row r="8" spans="2:3" x14ac:dyDescent="0.2">
      <c r="B8" s="48" t="s">
        <v>133</v>
      </c>
      <c r="C8" s="48">
        <v>0.99</v>
      </c>
    </row>
    <row r="9" spans="2:3" x14ac:dyDescent="0.2">
      <c r="B9" s="49" t="s">
        <v>114</v>
      </c>
      <c r="C9" s="50">
        <f>C4*C5*C6*C7*C8</f>
        <v>0.75435552719999999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73633-02B0-3446-ABD3-F6211A54754F}">
  <dimension ref="B2:C9"/>
  <sheetViews>
    <sheetView workbookViewId="0">
      <selection activeCell="B2" sqref="B2:C9"/>
    </sheetView>
  </sheetViews>
  <sheetFormatPr baseColWidth="10" defaultRowHeight="16" x14ac:dyDescent="0.2"/>
  <sheetData>
    <row r="2" spans="2:3" x14ac:dyDescent="0.2">
      <c r="B2" s="48" t="s">
        <v>128</v>
      </c>
      <c r="C2" s="48"/>
    </row>
    <row r="3" spans="2:3" x14ac:dyDescent="0.2">
      <c r="B3" s="48"/>
      <c r="C3" s="48"/>
    </row>
    <row r="4" spans="2:3" x14ac:dyDescent="0.2">
      <c r="B4" s="48" t="s">
        <v>129</v>
      </c>
      <c r="C4" s="48">
        <v>0.99</v>
      </c>
    </row>
    <row r="5" spans="2:3" x14ac:dyDescent="0.2">
      <c r="B5" s="48" t="s">
        <v>130</v>
      </c>
      <c r="C5" s="48">
        <v>0.93</v>
      </c>
    </row>
    <row r="6" spans="2:3" x14ac:dyDescent="0.2">
      <c r="B6" s="48" t="s">
        <v>131</v>
      </c>
      <c r="C6" s="48">
        <v>0.8</v>
      </c>
    </row>
    <row r="7" spans="2:3" x14ac:dyDescent="0.2">
      <c r="B7" s="48" t="s">
        <v>132</v>
      </c>
      <c r="C7" s="48">
        <v>0.75</v>
      </c>
    </row>
    <row r="8" spans="2:3" x14ac:dyDescent="0.2">
      <c r="B8" s="48" t="s">
        <v>133</v>
      </c>
      <c r="C8" s="48">
        <v>0.99</v>
      </c>
    </row>
    <row r="9" spans="2:3" x14ac:dyDescent="0.2">
      <c r="B9" s="49" t="s">
        <v>114</v>
      </c>
      <c r="C9" s="50">
        <f>C4*C5*C6*C7*C8</f>
        <v>0.54689580000000015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5"/>
  <sheetViews>
    <sheetView zoomScaleNormal="100" workbookViewId="0">
      <selection activeCell="H24" sqref="H24"/>
    </sheetView>
  </sheetViews>
  <sheetFormatPr baseColWidth="10" defaultRowHeight="16" x14ac:dyDescent="0.2"/>
  <cols>
    <col min="2" max="2" width="56.1640625" bestFit="1" customWidth="1"/>
    <col min="3" max="3" width="14.1640625" bestFit="1" customWidth="1"/>
  </cols>
  <sheetData>
    <row r="2" spans="2:5" x14ac:dyDescent="0.2">
      <c r="B2" s="204" t="s">
        <v>105</v>
      </c>
      <c r="C2" s="204"/>
      <c r="D2" s="204"/>
    </row>
    <row r="3" spans="2:5" ht="17" x14ac:dyDescent="0.2">
      <c r="B3" s="39" t="s">
        <v>99</v>
      </c>
      <c r="C3" s="38" t="s">
        <v>100</v>
      </c>
      <c r="D3" s="38">
        <v>12</v>
      </c>
    </row>
    <row r="4" spans="2:5" ht="17" x14ac:dyDescent="0.2">
      <c r="B4" s="39" t="s">
        <v>95</v>
      </c>
      <c r="C4" s="38" t="s">
        <v>101</v>
      </c>
      <c r="D4" s="38">
        <v>6</v>
      </c>
    </row>
    <row r="5" spans="2:5" ht="17" x14ac:dyDescent="0.2">
      <c r="B5" s="39" t="s">
        <v>96</v>
      </c>
      <c r="C5" s="38" t="s">
        <v>102</v>
      </c>
      <c r="D5" s="38">
        <v>26</v>
      </c>
    </row>
    <row r="6" spans="2:5" ht="17" x14ac:dyDescent="0.2">
      <c r="B6" s="39" t="s">
        <v>97</v>
      </c>
      <c r="C6" s="38" t="s">
        <v>103</v>
      </c>
      <c r="D6" s="38">
        <v>4</v>
      </c>
    </row>
    <row r="7" spans="2:5" ht="17" x14ac:dyDescent="0.2">
      <c r="B7" s="39" t="s">
        <v>98</v>
      </c>
      <c r="C7" s="38" t="s">
        <v>104</v>
      </c>
      <c r="D7" s="38">
        <v>2</v>
      </c>
    </row>
    <row r="9" spans="2:5" ht="17" x14ac:dyDescent="0.2">
      <c r="B9" s="40" t="s">
        <v>107</v>
      </c>
      <c r="C9" t="s">
        <v>20</v>
      </c>
      <c r="D9" t="s">
        <v>108</v>
      </c>
      <c r="E9" t="s">
        <v>113</v>
      </c>
    </row>
    <row r="10" spans="2:5" x14ac:dyDescent="0.2">
      <c r="B10" t="s">
        <v>106</v>
      </c>
      <c r="C10">
        <f>D5</f>
        <v>26</v>
      </c>
      <c r="D10">
        <f>C10/$C$15</f>
        <v>0.52</v>
      </c>
      <c r="E10">
        <f>D10</f>
        <v>0.52</v>
      </c>
    </row>
    <row r="11" spans="2:5" x14ac:dyDescent="0.2">
      <c r="B11" t="s">
        <v>109</v>
      </c>
      <c r="C11">
        <f>D3</f>
        <v>12</v>
      </c>
      <c r="D11">
        <f t="shared" ref="D11:D14" si="0">C11/$C$15</f>
        <v>0.24</v>
      </c>
      <c r="E11">
        <f>E10+D11</f>
        <v>0.76</v>
      </c>
    </row>
    <row r="12" spans="2:5" x14ac:dyDescent="0.2">
      <c r="B12" t="s">
        <v>110</v>
      </c>
      <c r="C12">
        <f>D4</f>
        <v>6</v>
      </c>
      <c r="D12">
        <f t="shared" si="0"/>
        <v>0.12</v>
      </c>
      <c r="E12">
        <f t="shared" ref="E12:E14" si="1">E11+D12</f>
        <v>0.88</v>
      </c>
    </row>
    <row r="13" spans="2:5" x14ac:dyDescent="0.2">
      <c r="B13" t="s">
        <v>111</v>
      </c>
      <c r="C13">
        <f>D6</f>
        <v>4</v>
      </c>
      <c r="D13">
        <f t="shared" si="0"/>
        <v>0.08</v>
      </c>
      <c r="E13">
        <f t="shared" si="1"/>
        <v>0.96</v>
      </c>
    </row>
    <row r="14" spans="2:5" x14ac:dyDescent="0.2">
      <c r="B14" t="s">
        <v>112</v>
      </c>
      <c r="C14">
        <f>D7</f>
        <v>2</v>
      </c>
      <c r="D14">
        <f t="shared" si="0"/>
        <v>0.04</v>
      </c>
      <c r="E14">
        <f t="shared" si="1"/>
        <v>1</v>
      </c>
    </row>
    <row r="15" spans="2:5" x14ac:dyDescent="0.2">
      <c r="B15" t="s">
        <v>8</v>
      </c>
      <c r="C15">
        <f>SUM(C10:C14)</f>
        <v>50</v>
      </c>
    </row>
  </sheetData>
  <mergeCells count="1">
    <mergeCell ref="B2:D2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BCFBF-C51A-BB4A-8813-6B63748DB859}">
  <dimension ref="B2:C9"/>
  <sheetViews>
    <sheetView workbookViewId="0">
      <selection activeCell="C11" sqref="C11"/>
    </sheetView>
  </sheetViews>
  <sheetFormatPr baseColWidth="10" defaultRowHeight="16" x14ac:dyDescent="0.2"/>
  <sheetData>
    <row r="2" spans="2:3" x14ac:dyDescent="0.2">
      <c r="B2" s="48" t="s">
        <v>128</v>
      </c>
      <c r="C2" s="48"/>
    </row>
    <row r="3" spans="2:3" x14ac:dyDescent="0.2">
      <c r="B3" s="48"/>
      <c r="C3" s="48"/>
    </row>
    <row r="4" spans="2:3" x14ac:dyDescent="0.2">
      <c r="B4" s="48" t="s">
        <v>129</v>
      </c>
      <c r="C4" s="48">
        <v>0.9</v>
      </c>
    </row>
    <row r="5" spans="2:3" x14ac:dyDescent="0.2">
      <c r="B5" s="48" t="s">
        <v>130</v>
      </c>
      <c r="C5" s="48">
        <v>0.9</v>
      </c>
    </row>
    <row r="6" spans="2:3" x14ac:dyDescent="0.2">
      <c r="B6" s="48" t="s">
        <v>131</v>
      </c>
      <c r="C6" s="48">
        <v>0.87</v>
      </c>
    </row>
    <row r="7" spans="2:3" x14ac:dyDescent="0.2">
      <c r="B7" s="48" t="s">
        <v>132</v>
      </c>
      <c r="C7" s="48">
        <v>0.85</v>
      </c>
    </row>
    <row r="8" spans="2:3" x14ac:dyDescent="0.2">
      <c r="B8" s="48" t="s">
        <v>133</v>
      </c>
      <c r="C8" s="48">
        <v>0.88</v>
      </c>
    </row>
    <row r="9" spans="2:3" x14ac:dyDescent="0.2">
      <c r="B9" s="49" t="s">
        <v>114</v>
      </c>
      <c r="C9" s="50">
        <f>C4*C5*C6*C7*C8</f>
        <v>0.52711559999999991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A014A-9A27-DB42-AAA1-426A777E9203}">
  <dimension ref="B2:U4"/>
  <sheetViews>
    <sheetView workbookViewId="0">
      <selection activeCell="D20" sqref="D20"/>
    </sheetView>
  </sheetViews>
  <sheetFormatPr baseColWidth="10" defaultRowHeight="16" x14ac:dyDescent="0.2"/>
  <cols>
    <col min="2" max="2" width="13.5" bestFit="1" customWidth="1"/>
    <col min="3" max="19" width="4.83203125" customWidth="1"/>
    <col min="21" max="21" width="5.1640625" bestFit="1" customWidth="1"/>
  </cols>
  <sheetData>
    <row r="2" spans="2:21" x14ac:dyDescent="0.2">
      <c r="B2" s="51" t="s">
        <v>134</v>
      </c>
      <c r="C2" s="26" t="s">
        <v>135</v>
      </c>
      <c r="D2" s="26" t="s">
        <v>136</v>
      </c>
      <c r="E2" s="26" t="s">
        <v>137</v>
      </c>
      <c r="F2" s="26" t="s">
        <v>9</v>
      </c>
      <c r="G2" s="26" t="s">
        <v>138</v>
      </c>
      <c r="H2" s="26" t="s">
        <v>139</v>
      </c>
      <c r="I2" s="26" t="s">
        <v>140</v>
      </c>
      <c r="J2" s="26" t="s">
        <v>141</v>
      </c>
      <c r="K2" s="26" t="s">
        <v>15</v>
      </c>
      <c r="L2" s="26" t="s">
        <v>142</v>
      </c>
      <c r="M2" s="26" t="s">
        <v>14</v>
      </c>
      <c r="N2" s="26" t="s">
        <v>143</v>
      </c>
      <c r="O2" s="26" t="s">
        <v>67</v>
      </c>
      <c r="P2" s="26" t="s">
        <v>66</v>
      </c>
      <c r="Q2" s="26" t="s">
        <v>144</v>
      </c>
      <c r="R2" s="26" t="s">
        <v>145</v>
      </c>
      <c r="S2" s="26" t="s">
        <v>146</v>
      </c>
      <c r="U2" s="10" t="s">
        <v>147</v>
      </c>
    </row>
    <row r="3" spans="2:21" x14ac:dyDescent="0.2">
      <c r="B3" s="51" t="s">
        <v>148</v>
      </c>
      <c r="C3" s="26">
        <v>1</v>
      </c>
      <c r="D3" s="26">
        <v>5</v>
      </c>
      <c r="E3" s="26">
        <v>6</v>
      </c>
      <c r="F3" s="26">
        <v>14</v>
      </c>
      <c r="G3" s="26">
        <v>3</v>
      </c>
      <c r="H3" s="26">
        <v>7</v>
      </c>
      <c r="I3" s="26">
        <v>3</v>
      </c>
      <c r="J3" s="26">
        <v>8</v>
      </c>
      <c r="K3" s="26">
        <v>15</v>
      </c>
      <c r="L3" s="26">
        <v>5</v>
      </c>
      <c r="M3" s="26">
        <v>30</v>
      </c>
      <c r="N3" s="26">
        <v>10</v>
      </c>
      <c r="O3" s="26">
        <v>5</v>
      </c>
      <c r="P3" s="26">
        <v>3</v>
      </c>
      <c r="Q3" s="26">
        <v>5</v>
      </c>
      <c r="R3" s="26">
        <v>9</v>
      </c>
      <c r="S3" s="26">
        <v>25</v>
      </c>
      <c r="U3" s="10"/>
    </row>
    <row r="4" spans="2:21" x14ac:dyDescent="0.2">
      <c r="B4" s="51" t="s">
        <v>149</v>
      </c>
      <c r="C4" s="26" t="s">
        <v>150</v>
      </c>
      <c r="D4" s="26" t="s">
        <v>150</v>
      </c>
      <c r="E4" s="26" t="s">
        <v>150</v>
      </c>
      <c r="F4" s="26" t="s">
        <v>151</v>
      </c>
      <c r="G4" s="26" t="s">
        <v>9</v>
      </c>
      <c r="H4" s="26" t="s">
        <v>150</v>
      </c>
      <c r="I4" s="26" t="s">
        <v>139</v>
      </c>
      <c r="J4" s="26" t="s">
        <v>152</v>
      </c>
      <c r="K4" s="26" t="s">
        <v>150</v>
      </c>
      <c r="L4" s="26" t="s">
        <v>15</v>
      </c>
      <c r="M4" s="26" t="s">
        <v>153</v>
      </c>
      <c r="N4" s="26" t="s">
        <v>154</v>
      </c>
      <c r="O4" s="26" t="s">
        <v>143</v>
      </c>
      <c r="P4" s="26" t="s">
        <v>150</v>
      </c>
      <c r="Q4" s="26" t="s">
        <v>150</v>
      </c>
      <c r="R4" s="26" t="s">
        <v>155</v>
      </c>
      <c r="S4" s="26" t="s">
        <v>145</v>
      </c>
      <c r="U4" s="1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E9542-5621-0D49-905B-332DDB4B0DC2}">
  <dimension ref="B2:R4"/>
  <sheetViews>
    <sheetView workbookViewId="0">
      <selection activeCell="M15" sqref="M15"/>
    </sheetView>
  </sheetViews>
  <sheetFormatPr baseColWidth="10" defaultRowHeight="16" x14ac:dyDescent="0.2"/>
  <cols>
    <col min="2" max="2" width="13.5" bestFit="1" customWidth="1"/>
    <col min="3" max="16" width="4.83203125" customWidth="1"/>
    <col min="18" max="18" width="5.1640625" bestFit="1" customWidth="1"/>
  </cols>
  <sheetData>
    <row r="2" spans="2:18" x14ac:dyDescent="0.2">
      <c r="B2" s="51" t="s">
        <v>134</v>
      </c>
      <c r="C2" s="26" t="s">
        <v>135</v>
      </c>
      <c r="D2" s="26" t="s">
        <v>136</v>
      </c>
      <c r="E2" s="26" t="s">
        <v>137</v>
      </c>
      <c r="F2" s="26" t="s">
        <v>9</v>
      </c>
      <c r="G2" s="26" t="s">
        <v>138</v>
      </c>
      <c r="H2" s="26" t="s">
        <v>139</v>
      </c>
      <c r="I2" s="26" t="s">
        <v>140</v>
      </c>
      <c r="J2" s="26" t="s">
        <v>141</v>
      </c>
      <c r="K2" s="26" t="s">
        <v>15</v>
      </c>
      <c r="L2" s="26" t="s">
        <v>142</v>
      </c>
      <c r="M2" s="26" t="s">
        <v>14</v>
      </c>
      <c r="N2" s="26" t="s">
        <v>143</v>
      </c>
      <c r="O2" s="26" t="s">
        <v>67</v>
      </c>
      <c r="P2" s="26" t="s">
        <v>66</v>
      </c>
      <c r="R2" s="10" t="s">
        <v>156</v>
      </c>
    </row>
    <row r="3" spans="2:18" x14ac:dyDescent="0.2">
      <c r="B3" s="51" t="s">
        <v>148</v>
      </c>
      <c r="C3" s="26">
        <v>2</v>
      </c>
      <c r="D3" s="26">
        <v>4</v>
      </c>
      <c r="E3" s="26">
        <v>3</v>
      </c>
      <c r="F3" s="26">
        <v>1</v>
      </c>
      <c r="G3" s="26">
        <v>2</v>
      </c>
      <c r="H3" s="26">
        <v>1</v>
      </c>
      <c r="I3" s="26">
        <v>1</v>
      </c>
      <c r="J3" s="26">
        <v>2</v>
      </c>
      <c r="K3" s="26">
        <v>2</v>
      </c>
      <c r="L3" s="26">
        <v>1</v>
      </c>
      <c r="M3" s="26">
        <v>2</v>
      </c>
      <c r="N3" s="26">
        <v>2</v>
      </c>
      <c r="O3" s="26">
        <v>3</v>
      </c>
      <c r="P3" s="26">
        <v>2</v>
      </c>
      <c r="R3" s="10"/>
    </row>
    <row r="4" spans="2:18" x14ac:dyDescent="0.2">
      <c r="B4" s="51" t="s">
        <v>149</v>
      </c>
      <c r="C4" s="26" t="s">
        <v>150</v>
      </c>
      <c r="D4" s="26" t="s">
        <v>150</v>
      </c>
      <c r="E4" s="26" t="s">
        <v>135</v>
      </c>
      <c r="F4" s="26" t="s">
        <v>135</v>
      </c>
      <c r="G4" s="26" t="s">
        <v>157</v>
      </c>
      <c r="H4" s="26" t="s">
        <v>9</v>
      </c>
      <c r="I4" s="26" t="s">
        <v>158</v>
      </c>
      <c r="J4" s="26" t="s">
        <v>159</v>
      </c>
      <c r="K4" s="26" t="s">
        <v>140</v>
      </c>
      <c r="L4" s="26" t="s">
        <v>141</v>
      </c>
      <c r="M4" s="26" t="s">
        <v>142</v>
      </c>
      <c r="N4" s="26" t="s">
        <v>142</v>
      </c>
      <c r="O4" s="26" t="s">
        <v>14</v>
      </c>
      <c r="P4" s="26" t="s">
        <v>15</v>
      </c>
      <c r="R4" s="1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C9843-66FE-9840-96CB-2663F6D48EBA}">
  <dimension ref="B2:M4"/>
  <sheetViews>
    <sheetView workbookViewId="0">
      <selection activeCell="E16" sqref="E16"/>
    </sheetView>
  </sheetViews>
  <sheetFormatPr baseColWidth="10" defaultRowHeight="16" x14ac:dyDescent="0.2"/>
  <cols>
    <col min="2" max="2" width="13.5" bestFit="1" customWidth="1"/>
  </cols>
  <sheetData>
    <row r="2" spans="2:13" x14ac:dyDescent="0.2">
      <c r="B2" s="51" t="s">
        <v>134</v>
      </c>
      <c r="C2" s="26" t="s">
        <v>135</v>
      </c>
      <c r="D2" s="26" t="s">
        <v>136</v>
      </c>
      <c r="E2" s="26" t="s">
        <v>137</v>
      </c>
      <c r="F2" s="26" t="s">
        <v>9</v>
      </c>
      <c r="G2" s="26" t="s">
        <v>138</v>
      </c>
      <c r="H2" s="26" t="s">
        <v>139</v>
      </c>
      <c r="I2" s="26" t="s">
        <v>140</v>
      </c>
      <c r="J2" s="26" t="s">
        <v>141</v>
      </c>
      <c r="K2" s="26" t="s">
        <v>15</v>
      </c>
      <c r="M2" s="10" t="s">
        <v>160</v>
      </c>
    </row>
    <row r="3" spans="2:13" x14ac:dyDescent="0.2">
      <c r="B3" s="51" t="s">
        <v>148</v>
      </c>
      <c r="C3" s="26">
        <v>60</v>
      </c>
      <c r="D3" s="26">
        <v>70</v>
      </c>
      <c r="E3" s="26">
        <v>100</v>
      </c>
      <c r="F3" s="26">
        <v>90</v>
      </c>
      <c r="G3" s="26">
        <v>30</v>
      </c>
      <c r="H3" s="26">
        <v>40</v>
      </c>
      <c r="I3" s="26">
        <v>30</v>
      </c>
      <c r="J3" s="26">
        <v>50</v>
      </c>
      <c r="K3" s="26">
        <v>50</v>
      </c>
      <c r="M3" s="10"/>
    </row>
    <row r="4" spans="2:13" x14ac:dyDescent="0.2">
      <c r="B4" s="51" t="s">
        <v>149</v>
      </c>
      <c r="C4" s="26" t="s">
        <v>150</v>
      </c>
      <c r="D4" s="26" t="s">
        <v>150</v>
      </c>
      <c r="E4" s="26" t="s">
        <v>150</v>
      </c>
      <c r="F4" s="26" t="s">
        <v>135</v>
      </c>
      <c r="G4" s="26" t="s">
        <v>135</v>
      </c>
      <c r="H4" s="26" t="s">
        <v>161</v>
      </c>
      <c r="I4" s="26" t="s">
        <v>161</v>
      </c>
      <c r="J4" s="26" t="s">
        <v>162</v>
      </c>
      <c r="K4" s="26" t="s">
        <v>163</v>
      </c>
      <c r="M4" s="1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6B362-A890-6446-8662-394D8E2A9722}">
  <dimension ref="B2:S4"/>
  <sheetViews>
    <sheetView workbookViewId="0">
      <selection activeCell="D12" sqref="D12"/>
    </sheetView>
  </sheetViews>
  <sheetFormatPr baseColWidth="10" defaultRowHeight="16" x14ac:dyDescent="0.2"/>
  <cols>
    <col min="2" max="2" width="13.5" bestFit="1" customWidth="1"/>
    <col min="3" max="17" width="4.83203125" customWidth="1"/>
    <col min="19" max="19" width="5.1640625" bestFit="1" customWidth="1"/>
  </cols>
  <sheetData>
    <row r="2" spans="2:19" x14ac:dyDescent="0.2">
      <c r="B2" s="51" t="s">
        <v>134</v>
      </c>
      <c r="C2" s="26" t="s">
        <v>135</v>
      </c>
      <c r="D2" s="26" t="s">
        <v>136</v>
      </c>
      <c r="E2" s="26" t="s">
        <v>137</v>
      </c>
      <c r="F2" s="26" t="s">
        <v>9</v>
      </c>
      <c r="G2" s="26" t="s">
        <v>138</v>
      </c>
      <c r="H2" s="26" t="s">
        <v>139</v>
      </c>
      <c r="I2" s="26" t="s">
        <v>140</v>
      </c>
      <c r="J2" s="26" t="s">
        <v>141</v>
      </c>
      <c r="K2" s="26" t="s">
        <v>15</v>
      </c>
      <c r="L2" s="26" t="s">
        <v>142</v>
      </c>
      <c r="M2" s="26" t="s">
        <v>14</v>
      </c>
      <c r="N2" s="26" t="s">
        <v>143</v>
      </c>
      <c r="O2" s="26" t="s">
        <v>67</v>
      </c>
      <c r="P2" s="26" t="s">
        <v>66</v>
      </c>
      <c r="Q2" s="26" t="s">
        <v>145</v>
      </c>
      <c r="S2" s="10" t="s">
        <v>164</v>
      </c>
    </row>
    <row r="3" spans="2:19" x14ac:dyDescent="0.2">
      <c r="B3" s="51" t="s">
        <v>148</v>
      </c>
      <c r="C3" s="26">
        <v>4</v>
      </c>
      <c r="D3" s="26">
        <v>6</v>
      </c>
      <c r="E3" s="26">
        <v>7</v>
      </c>
      <c r="F3" s="26">
        <v>5</v>
      </c>
      <c r="G3" s="26">
        <v>8</v>
      </c>
      <c r="H3" s="26">
        <v>5</v>
      </c>
      <c r="I3" s="26">
        <v>3</v>
      </c>
      <c r="J3" s="26">
        <v>4</v>
      </c>
      <c r="K3" s="26">
        <v>2</v>
      </c>
      <c r="L3" s="26">
        <v>5</v>
      </c>
      <c r="M3" s="26">
        <v>3</v>
      </c>
      <c r="N3" s="26">
        <v>6</v>
      </c>
      <c r="O3" s="26">
        <v>1</v>
      </c>
      <c r="P3" s="26">
        <v>4</v>
      </c>
      <c r="Q3" s="26">
        <v>3</v>
      </c>
      <c r="S3" s="10"/>
    </row>
    <row r="4" spans="2:19" x14ac:dyDescent="0.2">
      <c r="B4" s="51" t="s">
        <v>149</v>
      </c>
      <c r="C4" s="26" t="s">
        <v>150</v>
      </c>
      <c r="D4" s="26" t="s">
        <v>150</v>
      </c>
      <c r="E4" s="26" t="s">
        <v>135</v>
      </c>
      <c r="F4" s="26" t="s">
        <v>165</v>
      </c>
      <c r="G4" s="26" t="s">
        <v>136</v>
      </c>
      <c r="H4" s="26" t="s">
        <v>166</v>
      </c>
      <c r="I4" s="26" t="s">
        <v>138</v>
      </c>
      <c r="J4" s="26" t="s">
        <v>167</v>
      </c>
      <c r="K4" s="26" t="s">
        <v>141</v>
      </c>
      <c r="L4" s="26" t="s">
        <v>141</v>
      </c>
      <c r="M4" s="26" t="s">
        <v>15</v>
      </c>
      <c r="N4" s="26" t="s">
        <v>15</v>
      </c>
      <c r="O4" s="26" t="s">
        <v>142</v>
      </c>
      <c r="P4" s="26" t="s">
        <v>14</v>
      </c>
      <c r="Q4" s="26" t="s">
        <v>168</v>
      </c>
      <c r="S4" s="10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CFD24-B909-5C4A-9DCB-3ACBCB1919E9}">
  <dimension ref="B2:O4"/>
  <sheetViews>
    <sheetView workbookViewId="0">
      <selection activeCell="H14" sqref="H14"/>
    </sheetView>
  </sheetViews>
  <sheetFormatPr baseColWidth="10" defaultRowHeight="16" x14ac:dyDescent="0.2"/>
  <cols>
    <col min="2" max="2" width="13.5" bestFit="1" customWidth="1"/>
    <col min="3" max="13" width="4.83203125" customWidth="1"/>
    <col min="15" max="15" width="5.1640625" bestFit="1" customWidth="1"/>
  </cols>
  <sheetData>
    <row r="2" spans="2:15" x14ac:dyDescent="0.2">
      <c r="B2" s="51" t="s">
        <v>134</v>
      </c>
      <c r="C2" s="26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>
        <v>8</v>
      </c>
      <c r="K2" s="26">
        <v>9</v>
      </c>
      <c r="L2" s="26">
        <v>10</v>
      </c>
      <c r="M2" s="26">
        <v>11</v>
      </c>
      <c r="O2" s="10" t="s">
        <v>169</v>
      </c>
    </row>
    <row r="3" spans="2:15" x14ac:dyDescent="0.2">
      <c r="B3" s="51" t="s">
        <v>148</v>
      </c>
      <c r="C3" s="26">
        <v>2</v>
      </c>
      <c r="D3" s="26">
        <v>1</v>
      </c>
      <c r="E3" s="26">
        <v>2</v>
      </c>
      <c r="F3" s="26">
        <v>2</v>
      </c>
      <c r="G3" s="26">
        <v>1</v>
      </c>
      <c r="H3" s="26">
        <v>1</v>
      </c>
      <c r="I3" s="26">
        <v>2</v>
      </c>
      <c r="J3" s="26">
        <v>3</v>
      </c>
      <c r="K3" s="26">
        <v>2</v>
      </c>
      <c r="L3" s="26">
        <v>1</v>
      </c>
      <c r="M3" s="26">
        <v>1</v>
      </c>
      <c r="O3" s="10"/>
    </row>
    <row r="4" spans="2:15" x14ac:dyDescent="0.2">
      <c r="B4" s="51" t="s">
        <v>149</v>
      </c>
      <c r="C4" s="26" t="s">
        <v>150</v>
      </c>
      <c r="D4" s="26">
        <v>4</v>
      </c>
      <c r="E4" s="26">
        <v>2</v>
      </c>
      <c r="F4" s="26">
        <v>1</v>
      </c>
      <c r="G4" s="26">
        <v>2</v>
      </c>
      <c r="H4" s="26" t="s">
        <v>170</v>
      </c>
      <c r="I4" s="26">
        <v>3</v>
      </c>
      <c r="J4" s="26">
        <v>5</v>
      </c>
      <c r="K4" s="26" t="s">
        <v>171</v>
      </c>
      <c r="L4" s="26" t="s">
        <v>172</v>
      </c>
      <c r="M4" s="26" t="s">
        <v>173</v>
      </c>
      <c r="O4" s="10"/>
    </row>
  </sheetData>
  <pageMargins left="0.7" right="0.7" top="0.75" bottom="0.75" header="0.3" footer="0.3"/>
  <ignoredErrors>
    <ignoredError sqref="H4:M4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3BC61-F949-EC4A-8662-8BD53988DF8A}">
  <dimension ref="B2:Q28"/>
  <sheetViews>
    <sheetView workbookViewId="0">
      <selection activeCell="F30" sqref="F30"/>
    </sheetView>
  </sheetViews>
  <sheetFormatPr baseColWidth="10" defaultRowHeight="16" x14ac:dyDescent="0.2"/>
  <cols>
    <col min="1" max="1" width="4.5" customWidth="1"/>
  </cols>
  <sheetData>
    <row r="2" spans="2:17" ht="34" x14ac:dyDescent="0.2">
      <c r="B2" s="52" t="s">
        <v>174</v>
      </c>
      <c r="C2" s="52" t="s">
        <v>175</v>
      </c>
      <c r="D2" s="52" t="s">
        <v>176</v>
      </c>
      <c r="E2" s="52" t="s">
        <v>177</v>
      </c>
      <c r="F2" s="53" t="s">
        <v>178</v>
      </c>
      <c r="H2" s="211" t="s">
        <v>179</v>
      </c>
      <c r="I2" s="211"/>
      <c r="J2" s="211"/>
      <c r="K2" s="211"/>
      <c r="L2" s="211"/>
    </row>
    <row r="3" spans="2:17" x14ac:dyDescent="0.2">
      <c r="B3" s="54" t="s">
        <v>180</v>
      </c>
      <c r="C3" s="54">
        <v>10</v>
      </c>
      <c r="D3" s="54">
        <v>9</v>
      </c>
      <c r="E3" s="54">
        <v>35</v>
      </c>
      <c r="F3" s="54">
        <v>12</v>
      </c>
      <c r="H3" s="54" t="s">
        <v>181</v>
      </c>
      <c r="I3" s="54" t="s">
        <v>180</v>
      </c>
      <c r="J3" s="54" t="s">
        <v>182</v>
      </c>
      <c r="K3" s="54" t="s">
        <v>183</v>
      </c>
      <c r="L3" s="54" t="s">
        <v>184</v>
      </c>
    </row>
    <row r="4" spans="2:17" x14ac:dyDescent="0.2">
      <c r="B4" s="54" t="s">
        <v>182</v>
      </c>
      <c r="C4" s="54">
        <v>6</v>
      </c>
      <c r="D4" s="54">
        <v>4</v>
      </c>
      <c r="E4" s="54">
        <v>20</v>
      </c>
      <c r="F4" s="54">
        <v>5</v>
      </c>
      <c r="H4" s="54" t="s">
        <v>175</v>
      </c>
      <c r="I4" s="54">
        <v>2</v>
      </c>
      <c r="J4" s="54">
        <v>4</v>
      </c>
      <c r="K4" s="54">
        <v>1</v>
      </c>
      <c r="L4" s="54">
        <v>5</v>
      </c>
    </row>
    <row r="5" spans="2:17" x14ac:dyDescent="0.2">
      <c r="B5" s="54" t="s">
        <v>183</v>
      </c>
      <c r="C5" s="54">
        <v>7</v>
      </c>
      <c r="D5" s="54">
        <v>2</v>
      </c>
      <c r="E5" s="54">
        <v>10</v>
      </c>
      <c r="F5" s="54">
        <v>6</v>
      </c>
      <c r="H5" s="54" t="s">
        <v>176</v>
      </c>
      <c r="I5" s="54">
        <v>3</v>
      </c>
      <c r="J5" s="54">
        <v>5</v>
      </c>
      <c r="K5" s="54">
        <v>1</v>
      </c>
      <c r="L5" s="54">
        <v>3</v>
      </c>
    </row>
    <row r="6" spans="2:17" x14ac:dyDescent="0.2">
      <c r="B6" s="55" t="s">
        <v>184</v>
      </c>
      <c r="C6" s="55">
        <v>15</v>
      </c>
      <c r="D6" s="55">
        <v>10</v>
      </c>
      <c r="E6" s="55">
        <v>30</v>
      </c>
      <c r="F6" s="55">
        <v>15</v>
      </c>
      <c r="H6" s="55" t="s">
        <v>177</v>
      </c>
      <c r="I6" s="55">
        <v>1</v>
      </c>
      <c r="J6" s="55">
        <v>1</v>
      </c>
      <c r="K6" s="55">
        <v>1</v>
      </c>
      <c r="L6" s="55">
        <v>1</v>
      </c>
    </row>
    <row r="7" spans="2:17" x14ac:dyDescent="0.2">
      <c r="B7" s="54"/>
    </row>
    <row r="8" spans="2:17" x14ac:dyDescent="0.2">
      <c r="B8" s="23" t="s">
        <v>185</v>
      </c>
      <c r="C8" s="10" t="s">
        <v>186</v>
      </c>
      <c r="D8" s="10" t="s">
        <v>187</v>
      </c>
      <c r="E8" s="10" t="s">
        <v>188</v>
      </c>
    </row>
    <row r="9" spans="2:17" x14ac:dyDescent="0.2">
      <c r="B9" s="44" t="s">
        <v>180</v>
      </c>
      <c r="C9" s="10">
        <f>C3+D3</f>
        <v>19</v>
      </c>
      <c r="D9" s="10">
        <f>E3+D3</f>
        <v>44</v>
      </c>
      <c r="E9" s="10">
        <v>3</v>
      </c>
    </row>
    <row r="10" spans="2:17" x14ac:dyDescent="0.2">
      <c r="B10" s="44" t="s">
        <v>182</v>
      </c>
      <c r="C10" s="10">
        <f t="shared" ref="C10:C12" si="0">C4+D4</f>
        <v>10</v>
      </c>
      <c r="D10" s="10">
        <f t="shared" ref="D10:D12" si="1">E4+D4</f>
        <v>24</v>
      </c>
      <c r="E10" s="10">
        <v>2</v>
      </c>
    </row>
    <row r="11" spans="2:17" x14ac:dyDescent="0.2">
      <c r="B11" s="44" t="s">
        <v>183</v>
      </c>
      <c r="C11" s="10">
        <f t="shared" si="0"/>
        <v>9</v>
      </c>
      <c r="D11" s="10">
        <f t="shared" si="1"/>
        <v>12</v>
      </c>
      <c r="E11" s="10">
        <v>1</v>
      </c>
    </row>
    <row r="12" spans="2:17" x14ac:dyDescent="0.2">
      <c r="B12" s="44" t="s">
        <v>184</v>
      </c>
      <c r="C12" s="10">
        <f t="shared" si="0"/>
        <v>25</v>
      </c>
      <c r="D12" s="10">
        <f t="shared" si="1"/>
        <v>40</v>
      </c>
      <c r="E12" s="10">
        <v>4</v>
      </c>
    </row>
    <row r="13" spans="2:17" x14ac:dyDescent="0.2">
      <c r="D13" s="10"/>
    </row>
    <row r="14" spans="2:17" x14ac:dyDescent="0.2">
      <c r="B14" s="56" t="s">
        <v>189</v>
      </c>
      <c r="D14" s="10"/>
    </row>
    <row r="15" spans="2:17" x14ac:dyDescent="0.2">
      <c r="D15" s="10"/>
    </row>
    <row r="16" spans="2:17" x14ac:dyDescent="0.2">
      <c r="B16" s="57" t="s">
        <v>174</v>
      </c>
      <c r="C16" s="212" t="s">
        <v>190</v>
      </c>
      <c r="D16" s="212"/>
      <c r="E16" s="212" t="s">
        <v>191</v>
      </c>
      <c r="F16" s="212"/>
      <c r="G16" s="212" t="s">
        <v>68</v>
      </c>
      <c r="H16" s="212"/>
      <c r="I16" s="212" t="s">
        <v>192</v>
      </c>
      <c r="J16" s="212"/>
      <c r="K16" s="58" t="s">
        <v>193</v>
      </c>
      <c r="L16" s="209" t="s">
        <v>194</v>
      </c>
      <c r="M16" s="210"/>
      <c r="N16" s="209" t="s">
        <v>195</v>
      </c>
      <c r="O16" s="210"/>
      <c r="P16" s="57" t="s">
        <v>196</v>
      </c>
      <c r="Q16" s="57" t="s">
        <v>197</v>
      </c>
    </row>
    <row r="17" spans="2:17" x14ac:dyDescent="0.2">
      <c r="B17" s="26" t="s">
        <v>183</v>
      </c>
      <c r="C17" s="26">
        <v>0</v>
      </c>
      <c r="D17" s="26">
        <f>C17+K4</f>
        <v>1</v>
      </c>
      <c r="E17" s="26">
        <f>D17</f>
        <v>1</v>
      </c>
      <c r="F17" s="26">
        <f>E17+C5</f>
        <v>8</v>
      </c>
      <c r="G17" s="26">
        <f>H17-K5</f>
        <v>7</v>
      </c>
      <c r="H17" s="26">
        <f>F17</f>
        <v>8</v>
      </c>
      <c r="I17" s="26">
        <f>H17</f>
        <v>8</v>
      </c>
      <c r="J17" s="26">
        <f>I17+D5</f>
        <v>10</v>
      </c>
      <c r="K17" s="26">
        <f>E5</f>
        <v>10</v>
      </c>
      <c r="L17" s="26">
        <f>M17-K6</f>
        <v>9</v>
      </c>
      <c r="M17" s="26">
        <f>J17</f>
        <v>10</v>
      </c>
      <c r="N17" s="26">
        <f>M17</f>
        <v>10</v>
      </c>
      <c r="O17" s="26">
        <f>N17+E5</f>
        <v>20</v>
      </c>
      <c r="P17" s="59">
        <f>O17/7.5</f>
        <v>2.6666666666666665</v>
      </c>
      <c r="Q17" s="26">
        <v>6</v>
      </c>
    </row>
    <row r="18" spans="2:17" x14ac:dyDescent="0.2">
      <c r="B18" s="26" t="s">
        <v>182</v>
      </c>
      <c r="C18" s="26">
        <v>10</v>
      </c>
      <c r="D18" s="26">
        <f>C18+J4</f>
        <v>14</v>
      </c>
      <c r="E18" s="26">
        <f>D18</f>
        <v>14</v>
      </c>
      <c r="F18" s="26">
        <f>E18+C4</f>
        <v>20</v>
      </c>
      <c r="G18" s="26">
        <f>H18-J5</f>
        <v>15</v>
      </c>
      <c r="H18" s="26">
        <f>F18</f>
        <v>20</v>
      </c>
      <c r="I18" s="26">
        <f>H18</f>
        <v>20</v>
      </c>
      <c r="J18" s="26">
        <f>I18+D4</f>
        <v>24</v>
      </c>
      <c r="K18" s="26">
        <f>E4</f>
        <v>20</v>
      </c>
      <c r="L18" s="26">
        <f>M18-J6</f>
        <v>23</v>
      </c>
      <c r="M18" s="26">
        <f>J18</f>
        <v>24</v>
      </c>
      <c r="N18" s="26">
        <f>M18</f>
        <v>24</v>
      </c>
      <c r="O18" s="26">
        <f>N18+E4</f>
        <v>44</v>
      </c>
      <c r="P18" s="59">
        <f t="shared" ref="P18:P20" si="2">O18/7.5</f>
        <v>5.8666666666666663</v>
      </c>
      <c r="Q18" s="26">
        <f>F4</f>
        <v>5</v>
      </c>
    </row>
    <row r="19" spans="2:17" x14ac:dyDescent="0.2">
      <c r="B19" s="26" t="s">
        <v>180</v>
      </c>
      <c r="C19" s="26">
        <f>M18</f>
        <v>24</v>
      </c>
      <c r="D19" s="26">
        <f>C19+I4</f>
        <v>26</v>
      </c>
      <c r="E19" s="26">
        <f>D19</f>
        <v>26</v>
      </c>
      <c r="F19" s="26">
        <f>E19+C3</f>
        <v>36</v>
      </c>
      <c r="G19" s="26">
        <f>H19-I5</f>
        <v>33</v>
      </c>
      <c r="H19" s="26">
        <f>F19</f>
        <v>36</v>
      </c>
      <c r="I19" s="26">
        <f>H19</f>
        <v>36</v>
      </c>
      <c r="J19" s="26">
        <f>I19+D3</f>
        <v>45</v>
      </c>
      <c r="K19" s="26">
        <f>E3</f>
        <v>35</v>
      </c>
      <c r="L19" s="26">
        <f>O18</f>
        <v>44</v>
      </c>
      <c r="M19" s="26">
        <f>L19+I6</f>
        <v>45</v>
      </c>
      <c r="N19" s="26">
        <f>M19</f>
        <v>45</v>
      </c>
      <c r="O19" s="26">
        <f>N19+E3</f>
        <v>80</v>
      </c>
      <c r="P19" s="59">
        <f t="shared" si="2"/>
        <v>10.666666666666666</v>
      </c>
      <c r="Q19" s="26">
        <f>F3</f>
        <v>12</v>
      </c>
    </row>
    <row r="20" spans="2:17" x14ac:dyDescent="0.2">
      <c r="B20" s="26" t="s">
        <v>184</v>
      </c>
      <c r="C20" s="26">
        <v>48.5</v>
      </c>
      <c r="D20" s="26">
        <f>C20+L4</f>
        <v>53.5</v>
      </c>
      <c r="E20" s="26">
        <f>D20</f>
        <v>53.5</v>
      </c>
      <c r="F20" s="26">
        <f>E20+C6</f>
        <v>68.5</v>
      </c>
      <c r="G20" s="26">
        <f>H20-L5</f>
        <v>65.5</v>
      </c>
      <c r="H20" s="26">
        <f>F20</f>
        <v>68.5</v>
      </c>
      <c r="I20" s="26">
        <f>H20</f>
        <v>68.5</v>
      </c>
      <c r="J20" s="26">
        <f>I20+D6</f>
        <v>78.5</v>
      </c>
      <c r="K20" s="26">
        <f>(O19-J20)+E6</f>
        <v>31.5</v>
      </c>
      <c r="L20" s="26">
        <f>O19</f>
        <v>80</v>
      </c>
      <c r="M20" s="26">
        <f>L20+L6</f>
        <v>81</v>
      </c>
      <c r="N20" s="26">
        <f>M20</f>
        <v>81</v>
      </c>
      <c r="O20" s="26">
        <f>N20+E6</f>
        <v>111</v>
      </c>
      <c r="P20" s="59">
        <f t="shared" si="2"/>
        <v>14.8</v>
      </c>
      <c r="Q20" s="26">
        <f>F6</f>
        <v>15</v>
      </c>
    </row>
    <row r="22" spans="2:17" x14ac:dyDescent="0.2">
      <c r="C22" t="s">
        <v>198</v>
      </c>
      <c r="D22">
        <f>J4+C4+D4+1.5</f>
        <v>15.5</v>
      </c>
      <c r="O22" s="205" t="s">
        <v>199</v>
      </c>
      <c r="P22" s="205"/>
      <c r="Q22" s="60">
        <f>(P18-Q18)/4</f>
        <v>0.21666666666666656</v>
      </c>
    </row>
    <row r="23" spans="2:17" x14ac:dyDescent="0.2">
      <c r="C23" t="s">
        <v>200</v>
      </c>
      <c r="D23">
        <f>I4+C3+D3+1.5</f>
        <v>22.5</v>
      </c>
      <c r="M23" s="10"/>
      <c r="N23" s="10"/>
      <c r="O23" s="10"/>
    </row>
    <row r="24" spans="2:17" x14ac:dyDescent="0.2">
      <c r="C24" t="s">
        <v>201</v>
      </c>
      <c r="D24">
        <f>L4+C6+D6+1.5</f>
        <v>31.5</v>
      </c>
      <c r="M24" s="10"/>
      <c r="N24" s="10"/>
      <c r="O24" s="10"/>
    </row>
    <row r="25" spans="2:17" x14ac:dyDescent="0.2">
      <c r="M25" s="10"/>
      <c r="N25" s="10"/>
      <c r="O25" s="10"/>
    </row>
    <row r="26" spans="2:17" x14ac:dyDescent="0.2">
      <c r="N26" s="10"/>
      <c r="O26" s="10"/>
    </row>
    <row r="27" spans="2:17" x14ac:dyDescent="0.2">
      <c r="N27" s="10"/>
      <c r="O27" s="10"/>
    </row>
    <row r="28" spans="2:17" x14ac:dyDescent="0.2">
      <c r="N28" s="10"/>
      <c r="O28" s="10"/>
    </row>
  </sheetData>
  <mergeCells count="8">
    <mergeCell ref="N16:O16"/>
    <mergeCell ref="O22:P22"/>
    <mergeCell ref="H2:L2"/>
    <mergeCell ref="C16:D16"/>
    <mergeCell ref="E16:F16"/>
    <mergeCell ref="G16:H16"/>
    <mergeCell ref="I16:J16"/>
    <mergeCell ref="L16:M1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F4AE1-D3DF-B44D-86B2-171B7F04F10A}">
  <dimension ref="B2:S25"/>
  <sheetViews>
    <sheetView workbookViewId="0">
      <selection activeCell="M18" sqref="M18"/>
    </sheetView>
  </sheetViews>
  <sheetFormatPr baseColWidth="10" defaultRowHeight="16" x14ac:dyDescent="0.2"/>
  <cols>
    <col min="1" max="1" width="3.33203125" customWidth="1"/>
    <col min="7" max="7" width="12.83203125" customWidth="1"/>
    <col min="15" max="17" width="12.83203125" bestFit="1" customWidth="1"/>
  </cols>
  <sheetData>
    <row r="2" spans="2:19" ht="33" customHeight="1" x14ac:dyDescent="0.2">
      <c r="B2" s="52" t="s">
        <v>174</v>
      </c>
      <c r="C2" s="52" t="s">
        <v>202</v>
      </c>
      <c r="D2" s="213" t="s">
        <v>203</v>
      </c>
      <c r="E2" s="214"/>
      <c r="F2" s="214"/>
      <c r="G2" s="53" t="s">
        <v>204</v>
      </c>
      <c r="I2" s="52"/>
      <c r="J2" s="211" t="s">
        <v>205</v>
      </c>
      <c r="K2" s="211"/>
      <c r="L2" s="211"/>
      <c r="M2" s="211"/>
      <c r="O2" s="61" t="s">
        <v>206</v>
      </c>
      <c r="P2" s="62" t="s">
        <v>207</v>
      </c>
      <c r="Q2" s="62" t="s">
        <v>208</v>
      </c>
      <c r="R2" s="61" t="s">
        <v>209</v>
      </c>
      <c r="S2" s="61" t="s">
        <v>210</v>
      </c>
    </row>
    <row r="3" spans="2:19" x14ac:dyDescent="0.2">
      <c r="B3" s="54" t="s">
        <v>180</v>
      </c>
      <c r="C3" s="54">
        <v>500</v>
      </c>
      <c r="D3" s="54">
        <v>0.5</v>
      </c>
      <c r="E3" s="54">
        <v>0.9</v>
      </c>
      <c r="F3" s="54">
        <v>1.5</v>
      </c>
      <c r="G3" s="54">
        <f>Q3</f>
        <v>10</v>
      </c>
      <c r="I3" s="54" t="s">
        <v>181</v>
      </c>
      <c r="J3" s="54" t="s">
        <v>180</v>
      </c>
      <c r="K3" s="54" t="s">
        <v>182</v>
      </c>
      <c r="L3" s="54" t="s">
        <v>183</v>
      </c>
      <c r="M3" s="54" t="s">
        <v>184</v>
      </c>
      <c r="O3" s="44" t="s">
        <v>180</v>
      </c>
      <c r="P3" s="7">
        <f>(((C3*D3)+(C3*E3)+(C3*F3))/60)/7.5</f>
        <v>3.2222222222222223</v>
      </c>
      <c r="Q3" s="10">
        <v>10</v>
      </c>
      <c r="R3" s="7">
        <f>Q3-P3</f>
        <v>6.7777777777777777</v>
      </c>
      <c r="S3" s="43">
        <v>4</v>
      </c>
    </row>
    <row r="4" spans="2:19" x14ac:dyDescent="0.2">
      <c r="B4" s="54" t="s">
        <v>182</v>
      </c>
      <c r="C4" s="54">
        <v>500</v>
      </c>
      <c r="D4" s="54">
        <v>0.6</v>
      </c>
      <c r="E4" s="54">
        <v>0.9</v>
      </c>
      <c r="F4" s="54">
        <v>2</v>
      </c>
      <c r="G4" s="54">
        <f>Q4</f>
        <v>6</v>
      </c>
      <c r="I4" s="54" t="s">
        <v>175</v>
      </c>
      <c r="J4" s="54">
        <v>2</v>
      </c>
      <c r="K4" s="54">
        <v>2</v>
      </c>
      <c r="L4" s="54">
        <v>1</v>
      </c>
      <c r="M4" s="54">
        <v>3</v>
      </c>
      <c r="O4" s="44" t="s">
        <v>182</v>
      </c>
      <c r="P4" s="7">
        <f t="shared" ref="P4:P6" si="0">(((C4*D4)+(C4*E4)+(C4*F4))/60)/7.5</f>
        <v>3.8888888888888888</v>
      </c>
      <c r="Q4" s="10">
        <v>6</v>
      </c>
      <c r="R4" s="7">
        <f t="shared" ref="R4:R6" si="1">Q4-P4</f>
        <v>2.1111111111111112</v>
      </c>
      <c r="S4" s="43">
        <v>1</v>
      </c>
    </row>
    <row r="5" spans="2:19" x14ac:dyDescent="0.2">
      <c r="B5" s="54" t="s">
        <v>183</v>
      </c>
      <c r="C5" s="54">
        <v>500</v>
      </c>
      <c r="D5" s="54">
        <v>0.3</v>
      </c>
      <c r="E5" s="54">
        <v>0.7</v>
      </c>
      <c r="F5" s="54">
        <v>1</v>
      </c>
      <c r="G5" s="54">
        <f>Q5</f>
        <v>9</v>
      </c>
      <c r="I5" s="54" t="s">
        <v>176</v>
      </c>
      <c r="J5" s="54">
        <v>2</v>
      </c>
      <c r="K5" s="54">
        <v>3</v>
      </c>
      <c r="L5" s="54">
        <v>1</v>
      </c>
      <c r="M5" s="54">
        <v>1</v>
      </c>
      <c r="O5" s="44" t="s">
        <v>183</v>
      </c>
      <c r="P5" s="7">
        <f t="shared" si="0"/>
        <v>2.2222222222222223</v>
      </c>
      <c r="Q5" s="10">
        <v>9</v>
      </c>
      <c r="R5" s="7">
        <f t="shared" si="1"/>
        <v>6.7777777777777777</v>
      </c>
      <c r="S5" s="43">
        <v>3</v>
      </c>
    </row>
    <row r="6" spans="2:19" x14ac:dyDescent="0.2">
      <c r="B6" s="55" t="s">
        <v>184</v>
      </c>
      <c r="C6" s="55">
        <v>500</v>
      </c>
      <c r="D6" s="55">
        <v>0.8</v>
      </c>
      <c r="E6" s="55">
        <v>1.2</v>
      </c>
      <c r="F6" s="55">
        <v>3</v>
      </c>
      <c r="G6" s="55">
        <f>Q6</f>
        <v>8</v>
      </c>
      <c r="I6" s="55" t="s">
        <v>177</v>
      </c>
      <c r="J6" s="55">
        <v>1</v>
      </c>
      <c r="K6" s="55">
        <v>1</v>
      </c>
      <c r="L6" s="55">
        <v>1</v>
      </c>
      <c r="M6" s="55">
        <v>2</v>
      </c>
      <c r="O6" s="63" t="s">
        <v>184</v>
      </c>
      <c r="P6" s="64">
        <f t="shared" si="0"/>
        <v>5.5555555555555554</v>
      </c>
      <c r="Q6" s="65">
        <v>8</v>
      </c>
      <c r="R6" s="64">
        <f t="shared" si="1"/>
        <v>2.4444444444444446</v>
      </c>
      <c r="S6" s="66">
        <v>2</v>
      </c>
    </row>
    <row r="10" spans="2:19" x14ac:dyDescent="0.2">
      <c r="B10" s="57" t="s">
        <v>174</v>
      </c>
      <c r="C10" s="57" t="s">
        <v>202</v>
      </c>
      <c r="D10" s="209" t="s">
        <v>190</v>
      </c>
      <c r="E10" s="210"/>
      <c r="F10" s="209" t="s">
        <v>191</v>
      </c>
      <c r="G10" s="210"/>
      <c r="H10" s="209" t="s">
        <v>68</v>
      </c>
      <c r="I10" s="210"/>
      <c r="J10" s="209" t="s">
        <v>192</v>
      </c>
      <c r="K10" s="210"/>
      <c r="L10" s="209" t="s">
        <v>194</v>
      </c>
      <c r="M10" s="210"/>
      <c r="N10" s="209" t="s">
        <v>195</v>
      </c>
      <c r="O10" s="210"/>
      <c r="P10" s="57" t="s">
        <v>196</v>
      </c>
      <c r="Q10" s="57" t="s">
        <v>197</v>
      </c>
    </row>
    <row r="11" spans="2:19" x14ac:dyDescent="0.2">
      <c r="B11" s="26" t="s">
        <v>182</v>
      </c>
      <c r="C11" s="26">
        <f>C4</f>
        <v>500</v>
      </c>
      <c r="D11" s="67">
        <v>0</v>
      </c>
      <c r="E11" s="67">
        <f>D11+K4</f>
        <v>2</v>
      </c>
      <c r="F11" s="67">
        <f>E11</f>
        <v>2</v>
      </c>
      <c r="G11" s="67">
        <f>((C4*D4)/60)+F11</f>
        <v>7</v>
      </c>
      <c r="H11" s="67">
        <f>I11-K5</f>
        <v>4</v>
      </c>
      <c r="I11" s="67">
        <f>G11</f>
        <v>7</v>
      </c>
      <c r="J11" s="67">
        <f>I11</f>
        <v>7</v>
      </c>
      <c r="K11" s="67">
        <f>((C11*E4)/60)+J11</f>
        <v>14.5</v>
      </c>
      <c r="L11" s="67">
        <f>M11-K6</f>
        <v>13.5</v>
      </c>
      <c r="M11" s="67">
        <f>K11</f>
        <v>14.5</v>
      </c>
      <c r="N11" s="67">
        <f>M11</f>
        <v>14.5</v>
      </c>
      <c r="O11" s="67">
        <f>((C11*F4)/60)+N11</f>
        <v>31.166666666666668</v>
      </c>
      <c r="P11" s="59">
        <f>O11/7.5</f>
        <v>4.1555555555555559</v>
      </c>
      <c r="Q11" s="26">
        <f>G4</f>
        <v>6</v>
      </c>
    </row>
    <row r="12" spans="2:19" x14ac:dyDescent="0.2">
      <c r="B12" s="26" t="s">
        <v>184</v>
      </c>
      <c r="C12" s="26">
        <f>C5</f>
        <v>500</v>
      </c>
      <c r="D12" s="67">
        <f>E12-M4</f>
        <v>11.500000000000002</v>
      </c>
      <c r="E12" s="67">
        <f>F12</f>
        <v>14.500000000000002</v>
      </c>
      <c r="F12" s="67">
        <f>J12-I17</f>
        <v>14.500000000000002</v>
      </c>
      <c r="G12" s="67">
        <f>((C12*D6)/60)+F12</f>
        <v>21.166666666666668</v>
      </c>
      <c r="H12" s="67">
        <f>I12-M5</f>
        <v>20.166666666666668</v>
      </c>
      <c r="I12" s="67">
        <f>G12</f>
        <v>21.166666666666668</v>
      </c>
      <c r="J12" s="67">
        <f>O11-M17</f>
        <v>21.166666666666668</v>
      </c>
      <c r="K12" s="67">
        <f>((C12*E6)/60)+J12</f>
        <v>31.166666666666668</v>
      </c>
      <c r="L12" s="67">
        <f>O11</f>
        <v>31.166666666666668</v>
      </c>
      <c r="M12" s="67">
        <f>L12+M6</f>
        <v>33.166666666666671</v>
      </c>
      <c r="N12" s="67">
        <f>M12</f>
        <v>33.166666666666671</v>
      </c>
      <c r="O12" s="67">
        <f>N12+((C12*F6)/60)</f>
        <v>58.166666666666671</v>
      </c>
      <c r="P12" s="59">
        <f t="shared" ref="P12:P14" si="2">O12/7.5</f>
        <v>7.7555555555555564</v>
      </c>
      <c r="Q12" s="26">
        <f>G6</f>
        <v>8</v>
      </c>
    </row>
    <row r="13" spans="2:19" x14ac:dyDescent="0.2">
      <c r="B13" s="26" t="s">
        <v>183</v>
      </c>
      <c r="C13" s="26">
        <f>C3</f>
        <v>500</v>
      </c>
      <c r="D13" s="67">
        <f>E13-L4</f>
        <v>48.833333333333336</v>
      </c>
      <c r="E13" s="67">
        <f>F13</f>
        <v>49.833333333333336</v>
      </c>
      <c r="F13" s="67">
        <f>J13-I18</f>
        <v>49.833333333333336</v>
      </c>
      <c r="G13" s="67">
        <f>F13+((C13*D5)/60)</f>
        <v>52.333333333333336</v>
      </c>
      <c r="H13" s="67">
        <f>I13-L5</f>
        <v>51.333333333333336</v>
      </c>
      <c r="I13" s="67">
        <f>J13</f>
        <v>52.333333333333336</v>
      </c>
      <c r="J13" s="67">
        <f>O12-M18</f>
        <v>52.333333333333336</v>
      </c>
      <c r="K13" s="67">
        <f>J13+((C13*E5)/60)</f>
        <v>58.166666666666671</v>
      </c>
      <c r="L13" s="67">
        <f>O12</f>
        <v>58.166666666666671</v>
      </c>
      <c r="M13" s="67">
        <f>L13+L6</f>
        <v>59.166666666666671</v>
      </c>
      <c r="N13" s="67">
        <f>M13</f>
        <v>59.166666666666671</v>
      </c>
      <c r="O13" s="67">
        <f>N13+((C13*F5)/60)</f>
        <v>67.5</v>
      </c>
      <c r="P13" s="59">
        <f t="shared" si="2"/>
        <v>9</v>
      </c>
      <c r="Q13" s="26">
        <f>G5</f>
        <v>9</v>
      </c>
    </row>
    <row r="14" spans="2:19" x14ac:dyDescent="0.2">
      <c r="B14" s="26" t="s">
        <v>180</v>
      </c>
      <c r="C14" s="26">
        <f>C6</f>
        <v>500</v>
      </c>
      <c r="D14" s="67">
        <f>E14-J4</f>
        <v>53.833333333333336</v>
      </c>
      <c r="E14" s="67">
        <f>F14</f>
        <v>55.833333333333336</v>
      </c>
      <c r="F14" s="67">
        <f>J14-I19</f>
        <v>55.833333333333336</v>
      </c>
      <c r="G14" s="67">
        <f>F14+((C14*D3)/60)</f>
        <v>60</v>
      </c>
      <c r="H14" s="67">
        <f>I14-J5</f>
        <v>58</v>
      </c>
      <c r="I14" s="67">
        <f>G14</f>
        <v>60</v>
      </c>
      <c r="J14" s="67">
        <f>O13-M19</f>
        <v>60</v>
      </c>
      <c r="K14" s="67">
        <f>J14+((C14*E3)/60)</f>
        <v>67.5</v>
      </c>
      <c r="L14" s="67">
        <f>O13</f>
        <v>67.5</v>
      </c>
      <c r="M14" s="67">
        <f>L14+J6</f>
        <v>68.5</v>
      </c>
      <c r="N14" s="67">
        <f>M14</f>
        <v>68.5</v>
      </c>
      <c r="O14" s="67">
        <f>N14+((C14*F3)/60)</f>
        <v>81</v>
      </c>
      <c r="P14" s="59">
        <f t="shared" si="2"/>
        <v>10.8</v>
      </c>
      <c r="Q14" s="26">
        <f>G3</f>
        <v>10</v>
      </c>
    </row>
    <row r="16" spans="2:19" x14ac:dyDescent="0.2">
      <c r="F16" s="10" t="s">
        <v>211</v>
      </c>
      <c r="G16" s="10" t="s">
        <v>212</v>
      </c>
      <c r="H16" s="205" t="s">
        <v>213</v>
      </c>
      <c r="I16" s="205"/>
      <c r="J16" s="10" t="s">
        <v>211</v>
      </c>
      <c r="K16" s="10" t="s">
        <v>212</v>
      </c>
      <c r="L16" s="205" t="s">
        <v>213</v>
      </c>
      <c r="M16" s="205"/>
      <c r="N16" s="10" t="s">
        <v>211</v>
      </c>
      <c r="O16" s="10" t="s">
        <v>212</v>
      </c>
      <c r="P16" s="205" t="s">
        <v>214</v>
      </c>
      <c r="Q16" s="205"/>
      <c r="R16" s="60">
        <f>(P14-Q14)/4</f>
        <v>0.20000000000000018</v>
      </c>
    </row>
    <row r="17" spans="6:15" x14ac:dyDescent="0.2">
      <c r="F17" s="10" t="str">
        <f>B12</f>
        <v>D</v>
      </c>
      <c r="G17" s="10">
        <f>60/D6</f>
        <v>75</v>
      </c>
      <c r="H17" s="7">
        <f>(K17/G17)*500</f>
        <v>333.33333333333331</v>
      </c>
      <c r="I17" s="60">
        <f>H17/K17</f>
        <v>6.6666666666666661</v>
      </c>
      <c r="J17" s="10" t="str">
        <f>B12</f>
        <v>D</v>
      </c>
      <c r="K17" s="7">
        <f>60/E6</f>
        <v>50</v>
      </c>
      <c r="L17" s="43">
        <f>(O17/K17)*500</f>
        <v>200</v>
      </c>
      <c r="M17" s="60">
        <f>L17/O17</f>
        <v>10</v>
      </c>
      <c r="N17" s="10" t="str">
        <f>B12</f>
        <v>D</v>
      </c>
      <c r="O17" s="7">
        <f>60/F6</f>
        <v>20</v>
      </c>
    </row>
    <row r="18" spans="6:15" x14ac:dyDescent="0.2">
      <c r="F18" s="10" t="str">
        <f t="shared" ref="F18:F19" si="3">B13</f>
        <v>C</v>
      </c>
      <c r="G18" s="10">
        <f>60/D5</f>
        <v>200</v>
      </c>
      <c r="H18" s="7">
        <f t="shared" ref="H18:H19" si="4">(K18/G18)*500</f>
        <v>214.28571428571431</v>
      </c>
      <c r="I18" s="60">
        <f t="shared" ref="I18:I19" si="5">H18/K18</f>
        <v>2.5</v>
      </c>
      <c r="J18" s="10" t="str">
        <f t="shared" ref="J18:J19" si="6">B13</f>
        <v>C</v>
      </c>
      <c r="K18" s="7">
        <f>60/E5</f>
        <v>85.714285714285722</v>
      </c>
      <c r="L18" s="43">
        <f t="shared" ref="L18:L19" si="7">(O18/K18)*500</f>
        <v>350</v>
      </c>
      <c r="M18" s="60">
        <f t="shared" ref="M18:M19" si="8">L18/O18</f>
        <v>5.833333333333333</v>
      </c>
      <c r="N18" s="10" t="str">
        <f t="shared" ref="N18:N19" si="9">B13</f>
        <v>C</v>
      </c>
      <c r="O18" s="7">
        <f>60/F5</f>
        <v>60</v>
      </c>
    </row>
    <row r="19" spans="6:15" x14ac:dyDescent="0.2">
      <c r="F19" s="10" t="str">
        <f t="shared" si="3"/>
        <v>A</v>
      </c>
      <c r="G19" s="10">
        <f>60/D3</f>
        <v>120</v>
      </c>
      <c r="H19" s="7">
        <f t="shared" si="4"/>
        <v>277.77777777777777</v>
      </c>
      <c r="I19" s="60">
        <f t="shared" si="5"/>
        <v>4.1666666666666661</v>
      </c>
      <c r="J19" s="10" t="str">
        <f t="shared" si="6"/>
        <v>A</v>
      </c>
      <c r="K19" s="7">
        <f>60/E3</f>
        <v>66.666666666666671</v>
      </c>
      <c r="L19" s="43">
        <f t="shared" si="7"/>
        <v>300</v>
      </c>
      <c r="M19" s="60">
        <f t="shared" si="8"/>
        <v>7.5</v>
      </c>
      <c r="N19" s="10" t="str">
        <f t="shared" si="9"/>
        <v>A</v>
      </c>
      <c r="O19" s="7">
        <f>60/F3</f>
        <v>40</v>
      </c>
    </row>
    <row r="20" spans="6:15" x14ac:dyDescent="0.2">
      <c r="I20" s="10"/>
      <c r="J20" s="10"/>
      <c r="M20" s="10"/>
      <c r="N20" s="10"/>
    </row>
    <row r="21" spans="6:15" x14ac:dyDescent="0.2">
      <c r="I21" s="10"/>
      <c r="J21" s="10"/>
      <c r="M21" s="10"/>
      <c r="N21" s="10"/>
    </row>
    <row r="22" spans="6:15" x14ac:dyDescent="0.2">
      <c r="O22" s="25"/>
    </row>
    <row r="25" spans="6:15" x14ac:dyDescent="0.2">
      <c r="O25" s="25"/>
    </row>
  </sheetData>
  <mergeCells count="11">
    <mergeCell ref="N10:O10"/>
    <mergeCell ref="H16:I16"/>
    <mergeCell ref="L16:M16"/>
    <mergeCell ref="P16:Q16"/>
    <mergeCell ref="D2:F2"/>
    <mergeCell ref="J2:M2"/>
    <mergeCell ref="D10:E10"/>
    <mergeCell ref="F10:G10"/>
    <mergeCell ref="H10:I10"/>
    <mergeCell ref="J10:K10"/>
    <mergeCell ref="L10:M1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FEF42-08C2-4847-A26C-F704CFCF755A}">
  <dimension ref="B2:AA39"/>
  <sheetViews>
    <sheetView zoomScale="110" zoomScaleNormal="110" workbookViewId="0">
      <selection activeCell="G31" sqref="G31"/>
    </sheetView>
  </sheetViews>
  <sheetFormatPr baseColWidth="10" defaultRowHeight="16" x14ac:dyDescent="0.2"/>
  <cols>
    <col min="1" max="1" width="3.5" style="69" customWidth="1"/>
    <col min="2" max="2" width="13.6640625" style="69" customWidth="1"/>
    <col min="3" max="3" width="10.6640625" style="69" customWidth="1"/>
    <col min="4" max="4" width="13" style="69" customWidth="1"/>
    <col min="5" max="5" width="10.83203125" style="69" customWidth="1"/>
    <col min="6" max="7" width="12" style="69" bestFit="1" customWidth="1"/>
    <col min="8" max="8" width="9" style="69" customWidth="1"/>
    <col min="9" max="9" width="11" style="69" customWidth="1"/>
    <col min="10" max="10" width="13.5" style="69" customWidth="1"/>
    <col min="11" max="11" width="9" style="69" customWidth="1"/>
    <col min="12" max="13" width="12.5" style="69" bestFit="1" customWidth="1"/>
    <col min="14" max="15" width="10.83203125" style="69"/>
    <col min="16" max="16" width="7.6640625" style="69" customWidth="1"/>
    <col min="17" max="17" width="8.6640625" style="69" customWidth="1"/>
    <col min="18" max="18" width="6.83203125" style="69" customWidth="1"/>
    <col min="19" max="19" width="9.1640625" style="69" customWidth="1"/>
    <col min="20" max="20" width="7.33203125" style="69" customWidth="1"/>
    <col min="21" max="21" width="8.6640625" style="69" customWidth="1"/>
    <col min="22" max="22" width="6" style="69" customWidth="1"/>
    <col min="23" max="23" width="8.33203125" style="69" customWidth="1"/>
    <col min="24" max="24" width="5.83203125" style="69" customWidth="1"/>
    <col min="25" max="25" width="10.83203125" style="69"/>
    <col min="26" max="26" width="7.33203125" style="69" customWidth="1"/>
    <col min="27" max="27" width="8.6640625" style="69" customWidth="1"/>
    <col min="28" max="1999" width="10.83203125" style="69"/>
    <col min="2000" max="2000" width="2.5" style="69" customWidth="1"/>
    <col min="2001" max="16384" width="10.83203125" style="69"/>
  </cols>
  <sheetData>
    <row r="2" spans="2:11" x14ac:dyDescent="0.2">
      <c r="B2" s="68" t="s">
        <v>215</v>
      </c>
      <c r="C2" s="68">
        <v>30</v>
      </c>
      <c r="D2" s="68" t="s">
        <v>216</v>
      </c>
      <c r="E2" s="68">
        <v>7</v>
      </c>
      <c r="F2" s="69">
        <f>E2*60</f>
        <v>420</v>
      </c>
      <c r="I2" s="215" t="s">
        <v>217</v>
      </c>
      <c r="J2" s="216"/>
      <c r="K2" s="217"/>
    </row>
    <row r="3" spans="2:11" x14ac:dyDescent="0.2">
      <c r="B3" s="68" t="s">
        <v>174</v>
      </c>
      <c r="C3" s="68" t="s">
        <v>218</v>
      </c>
      <c r="D3" s="68" t="s">
        <v>219</v>
      </c>
      <c r="E3" s="68" t="s">
        <v>220</v>
      </c>
      <c r="F3" s="70">
        <v>100</v>
      </c>
      <c r="H3" s="71" t="s">
        <v>221</v>
      </c>
      <c r="I3" s="71" t="s">
        <v>222</v>
      </c>
      <c r="J3" s="71" t="s">
        <v>223</v>
      </c>
      <c r="K3" s="71" t="s">
        <v>224</v>
      </c>
    </row>
    <row r="4" spans="2:11" x14ac:dyDescent="0.2">
      <c r="B4" s="72" t="s">
        <v>222</v>
      </c>
      <c r="C4" s="68">
        <v>750</v>
      </c>
      <c r="D4" s="73">
        <f>C4/$C$2</f>
        <v>25</v>
      </c>
      <c r="H4" s="74" t="s">
        <v>225</v>
      </c>
      <c r="I4" s="75">
        <v>2</v>
      </c>
      <c r="J4" s="75">
        <v>0</v>
      </c>
      <c r="K4" s="75">
        <v>5</v>
      </c>
    </row>
    <row r="5" spans="2:11" x14ac:dyDescent="0.2">
      <c r="B5" s="72" t="s">
        <v>223</v>
      </c>
      <c r="C5" s="68">
        <v>1500</v>
      </c>
      <c r="D5" s="73">
        <f t="shared" ref="D5:D6" si="0">C5/$C$2</f>
        <v>50</v>
      </c>
      <c r="H5" s="74" t="s">
        <v>226</v>
      </c>
      <c r="I5" s="75">
        <v>1</v>
      </c>
      <c r="J5" s="75">
        <v>4</v>
      </c>
      <c r="K5" s="75">
        <v>5</v>
      </c>
    </row>
    <row r="6" spans="2:11" x14ac:dyDescent="0.2">
      <c r="B6" s="72" t="s">
        <v>224</v>
      </c>
      <c r="C6" s="68">
        <v>4500</v>
      </c>
      <c r="D6" s="73">
        <f t="shared" si="0"/>
        <v>150</v>
      </c>
      <c r="H6" s="74" t="s">
        <v>227</v>
      </c>
      <c r="I6" s="75">
        <v>0</v>
      </c>
      <c r="J6" s="75">
        <v>3</v>
      </c>
      <c r="K6" s="75">
        <v>10</v>
      </c>
    </row>
    <row r="7" spans="2:11" x14ac:dyDescent="0.2">
      <c r="B7" s="68"/>
      <c r="C7" s="68"/>
      <c r="D7" s="73"/>
      <c r="H7" s="74" t="s">
        <v>228</v>
      </c>
      <c r="I7" s="75">
        <v>0</v>
      </c>
      <c r="J7" s="75">
        <v>2</v>
      </c>
      <c r="K7" s="75">
        <v>10</v>
      </c>
    </row>
    <row r="8" spans="2:11" x14ac:dyDescent="0.2">
      <c r="H8" s="74" t="s">
        <v>229</v>
      </c>
      <c r="I8" s="75">
        <v>1</v>
      </c>
      <c r="J8" s="75">
        <v>0</v>
      </c>
      <c r="K8" s="75">
        <v>3</v>
      </c>
    </row>
    <row r="9" spans="2:11" x14ac:dyDescent="0.2">
      <c r="B9" s="218" t="s">
        <v>230</v>
      </c>
      <c r="C9" s="218"/>
      <c r="D9" s="68" t="s">
        <v>231</v>
      </c>
      <c r="E9" s="219" t="s">
        <v>232</v>
      </c>
      <c r="F9" s="219"/>
      <c r="I9" s="68">
        <f>SUM(I4:I8)</f>
        <v>4</v>
      </c>
      <c r="J9" s="68">
        <f t="shared" ref="J9:K9" si="1">SUM(J4:J8)</f>
        <v>9</v>
      </c>
      <c r="K9" s="68">
        <f t="shared" si="1"/>
        <v>33</v>
      </c>
    </row>
    <row r="10" spans="2:11" x14ac:dyDescent="0.2">
      <c r="B10" s="72" t="s">
        <v>222</v>
      </c>
      <c r="C10" s="69">
        <f>$F$2/D4</f>
        <v>16.8</v>
      </c>
      <c r="D10" s="73">
        <f>$C$10/C10</f>
        <v>1</v>
      </c>
    </row>
    <row r="11" spans="2:11" x14ac:dyDescent="0.2">
      <c r="B11" s="72" t="s">
        <v>223</v>
      </c>
      <c r="C11" s="69">
        <f t="shared" ref="C11:C12" si="2">$F$2/D5</f>
        <v>8.4</v>
      </c>
      <c r="D11" s="73">
        <f t="shared" ref="D11:D12" si="3">$C$10/C11</f>
        <v>2</v>
      </c>
      <c r="H11" s="218" t="s">
        <v>217</v>
      </c>
      <c r="I11" s="218"/>
      <c r="J11" s="218"/>
      <c r="K11" s="68" t="s">
        <v>233</v>
      </c>
    </row>
    <row r="12" spans="2:11" x14ac:dyDescent="0.2">
      <c r="B12" s="72" t="s">
        <v>224</v>
      </c>
      <c r="C12" s="69">
        <f t="shared" si="2"/>
        <v>2.8</v>
      </c>
      <c r="D12" s="73">
        <f t="shared" si="3"/>
        <v>6.0000000000000009</v>
      </c>
      <c r="H12" s="72" t="s">
        <v>225</v>
      </c>
      <c r="I12" s="72" t="s">
        <v>234</v>
      </c>
      <c r="K12" s="76">
        <f>V20</f>
        <v>0.11944444444444445</v>
      </c>
    </row>
    <row r="13" spans="2:11" x14ac:dyDescent="0.2">
      <c r="B13" s="68"/>
      <c r="D13" s="68"/>
      <c r="H13" s="72" t="s">
        <v>226</v>
      </c>
      <c r="I13" s="72" t="s">
        <v>235</v>
      </c>
      <c r="K13" s="76">
        <f>R20</f>
        <v>8.0555555555555561E-2</v>
      </c>
    </row>
    <row r="14" spans="2:11" x14ac:dyDescent="0.2">
      <c r="D14" s="77"/>
      <c r="H14" s="72" t="s">
        <v>227</v>
      </c>
      <c r="I14" s="72" t="s">
        <v>236</v>
      </c>
      <c r="K14" s="76">
        <f>Z20</f>
        <v>0.15833333333333333</v>
      </c>
    </row>
    <row r="15" spans="2:11" x14ac:dyDescent="0.2">
      <c r="B15" s="68" t="s">
        <v>237</v>
      </c>
      <c r="C15" s="68" t="s">
        <v>238</v>
      </c>
      <c r="D15" s="68" t="s">
        <v>239</v>
      </c>
      <c r="E15" s="68" t="s">
        <v>240</v>
      </c>
      <c r="F15" s="68"/>
      <c r="H15" s="72" t="s">
        <v>228</v>
      </c>
      <c r="I15" s="72" t="s">
        <v>241</v>
      </c>
      <c r="K15" s="76">
        <f>T20</f>
        <v>9.9999999999999992E-2</v>
      </c>
    </row>
    <row r="16" spans="2:11" x14ac:dyDescent="0.2">
      <c r="B16" s="72" t="s">
        <v>222</v>
      </c>
      <c r="C16" s="68">
        <f>D10</f>
        <v>1</v>
      </c>
      <c r="D16" s="68">
        <f>I9</f>
        <v>4</v>
      </c>
      <c r="E16" s="73">
        <f>D16/C16</f>
        <v>4</v>
      </c>
      <c r="F16" s="68"/>
      <c r="H16" s="72" t="s">
        <v>229</v>
      </c>
      <c r="I16" s="72" t="s">
        <v>242</v>
      </c>
      <c r="K16" s="76">
        <f>P20</f>
        <v>6.1111111111111116E-2</v>
      </c>
    </row>
    <row r="17" spans="2:27" x14ac:dyDescent="0.2">
      <c r="B17" s="72" t="s">
        <v>223</v>
      </c>
      <c r="C17" s="68">
        <f t="shared" ref="C17:C18" si="4">D11</f>
        <v>2</v>
      </c>
      <c r="D17" s="68">
        <f>J9</f>
        <v>9</v>
      </c>
      <c r="E17" s="73">
        <f t="shared" ref="E17:E18" si="5">D17/C17</f>
        <v>4.5</v>
      </c>
      <c r="F17" s="68"/>
      <c r="H17" s="72" t="s">
        <v>243</v>
      </c>
      <c r="J17" s="70">
        <f>AA25</f>
        <v>800.00000000000034</v>
      </c>
    </row>
    <row r="18" spans="2:27" x14ac:dyDescent="0.2">
      <c r="B18" s="72" t="s">
        <v>224</v>
      </c>
      <c r="C18" s="68">
        <f t="shared" si="4"/>
        <v>6.0000000000000009</v>
      </c>
      <c r="D18" s="68">
        <f>K9</f>
        <v>33</v>
      </c>
      <c r="E18" s="73">
        <f t="shared" si="5"/>
        <v>5.4999999999999991</v>
      </c>
      <c r="F18" s="68"/>
    </row>
    <row r="19" spans="2:27" x14ac:dyDescent="0.2">
      <c r="B19" s="68"/>
      <c r="C19" s="68"/>
      <c r="D19" s="68"/>
      <c r="E19" s="73"/>
      <c r="F19" s="68"/>
    </row>
    <row r="20" spans="2:27" x14ac:dyDescent="0.2">
      <c r="O20" s="78"/>
      <c r="P20" s="220">
        <f>N23</f>
        <v>6.1111111111111116E-2</v>
      </c>
      <c r="Q20" s="221"/>
      <c r="R20" s="220">
        <f>N24</f>
        <v>8.0555555555555561E-2</v>
      </c>
      <c r="S20" s="221"/>
      <c r="T20" s="220">
        <f>N25</f>
        <v>9.9999999999999992E-2</v>
      </c>
      <c r="U20" s="221"/>
      <c r="V20" s="220">
        <f>N26</f>
        <v>0.11944444444444445</v>
      </c>
      <c r="W20" s="221"/>
      <c r="X20" s="220">
        <f>N27</f>
        <v>0.1388888888888889</v>
      </c>
      <c r="Y20" s="221"/>
      <c r="Z20" s="220">
        <f>N28</f>
        <v>0.15833333333333333</v>
      </c>
      <c r="AA20" s="221"/>
    </row>
    <row r="21" spans="2:27" x14ac:dyDescent="0.2">
      <c r="B21" s="68" t="s">
        <v>244</v>
      </c>
      <c r="C21" s="68">
        <v>1</v>
      </c>
      <c r="H21" s="218" t="s">
        <v>245</v>
      </c>
      <c r="I21" s="218"/>
      <c r="J21" s="68"/>
      <c r="K21" s="68"/>
      <c r="L21" s="68"/>
      <c r="M21" s="218" t="s">
        <v>246</v>
      </c>
      <c r="N21" s="218"/>
      <c r="O21" s="75" t="s">
        <v>247</v>
      </c>
      <c r="P21" s="79" t="s">
        <v>248</v>
      </c>
      <c r="Q21" s="79" t="s">
        <v>249</v>
      </c>
      <c r="R21" s="79" t="s">
        <v>248</v>
      </c>
      <c r="S21" s="75" t="s">
        <v>249</v>
      </c>
      <c r="T21" s="75" t="s">
        <v>248</v>
      </c>
      <c r="U21" s="79" t="s">
        <v>249</v>
      </c>
      <c r="V21" s="75" t="s">
        <v>248</v>
      </c>
      <c r="W21" s="79" t="s">
        <v>249</v>
      </c>
      <c r="X21" s="75" t="s">
        <v>248</v>
      </c>
      <c r="Y21" s="79" t="s">
        <v>249</v>
      </c>
      <c r="Z21" s="75" t="s">
        <v>248</v>
      </c>
      <c r="AA21" s="79" t="s">
        <v>249</v>
      </c>
    </row>
    <row r="22" spans="2:27" x14ac:dyDescent="0.2">
      <c r="H22" s="68" t="s">
        <v>250</v>
      </c>
      <c r="I22" s="68" t="s">
        <v>251</v>
      </c>
      <c r="J22" s="68" t="s">
        <v>252</v>
      </c>
      <c r="K22" s="68"/>
      <c r="L22" s="68" t="s">
        <v>252</v>
      </c>
      <c r="M22" s="68" t="s">
        <v>250</v>
      </c>
      <c r="N22" s="68" t="s">
        <v>251</v>
      </c>
      <c r="O22" s="80" t="s">
        <v>222</v>
      </c>
      <c r="P22" s="75">
        <v>1</v>
      </c>
      <c r="Q22" s="75">
        <f>P22-1</f>
        <v>0</v>
      </c>
      <c r="R22" s="75">
        <f>Q22+C24</f>
        <v>1</v>
      </c>
      <c r="S22" s="75">
        <f>R22-1</f>
        <v>0</v>
      </c>
      <c r="T22" s="75">
        <f>S22+C24</f>
        <v>1</v>
      </c>
      <c r="U22" s="75">
        <f>T22-0</f>
        <v>1</v>
      </c>
      <c r="V22" s="75">
        <f>U22+C24</f>
        <v>2</v>
      </c>
      <c r="W22" s="75">
        <f>V22-2</f>
        <v>0</v>
      </c>
      <c r="X22" s="75">
        <f>W22+C24</f>
        <v>1</v>
      </c>
      <c r="Y22" s="75">
        <f>X22-0</f>
        <v>1</v>
      </c>
      <c r="Z22" s="75">
        <f>Y22+C24</f>
        <v>2</v>
      </c>
      <c r="AA22" s="75">
        <f>Z22-0</f>
        <v>2</v>
      </c>
    </row>
    <row r="23" spans="2:27" x14ac:dyDescent="0.2">
      <c r="B23" s="81" t="s">
        <v>253</v>
      </c>
      <c r="C23" s="68" t="s">
        <v>238</v>
      </c>
      <c r="D23" s="68" t="s">
        <v>254</v>
      </c>
      <c r="E23" s="68" t="s">
        <v>255</v>
      </c>
      <c r="F23" s="82"/>
      <c r="G23" s="68" t="s">
        <v>256</v>
      </c>
      <c r="H23" s="68" t="s">
        <v>150</v>
      </c>
      <c r="I23" s="68" t="s">
        <v>150</v>
      </c>
      <c r="J23" s="68" t="s">
        <v>257</v>
      </c>
      <c r="K23" s="68"/>
      <c r="L23" s="68" t="s">
        <v>258</v>
      </c>
      <c r="M23" s="76">
        <v>4.1666666666666664E-2</v>
      </c>
      <c r="N23" s="76">
        <v>6.1111111111111116E-2</v>
      </c>
      <c r="O23" s="80" t="s">
        <v>223</v>
      </c>
      <c r="P23" s="75">
        <v>2</v>
      </c>
      <c r="Q23" s="75">
        <f>P23-0</f>
        <v>2</v>
      </c>
      <c r="R23" s="75">
        <f t="shared" ref="R23:R24" si="6">Q23+C25</f>
        <v>4</v>
      </c>
      <c r="S23" s="75">
        <f>R23-4</f>
        <v>0</v>
      </c>
      <c r="T23" s="75">
        <f t="shared" ref="T23:T24" si="7">S23+C25</f>
        <v>2</v>
      </c>
      <c r="U23" s="75">
        <f>T23-2</f>
        <v>0</v>
      </c>
      <c r="V23" s="75">
        <f t="shared" ref="V23:V24" si="8">U23+C25</f>
        <v>2</v>
      </c>
      <c r="W23" s="75">
        <f>V23-0</f>
        <v>2</v>
      </c>
      <c r="X23" s="75">
        <f t="shared" ref="X23:X24" si="9">W23+C25</f>
        <v>4</v>
      </c>
      <c r="Y23" s="75">
        <f>X23-0</f>
        <v>4</v>
      </c>
      <c r="Z23" s="75">
        <f t="shared" ref="Z23:Z24" si="10">Y23+C25</f>
        <v>6</v>
      </c>
      <c r="AA23" s="75">
        <f>Z23-3</f>
        <v>3</v>
      </c>
    </row>
    <row r="24" spans="2:27" x14ac:dyDescent="0.2">
      <c r="B24" s="72" t="s">
        <v>222</v>
      </c>
      <c r="C24" s="68">
        <f>D10</f>
        <v>1</v>
      </c>
      <c r="D24" s="83">
        <v>2.5</v>
      </c>
      <c r="E24" s="83">
        <f>D24+1</f>
        <v>3.5</v>
      </c>
      <c r="F24" s="76">
        <v>0.53819444444444442</v>
      </c>
      <c r="G24" s="68" t="s">
        <v>259</v>
      </c>
      <c r="H24" s="76">
        <f>F24</f>
        <v>0.53819444444444442</v>
      </c>
      <c r="I24" s="76">
        <v>5.7638888888888885E-2</v>
      </c>
      <c r="J24" s="68" t="s">
        <v>260</v>
      </c>
      <c r="K24" s="68"/>
      <c r="L24" s="68" t="s">
        <v>261</v>
      </c>
      <c r="M24" s="76">
        <v>6.1111111111111116E-2</v>
      </c>
      <c r="N24" s="76">
        <v>8.0555555555555561E-2</v>
      </c>
      <c r="O24" s="80" t="s">
        <v>224</v>
      </c>
      <c r="P24" s="75">
        <v>6</v>
      </c>
      <c r="Q24" s="75">
        <f>P24-3</f>
        <v>3</v>
      </c>
      <c r="R24" s="75">
        <f t="shared" si="6"/>
        <v>9</v>
      </c>
      <c r="S24" s="75">
        <f>R24-5</f>
        <v>4</v>
      </c>
      <c r="T24" s="75">
        <f t="shared" si="7"/>
        <v>10</v>
      </c>
      <c r="U24" s="75">
        <f>T24-10</f>
        <v>0</v>
      </c>
      <c r="V24" s="75">
        <f t="shared" si="8"/>
        <v>6.0000000000000009</v>
      </c>
      <c r="W24" s="75">
        <f>V24-5</f>
        <v>1.0000000000000009</v>
      </c>
      <c r="X24" s="75">
        <f t="shared" si="9"/>
        <v>7.0000000000000018</v>
      </c>
      <c r="Y24" s="75">
        <f>X24-0</f>
        <v>7.0000000000000018</v>
      </c>
      <c r="Z24" s="75">
        <f t="shared" si="10"/>
        <v>13.000000000000004</v>
      </c>
      <c r="AA24" s="75">
        <f>Z24-10</f>
        <v>3.0000000000000036</v>
      </c>
    </row>
    <row r="25" spans="2:27" x14ac:dyDescent="0.2">
      <c r="B25" s="72" t="s">
        <v>223</v>
      </c>
      <c r="C25" s="68">
        <f t="shared" ref="C25:C26" si="11">D11</f>
        <v>2</v>
      </c>
      <c r="D25" s="83">
        <v>1.95</v>
      </c>
      <c r="E25" s="83">
        <f t="shared" ref="E25:E26" si="12">D25+1</f>
        <v>2.95</v>
      </c>
      <c r="F25" s="76">
        <v>5.7638888888888885E-2</v>
      </c>
      <c r="G25" s="68" t="s">
        <v>259</v>
      </c>
      <c r="H25" s="76">
        <f>F25</f>
        <v>5.7638888888888885E-2</v>
      </c>
      <c r="I25" s="76">
        <v>7.7083333333333337E-2</v>
      </c>
      <c r="J25" s="68" t="s">
        <v>260</v>
      </c>
      <c r="K25" s="68"/>
      <c r="L25" s="68" t="s">
        <v>261</v>
      </c>
      <c r="M25" s="76">
        <v>8.0555555555555561E-2</v>
      </c>
      <c r="N25" s="76">
        <v>9.9999999999999992E-2</v>
      </c>
      <c r="Z25" s="68" t="s">
        <v>220</v>
      </c>
      <c r="AA25" s="84">
        <f>(AA22+AA23+AA24)*F3</f>
        <v>800.00000000000034</v>
      </c>
    </row>
    <row r="26" spans="2:27" x14ac:dyDescent="0.2">
      <c r="B26" s="72" t="s">
        <v>224</v>
      </c>
      <c r="C26" s="68">
        <f t="shared" si="11"/>
        <v>6.0000000000000009</v>
      </c>
      <c r="D26" s="83">
        <v>2.1</v>
      </c>
      <c r="E26" s="83">
        <f t="shared" si="12"/>
        <v>3.1</v>
      </c>
      <c r="F26" s="76">
        <v>7.7083333333333337E-2</v>
      </c>
      <c r="G26" s="68" t="s">
        <v>259</v>
      </c>
      <c r="H26" s="76">
        <f t="shared" ref="H26:H28" si="13">F26</f>
        <v>7.7083333333333337E-2</v>
      </c>
      <c r="I26" s="76">
        <v>9.6527777777777768E-2</v>
      </c>
      <c r="J26" s="68" t="str">
        <f>J25</f>
        <v>Listo</v>
      </c>
      <c r="K26" s="68"/>
      <c r="L26" s="68" t="str">
        <f>L25</f>
        <v>llega</v>
      </c>
      <c r="M26" s="76">
        <v>9.9999999999999992E-2</v>
      </c>
      <c r="N26" s="76">
        <v>0.11944444444444445</v>
      </c>
      <c r="O26" s="68"/>
      <c r="P26" s="68"/>
      <c r="Q26" s="68"/>
      <c r="R26" s="68"/>
      <c r="S26" s="68"/>
      <c r="T26" s="68"/>
      <c r="U26" s="68"/>
      <c r="V26" s="68"/>
      <c r="W26" s="68"/>
    </row>
    <row r="27" spans="2:27" x14ac:dyDescent="0.2">
      <c r="B27" s="69" t="s">
        <v>262</v>
      </c>
      <c r="C27" s="83">
        <f>SUMPRODUCT(C24:C26,E24:E26)</f>
        <v>28.000000000000007</v>
      </c>
      <c r="D27" s="83"/>
      <c r="E27" s="68"/>
      <c r="F27" s="76">
        <v>9.6527777777777768E-2</v>
      </c>
      <c r="G27" s="68" t="s">
        <v>259</v>
      </c>
      <c r="H27" s="76">
        <f t="shared" si="13"/>
        <v>9.6527777777777768E-2</v>
      </c>
      <c r="I27" s="76">
        <v>0.11597222222222221</v>
      </c>
      <c r="J27" s="68" t="str">
        <f>J26</f>
        <v>Listo</v>
      </c>
      <c r="K27" s="68"/>
      <c r="L27" s="68" t="str">
        <f>L26</f>
        <v>llega</v>
      </c>
      <c r="M27" s="76">
        <v>0.11944444444444445</v>
      </c>
      <c r="N27" s="76">
        <v>0.1388888888888889</v>
      </c>
      <c r="O27" s="68"/>
      <c r="U27" s="68"/>
      <c r="V27" s="68"/>
      <c r="W27" s="68"/>
    </row>
    <row r="28" spans="2:27" x14ac:dyDescent="0.2">
      <c r="B28" s="69" t="s">
        <v>263</v>
      </c>
      <c r="C28" s="83">
        <v>5</v>
      </c>
      <c r="E28" s="68"/>
      <c r="F28" s="76">
        <v>0.11597222222222221</v>
      </c>
      <c r="G28" s="68" t="s">
        <v>259</v>
      </c>
      <c r="H28" s="76">
        <f t="shared" si="13"/>
        <v>0.11597222222222221</v>
      </c>
      <c r="I28" s="76">
        <v>0.13541666666666666</v>
      </c>
      <c r="J28" s="68" t="str">
        <f t="shared" ref="J28" si="14">J27</f>
        <v>Listo</v>
      </c>
      <c r="K28" s="68"/>
      <c r="L28" s="68" t="str">
        <f t="shared" ref="L28" si="15">L27</f>
        <v>llega</v>
      </c>
      <c r="M28" s="76">
        <v>0.1388888888888889</v>
      </c>
      <c r="N28" s="76">
        <v>0.15833333333333333</v>
      </c>
      <c r="O28" s="68"/>
    </row>
    <row r="29" spans="2:27" x14ac:dyDescent="0.2">
      <c r="B29" s="69" t="s">
        <v>264</v>
      </c>
      <c r="C29" s="83">
        <f>C27+C28</f>
        <v>33.000000000000007</v>
      </c>
      <c r="E29" s="68"/>
      <c r="F29" s="76"/>
      <c r="G29" s="68"/>
      <c r="H29" s="76"/>
      <c r="I29" s="76"/>
      <c r="J29" s="68"/>
      <c r="K29" s="68"/>
      <c r="L29" s="68"/>
      <c r="M29" s="76"/>
      <c r="N29" s="76"/>
      <c r="O29" s="68"/>
    </row>
    <row r="30" spans="2:27" x14ac:dyDescent="0.2"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27" x14ac:dyDescent="0.2"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27" x14ac:dyDescent="0.2">
      <c r="D32" s="85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6:15" x14ac:dyDescent="0.2"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6:15" x14ac:dyDescent="0.2"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6:15" x14ac:dyDescent="0.2"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6:15" x14ac:dyDescent="0.2"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6:15" x14ac:dyDescent="0.2"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6:15" x14ac:dyDescent="0.2"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6:15" x14ac:dyDescent="0.2">
      <c r="F39" s="68"/>
      <c r="G39" s="68"/>
      <c r="H39" s="68"/>
      <c r="I39" s="68"/>
      <c r="J39" s="68"/>
      <c r="K39" s="68"/>
      <c r="L39" s="68"/>
      <c r="M39" s="68"/>
      <c r="N39" s="68"/>
      <c r="O39" s="68"/>
    </row>
  </sheetData>
  <mergeCells count="12">
    <mergeCell ref="T20:U20"/>
    <mergeCell ref="V20:W20"/>
    <mergeCell ref="X20:Y20"/>
    <mergeCell ref="Z20:AA20"/>
    <mergeCell ref="H21:I21"/>
    <mergeCell ref="M21:N21"/>
    <mergeCell ref="R20:S20"/>
    <mergeCell ref="I2:K2"/>
    <mergeCell ref="B9:C9"/>
    <mergeCell ref="E9:F9"/>
    <mergeCell ref="H11:J11"/>
    <mergeCell ref="P20:Q2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48E56-CF77-A64D-823C-FD1BDAAE486B}">
  <dimension ref="B2:Z60"/>
  <sheetViews>
    <sheetView zoomScale="110" zoomScaleNormal="110" zoomScalePageLayoutView="120" workbookViewId="0">
      <selection activeCell="J28" sqref="J28"/>
    </sheetView>
  </sheetViews>
  <sheetFormatPr baseColWidth="10" defaultRowHeight="16" x14ac:dyDescent="0.2"/>
  <cols>
    <col min="1" max="1" width="2.33203125" customWidth="1"/>
    <col min="2" max="2" width="10.83203125" style="10"/>
    <col min="3" max="20" width="7.1640625" style="10" customWidth="1"/>
    <col min="21" max="22" width="7.1640625" customWidth="1"/>
    <col min="23" max="23" width="3.5" customWidth="1"/>
    <col min="24" max="24" width="7.1640625" customWidth="1"/>
  </cols>
  <sheetData>
    <row r="2" spans="2:23" ht="17" thickBot="1" x14ac:dyDescent="0.25">
      <c r="O2" s="229" t="s">
        <v>185</v>
      </c>
      <c r="P2" s="229"/>
      <c r="Q2" s="229"/>
      <c r="R2" s="229"/>
      <c r="S2" s="229"/>
      <c r="T2" s="229"/>
    </row>
    <row r="3" spans="2:23" ht="17" thickBot="1" x14ac:dyDescent="0.25">
      <c r="B3" s="86" t="s">
        <v>174</v>
      </c>
      <c r="C3" s="86" t="s">
        <v>265</v>
      </c>
      <c r="D3" s="86" t="s">
        <v>266</v>
      </c>
      <c r="E3" s="86" t="s">
        <v>267</v>
      </c>
      <c r="F3" s="86" t="s">
        <v>197</v>
      </c>
      <c r="H3" s="87"/>
      <c r="I3" s="230" t="s">
        <v>179</v>
      </c>
      <c r="J3" s="231"/>
      <c r="K3" s="231"/>
      <c r="L3" s="231"/>
      <c r="M3" s="231"/>
      <c r="O3" s="86"/>
      <c r="P3" s="86" t="s">
        <v>180</v>
      </c>
      <c r="Q3" s="86" t="s">
        <v>182</v>
      </c>
      <c r="R3" s="86" t="s">
        <v>183</v>
      </c>
      <c r="S3" s="86" t="s">
        <v>184</v>
      </c>
      <c r="T3" s="86" t="s">
        <v>268</v>
      </c>
    </row>
    <row r="4" spans="2:23" ht="17" thickBot="1" x14ac:dyDescent="0.25">
      <c r="B4" s="88" t="s">
        <v>180</v>
      </c>
      <c r="C4" s="89">
        <v>6</v>
      </c>
      <c r="D4" s="88">
        <v>3</v>
      </c>
      <c r="E4" s="88">
        <v>1</v>
      </c>
      <c r="F4" s="88">
        <v>4</v>
      </c>
      <c r="H4" s="90" t="s">
        <v>269</v>
      </c>
      <c r="I4" s="91">
        <v>1</v>
      </c>
      <c r="J4" s="91">
        <v>2</v>
      </c>
      <c r="K4" s="91">
        <v>3</v>
      </c>
      <c r="L4" s="91">
        <v>4</v>
      </c>
      <c r="M4" s="91">
        <v>5</v>
      </c>
      <c r="O4" s="92" t="s">
        <v>270</v>
      </c>
      <c r="P4" s="10">
        <f>+C4+D4</f>
        <v>9</v>
      </c>
      <c r="Q4" s="10">
        <f>+C5+D5</f>
        <v>4</v>
      </c>
      <c r="R4" s="10">
        <f>+C6+D6</f>
        <v>7</v>
      </c>
      <c r="S4" s="10">
        <f>+C7+D7</f>
        <v>14</v>
      </c>
      <c r="T4" s="10">
        <f>+C8+D8</f>
        <v>3</v>
      </c>
    </row>
    <row r="5" spans="2:23" ht="17" thickBot="1" x14ac:dyDescent="0.25">
      <c r="B5" s="88" t="s">
        <v>182</v>
      </c>
      <c r="C5" s="88">
        <v>0</v>
      </c>
      <c r="D5" s="88">
        <v>4</v>
      </c>
      <c r="E5" s="89">
        <v>7</v>
      </c>
      <c r="F5" s="88">
        <v>2</v>
      </c>
      <c r="H5" s="93">
        <v>1</v>
      </c>
      <c r="I5" s="88">
        <v>1</v>
      </c>
      <c r="J5" s="88">
        <v>3</v>
      </c>
      <c r="K5" s="88">
        <v>2</v>
      </c>
      <c r="L5" s="88">
        <v>2</v>
      </c>
      <c r="M5" s="88" t="s">
        <v>150</v>
      </c>
      <c r="O5" s="94" t="s">
        <v>271</v>
      </c>
      <c r="P5" s="94">
        <f>+E4+D4</f>
        <v>4</v>
      </c>
      <c r="Q5" s="94">
        <f>+E5+D5</f>
        <v>11</v>
      </c>
      <c r="R5" s="94">
        <f>+E6+D6</f>
        <v>11</v>
      </c>
      <c r="S5" s="94">
        <f>+E7+D7</f>
        <v>10</v>
      </c>
      <c r="T5" s="94">
        <f>+E8+D8</f>
        <v>1</v>
      </c>
    </row>
    <row r="6" spans="2:23" x14ac:dyDescent="0.2">
      <c r="B6" s="88" t="s">
        <v>183</v>
      </c>
      <c r="C6" s="88">
        <v>5</v>
      </c>
      <c r="D6" s="88">
        <v>2</v>
      </c>
      <c r="E6" s="89">
        <v>9</v>
      </c>
      <c r="F6" s="88">
        <v>5</v>
      </c>
      <c r="H6" s="93">
        <v>2</v>
      </c>
      <c r="I6" s="88">
        <v>3</v>
      </c>
      <c r="J6" s="88">
        <v>5</v>
      </c>
      <c r="K6" s="88">
        <v>2</v>
      </c>
      <c r="L6" s="88">
        <v>1</v>
      </c>
      <c r="M6" s="88">
        <v>3</v>
      </c>
    </row>
    <row r="7" spans="2:23" ht="17" thickBot="1" x14ac:dyDescent="0.25">
      <c r="B7" s="88" t="s">
        <v>184</v>
      </c>
      <c r="C7" s="89">
        <v>8</v>
      </c>
      <c r="D7" s="88">
        <v>6</v>
      </c>
      <c r="E7" s="88">
        <v>4</v>
      </c>
      <c r="F7" s="88">
        <v>4</v>
      </c>
      <c r="H7" s="90">
        <v>3</v>
      </c>
      <c r="I7" s="94">
        <v>2</v>
      </c>
      <c r="J7" s="94">
        <v>1</v>
      </c>
      <c r="K7" s="94">
        <v>1</v>
      </c>
      <c r="L7" s="94">
        <v>4</v>
      </c>
      <c r="M7" s="94" t="s">
        <v>150</v>
      </c>
      <c r="O7" s="95" t="s">
        <v>272</v>
      </c>
      <c r="P7" s="96"/>
      <c r="Q7" s="96"/>
    </row>
    <row r="8" spans="2:23" ht="17" thickBot="1" x14ac:dyDescent="0.25">
      <c r="B8" s="94" t="s">
        <v>268</v>
      </c>
      <c r="C8" s="97">
        <v>2</v>
      </c>
      <c r="D8" s="94">
        <v>1</v>
      </c>
      <c r="E8" s="94">
        <v>0</v>
      </c>
      <c r="F8" s="94">
        <v>5</v>
      </c>
    </row>
    <row r="9" spans="2:23" ht="17" thickBot="1" x14ac:dyDescent="0.25">
      <c r="B9" s="94" t="s">
        <v>273</v>
      </c>
      <c r="C9" s="94">
        <f>SUM(C4:C8)</f>
        <v>21</v>
      </c>
      <c r="D9" s="94">
        <f>SUM(D4:D8)</f>
        <v>16</v>
      </c>
      <c r="E9" s="94">
        <f>SUM(E4:E8)</f>
        <v>21</v>
      </c>
      <c r="F9" s="94"/>
      <c r="H9" s="96" t="s">
        <v>274</v>
      </c>
      <c r="K9" s="10">
        <v>8</v>
      </c>
    </row>
    <row r="11" spans="2:23" x14ac:dyDescent="0.2">
      <c r="U11" s="10"/>
      <c r="V11" s="10"/>
      <c r="W11" s="10"/>
    </row>
    <row r="12" spans="2:23" x14ac:dyDescent="0.2">
      <c r="B12" s="23" t="s">
        <v>189</v>
      </c>
      <c r="U12" s="10"/>
      <c r="V12" s="10"/>
      <c r="W12" s="10"/>
    </row>
    <row r="13" spans="2:23" x14ac:dyDescent="0.2">
      <c r="B13" s="98"/>
      <c r="C13" s="225" t="s">
        <v>190</v>
      </c>
      <c r="D13" s="226"/>
      <c r="E13" s="226" t="s">
        <v>183</v>
      </c>
      <c r="F13" s="226"/>
      <c r="G13" s="225" t="s">
        <v>68</v>
      </c>
      <c r="H13" s="226"/>
      <c r="I13" s="226" t="s">
        <v>184</v>
      </c>
      <c r="J13" s="226"/>
      <c r="K13" s="225" t="s">
        <v>194</v>
      </c>
      <c r="L13" s="226"/>
      <c r="M13" s="226" t="s">
        <v>180</v>
      </c>
      <c r="N13" s="226"/>
      <c r="O13" s="225" t="s">
        <v>275</v>
      </c>
      <c r="P13" s="226"/>
      <c r="Q13" s="226" t="s">
        <v>268</v>
      </c>
      <c r="R13" s="226"/>
      <c r="S13" s="225" t="s">
        <v>276</v>
      </c>
      <c r="T13" s="226"/>
      <c r="U13" s="227"/>
      <c r="V13" s="228"/>
      <c r="W13" s="10"/>
    </row>
    <row r="14" spans="2:23" x14ac:dyDescent="0.2">
      <c r="B14" s="100" t="s">
        <v>265</v>
      </c>
      <c r="C14" s="101">
        <f>D14-I5</f>
        <v>1</v>
      </c>
      <c r="D14" s="65">
        <f>E14</f>
        <v>2</v>
      </c>
      <c r="E14" s="65">
        <f>F14-C6</f>
        <v>2</v>
      </c>
      <c r="F14" s="65">
        <v>7</v>
      </c>
      <c r="G14" s="101">
        <f>F14</f>
        <v>7</v>
      </c>
      <c r="H14" s="65">
        <f>G14+J5</f>
        <v>10</v>
      </c>
      <c r="I14" s="65">
        <f>H14</f>
        <v>10</v>
      </c>
      <c r="J14" s="65">
        <f>I14+C7</f>
        <v>18</v>
      </c>
      <c r="K14" s="101">
        <f>J14</f>
        <v>18</v>
      </c>
      <c r="L14" s="65">
        <f>K14+K5</f>
        <v>20</v>
      </c>
      <c r="M14" s="65">
        <f>L14</f>
        <v>20</v>
      </c>
      <c r="N14" s="65">
        <f>M14+C4</f>
        <v>26</v>
      </c>
      <c r="O14" s="101">
        <f>N14</f>
        <v>26</v>
      </c>
      <c r="P14" s="65">
        <f>O14+L5</f>
        <v>28</v>
      </c>
      <c r="Q14" s="65">
        <f>P14</f>
        <v>28</v>
      </c>
      <c r="R14" s="65">
        <f>Q14+C8</f>
        <v>30</v>
      </c>
      <c r="S14" s="101"/>
      <c r="T14" s="65"/>
      <c r="U14" s="65"/>
      <c r="V14" s="102"/>
      <c r="W14" s="10"/>
    </row>
    <row r="15" spans="2:23" x14ac:dyDescent="0.2">
      <c r="B15" s="99"/>
      <c r="C15" s="225" t="s">
        <v>190</v>
      </c>
      <c r="D15" s="226"/>
      <c r="E15" s="226" t="s">
        <v>182</v>
      </c>
      <c r="F15" s="226"/>
      <c r="G15" s="225" t="s">
        <v>68</v>
      </c>
      <c r="H15" s="226"/>
      <c r="I15" s="226" t="s">
        <v>183</v>
      </c>
      <c r="J15" s="226"/>
      <c r="K15" s="225" t="s">
        <v>194</v>
      </c>
      <c r="L15" s="226"/>
      <c r="M15" s="226" t="s">
        <v>184</v>
      </c>
      <c r="N15" s="226"/>
      <c r="O15" s="225" t="s">
        <v>275</v>
      </c>
      <c r="P15" s="226"/>
      <c r="Q15" s="226" t="s">
        <v>180</v>
      </c>
      <c r="R15" s="226"/>
      <c r="S15" s="225" t="s">
        <v>276</v>
      </c>
      <c r="T15" s="226"/>
      <c r="U15" s="226" t="s">
        <v>268</v>
      </c>
      <c r="V15" s="223"/>
      <c r="W15" s="10"/>
    </row>
    <row r="16" spans="2:23" x14ac:dyDescent="0.2">
      <c r="B16" s="100" t="s">
        <v>266</v>
      </c>
      <c r="C16" s="101">
        <v>0</v>
      </c>
      <c r="D16" s="65">
        <f>C16+I6</f>
        <v>3</v>
      </c>
      <c r="E16" s="65">
        <f>D16</f>
        <v>3</v>
      </c>
      <c r="F16" s="65">
        <f>E16+D5</f>
        <v>7</v>
      </c>
      <c r="G16" s="101">
        <f>F16</f>
        <v>7</v>
      </c>
      <c r="H16" s="65">
        <f>G16+D6</f>
        <v>9</v>
      </c>
      <c r="I16" s="65">
        <f>H16</f>
        <v>9</v>
      </c>
      <c r="J16" s="65">
        <f>I16+D6</f>
        <v>11</v>
      </c>
      <c r="K16" s="101">
        <f>L16-K6</f>
        <v>16</v>
      </c>
      <c r="L16" s="65">
        <f>J14</f>
        <v>18</v>
      </c>
      <c r="M16" s="65">
        <f>L16</f>
        <v>18</v>
      </c>
      <c r="N16" s="65">
        <f>M16+D7</f>
        <v>24</v>
      </c>
      <c r="O16" s="101">
        <f>P16-L6</f>
        <v>25</v>
      </c>
      <c r="P16" s="65">
        <f>N14</f>
        <v>26</v>
      </c>
      <c r="Q16" s="65">
        <f>P16</f>
        <v>26</v>
      </c>
      <c r="R16" s="65">
        <f>Q16+D4</f>
        <v>29</v>
      </c>
      <c r="S16" s="101">
        <f>R16</f>
        <v>29</v>
      </c>
      <c r="T16" s="65">
        <f>S16+M6</f>
        <v>32</v>
      </c>
      <c r="U16" s="65">
        <f>T16</f>
        <v>32</v>
      </c>
      <c r="V16" s="102">
        <f>U16+D8</f>
        <v>33</v>
      </c>
      <c r="W16" s="10"/>
    </row>
    <row r="17" spans="2:26" x14ac:dyDescent="0.2">
      <c r="B17" s="99"/>
      <c r="C17" s="103" t="s">
        <v>193</v>
      </c>
      <c r="D17" s="226" t="s">
        <v>190</v>
      </c>
      <c r="E17" s="226"/>
      <c r="F17" s="226" t="s">
        <v>182</v>
      </c>
      <c r="G17" s="226"/>
      <c r="H17" s="103" t="s">
        <v>193</v>
      </c>
      <c r="I17" s="226" t="s">
        <v>68</v>
      </c>
      <c r="J17" s="226"/>
      <c r="K17" s="226" t="s">
        <v>183</v>
      </c>
      <c r="L17" s="226"/>
      <c r="M17" s="225" t="s">
        <v>194</v>
      </c>
      <c r="N17" s="226"/>
      <c r="O17" s="226" t="s">
        <v>184</v>
      </c>
      <c r="P17" s="226"/>
      <c r="Q17" s="225" t="s">
        <v>275</v>
      </c>
      <c r="R17" s="226"/>
      <c r="S17" s="226" t="s">
        <v>180</v>
      </c>
      <c r="T17" s="226"/>
      <c r="U17" s="222" t="s">
        <v>277</v>
      </c>
      <c r="V17" s="223"/>
      <c r="W17" s="224"/>
      <c r="X17" s="224"/>
    </row>
    <row r="18" spans="2:26" x14ac:dyDescent="0.2">
      <c r="B18" s="100" t="s">
        <v>267</v>
      </c>
      <c r="C18" s="104">
        <f>E5</f>
        <v>7</v>
      </c>
      <c r="D18" s="65">
        <f>E18-I7</f>
        <v>5</v>
      </c>
      <c r="E18" s="65">
        <v>7</v>
      </c>
      <c r="F18" s="65">
        <f>E18</f>
        <v>7</v>
      </c>
      <c r="G18" s="65">
        <f>F18+E5</f>
        <v>14</v>
      </c>
      <c r="H18" s="104">
        <f>(G18-J16)+E6</f>
        <v>12</v>
      </c>
      <c r="I18" s="65">
        <f>G18</f>
        <v>14</v>
      </c>
      <c r="J18" s="65">
        <f>I18+J7</f>
        <v>15</v>
      </c>
      <c r="K18" s="65">
        <f>J18</f>
        <v>15</v>
      </c>
      <c r="L18" s="65">
        <f>K18+E6</f>
        <v>24</v>
      </c>
      <c r="M18" s="101">
        <f>N16</f>
        <v>24</v>
      </c>
      <c r="N18" s="65">
        <f>M18+K7</f>
        <v>25</v>
      </c>
      <c r="O18" s="65">
        <f>N18</f>
        <v>25</v>
      </c>
      <c r="P18" s="65">
        <f>O18+E7</f>
        <v>29</v>
      </c>
      <c r="Q18" s="101">
        <f>P18</f>
        <v>29</v>
      </c>
      <c r="R18" s="65">
        <f>Q18+L7</f>
        <v>33</v>
      </c>
      <c r="S18" s="65">
        <f>R18</f>
        <v>33</v>
      </c>
      <c r="T18" s="65">
        <f>S18+E4</f>
        <v>34</v>
      </c>
      <c r="U18" s="101" t="s">
        <v>150</v>
      </c>
      <c r="V18" s="102" t="s">
        <v>150</v>
      </c>
      <c r="W18" s="10"/>
    </row>
    <row r="19" spans="2:26" x14ac:dyDescent="0.2">
      <c r="B19" s="10" t="s">
        <v>278</v>
      </c>
      <c r="G19" s="10">
        <f>F18/$K$9</f>
        <v>0.875</v>
      </c>
      <c r="L19" s="10">
        <f>J18/$K$9</f>
        <v>1.875</v>
      </c>
      <c r="P19" s="10">
        <f>N18/$K$9</f>
        <v>3.125</v>
      </c>
      <c r="T19" s="10">
        <f>R18/$K$9</f>
        <v>4.125</v>
      </c>
      <c r="U19" s="10"/>
      <c r="V19" s="7">
        <f>V16/$K$9</f>
        <v>4.125</v>
      </c>
      <c r="W19" s="10"/>
    </row>
    <row r="20" spans="2:26" x14ac:dyDescent="0.2">
      <c r="B20" s="10" t="s">
        <v>197</v>
      </c>
      <c r="G20" s="10">
        <f>F5</f>
        <v>2</v>
      </c>
      <c r="L20" s="10">
        <f>F6</f>
        <v>5</v>
      </c>
      <c r="P20" s="10">
        <f>F7</f>
        <v>4</v>
      </c>
      <c r="T20" s="10">
        <f>F4</f>
        <v>4</v>
      </c>
      <c r="V20" s="10">
        <f>F8</f>
        <v>5</v>
      </c>
      <c r="X20" s="96" t="s">
        <v>279</v>
      </c>
      <c r="Y20" s="10"/>
      <c r="Z20" s="105">
        <f>(T19-T20)/5</f>
        <v>2.5000000000000001E-2</v>
      </c>
    </row>
    <row r="21" spans="2:26" x14ac:dyDescent="0.2">
      <c r="B21" s="10" t="s">
        <v>280</v>
      </c>
      <c r="C21" s="10">
        <f>I5+C6+D6</f>
        <v>8</v>
      </c>
      <c r="U21" s="10"/>
      <c r="V21" s="10"/>
      <c r="W21" s="10"/>
    </row>
    <row r="22" spans="2:26" x14ac:dyDescent="0.2">
      <c r="U22" s="10"/>
      <c r="V22" s="10"/>
      <c r="W22" s="10"/>
    </row>
    <row r="23" spans="2:26" ht="19" x14ac:dyDescent="0.25">
      <c r="B23" s="106" t="s">
        <v>281</v>
      </c>
      <c r="U23" s="10"/>
      <c r="V23" s="10"/>
      <c r="W23" s="10"/>
    </row>
    <row r="24" spans="2:26" x14ac:dyDescent="0.2">
      <c r="U24" s="10"/>
      <c r="V24" s="10"/>
      <c r="W24" s="10"/>
    </row>
    <row r="25" spans="2:26" x14ac:dyDescent="0.2">
      <c r="U25" s="10"/>
      <c r="V25" s="10"/>
      <c r="W25" s="10"/>
    </row>
    <row r="26" spans="2:26" x14ac:dyDescent="0.2">
      <c r="U26" s="10"/>
      <c r="V26" s="10"/>
      <c r="W26" s="10"/>
    </row>
    <row r="27" spans="2:26" x14ac:dyDescent="0.2">
      <c r="U27" s="10"/>
      <c r="V27" s="10"/>
      <c r="W27" s="10"/>
    </row>
    <row r="28" spans="2:26" x14ac:dyDescent="0.2">
      <c r="U28" s="10"/>
      <c r="V28" s="10"/>
      <c r="W28" s="10"/>
    </row>
    <row r="29" spans="2:26" x14ac:dyDescent="0.2">
      <c r="U29" s="10"/>
      <c r="V29" s="10"/>
      <c r="W29" s="10"/>
    </row>
    <row r="30" spans="2:26" x14ac:dyDescent="0.2">
      <c r="U30" s="10"/>
      <c r="V30" s="10"/>
      <c r="W30" s="10"/>
    </row>
    <row r="31" spans="2:26" x14ac:dyDescent="0.2">
      <c r="U31" s="10"/>
      <c r="V31" s="10"/>
      <c r="W31" s="10"/>
    </row>
    <row r="32" spans="2:26" x14ac:dyDescent="0.2">
      <c r="U32" s="10"/>
      <c r="V32" s="10"/>
      <c r="W32" s="10"/>
    </row>
    <row r="33" spans="21:23" customFormat="1" x14ac:dyDescent="0.2">
      <c r="U33" s="10"/>
      <c r="V33" s="10"/>
      <c r="W33" s="10"/>
    </row>
    <row r="34" spans="21:23" customFormat="1" x14ac:dyDescent="0.2">
      <c r="U34" s="10"/>
      <c r="V34" s="10"/>
      <c r="W34" s="10"/>
    </row>
    <row r="35" spans="21:23" customFormat="1" x14ac:dyDescent="0.2">
      <c r="U35" s="10"/>
      <c r="V35" s="10"/>
      <c r="W35" s="10"/>
    </row>
    <row r="36" spans="21:23" customFormat="1" x14ac:dyDescent="0.2">
      <c r="U36" s="10"/>
      <c r="V36" s="10"/>
      <c r="W36" s="10"/>
    </row>
    <row r="37" spans="21:23" customFormat="1" x14ac:dyDescent="0.2">
      <c r="U37" s="10"/>
      <c r="V37" s="10"/>
      <c r="W37" s="10"/>
    </row>
    <row r="38" spans="21:23" customFormat="1" x14ac:dyDescent="0.2">
      <c r="U38" s="10"/>
      <c r="V38" s="10"/>
      <c r="W38" s="10"/>
    </row>
    <row r="39" spans="21:23" customFormat="1" x14ac:dyDescent="0.2">
      <c r="U39" s="10"/>
      <c r="V39" s="10"/>
      <c r="W39" s="10"/>
    </row>
    <row r="40" spans="21:23" customFormat="1" x14ac:dyDescent="0.2">
      <c r="U40" s="10"/>
      <c r="V40" s="10"/>
      <c r="W40" s="10"/>
    </row>
    <row r="41" spans="21:23" customFormat="1" x14ac:dyDescent="0.2">
      <c r="U41" s="10"/>
      <c r="V41" s="10"/>
      <c r="W41" s="10"/>
    </row>
    <row r="42" spans="21:23" customFormat="1" x14ac:dyDescent="0.2">
      <c r="U42" s="10"/>
      <c r="V42" s="10"/>
      <c r="W42" s="10"/>
    </row>
    <row r="43" spans="21:23" customFormat="1" x14ac:dyDescent="0.2">
      <c r="U43" s="10"/>
      <c r="V43" s="10"/>
      <c r="W43" s="10"/>
    </row>
    <row r="44" spans="21:23" customFormat="1" x14ac:dyDescent="0.2">
      <c r="U44" s="10"/>
      <c r="V44" s="10"/>
      <c r="W44" s="10"/>
    </row>
    <row r="45" spans="21:23" customFormat="1" x14ac:dyDescent="0.2">
      <c r="U45" s="10"/>
      <c r="V45" s="10"/>
      <c r="W45" s="10"/>
    </row>
    <row r="46" spans="21:23" customFormat="1" x14ac:dyDescent="0.2">
      <c r="U46" s="10"/>
      <c r="V46" s="10"/>
      <c r="W46" s="10"/>
    </row>
    <row r="47" spans="21:23" customFormat="1" x14ac:dyDescent="0.2">
      <c r="U47" s="10"/>
      <c r="V47" s="10"/>
      <c r="W47" s="10"/>
    </row>
    <row r="48" spans="21:23" customFormat="1" x14ac:dyDescent="0.2">
      <c r="U48" s="10"/>
      <c r="V48" s="10"/>
      <c r="W48" s="10"/>
    </row>
    <row r="49" spans="21:23" customFormat="1" x14ac:dyDescent="0.2">
      <c r="U49" s="10"/>
      <c r="V49" s="10"/>
      <c r="W49" s="10"/>
    </row>
    <row r="50" spans="21:23" customFormat="1" x14ac:dyDescent="0.2">
      <c r="U50" s="10"/>
      <c r="V50" s="10"/>
      <c r="W50" s="10"/>
    </row>
    <row r="51" spans="21:23" customFormat="1" x14ac:dyDescent="0.2">
      <c r="U51" s="10"/>
      <c r="V51" s="10"/>
      <c r="W51" s="10"/>
    </row>
    <row r="52" spans="21:23" customFormat="1" x14ac:dyDescent="0.2">
      <c r="U52" s="10"/>
      <c r="V52" s="10"/>
      <c r="W52" s="10"/>
    </row>
    <row r="53" spans="21:23" customFormat="1" x14ac:dyDescent="0.2">
      <c r="U53" s="10"/>
      <c r="V53" s="10"/>
      <c r="W53" s="10"/>
    </row>
    <row r="54" spans="21:23" customFormat="1" x14ac:dyDescent="0.2">
      <c r="U54" s="10"/>
      <c r="V54" s="10"/>
      <c r="W54" s="10"/>
    </row>
    <row r="55" spans="21:23" customFormat="1" x14ac:dyDescent="0.2">
      <c r="U55" s="10"/>
      <c r="V55" s="10"/>
      <c r="W55" s="10"/>
    </row>
    <row r="56" spans="21:23" customFormat="1" x14ac:dyDescent="0.2">
      <c r="U56" s="10"/>
      <c r="V56" s="10"/>
      <c r="W56" s="10"/>
    </row>
    <row r="57" spans="21:23" customFormat="1" x14ac:dyDescent="0.2">
      <c r="U57" s="10"/>
      <c r="V57" s="10"/>
      <c r="W57" s="10"/>
    </row>
    <row r="58" spans="21:23" customFormat="1" x14ac:dyDescent="0.2">
      <c r="U58" s="10"/>
      <c r="V58" s="10"/>
      <c r="W58" s="10"/>
    </row>
    <row r="59" spans="21:23" customFormat="1" x14ac:dyDescent="0.2">
      <c r="U59" s="10"/>
      <c r="V59" s="10"/>
      <c r="W59" s="10"/>
    </row>
    <row r="60" spans="21:23" customFormat="1" x14ac:dyDescent="0.2">
      <c r="U60" s="10"/>
      <c r="V60" s="10"/>
      <c r="W60" s="10"/>
    </row>
  </sheetData>
  <mergeCells count="32">
    <mergeCell ref="O2:T2"/>
    <mergeCell ref="I3:M3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C15:D15"/>
    <mergeCell ref="E15:F15"/>
    <mergeCell ref="G15:H15"/>
    <mergeCell ref="I15:J15"/>
    <mergeCell ref="K15:L15"/>
    <mergeCell ref="M15:N15"/>
    <mergeCell ref="O15:P15"/>
    <mergeCell ref="Q15:R15"/>
    <mergeCell ref="U17:V17"/>
    <mergeCell ref="W17:X17"/>
    <mergeCell ref="S15:T15"/>
    <mergeCell ref="U15:V15"/>
    <mergeCell ref="D17:E17"/>
    <mergeCell ref="F17:G17"/>
    <mergeCell ref="I17:J17"/>
    <mergeCell ref="K17:L17"/>
    <mergeCell ref="M17:N17"/>
    <mergeCell ref="O17:P17"/>
    <mergeCell ref="Q17:R17"/>
    <mergeCell ref="S17:T17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1"/>
  <sheetViews>
    <sheetView workbookViewId="0">
      <selection activeCell="G19" sqref="G19"/>
    </sheetView>
  </sheetViews>
  <sheetFormatPr baseColWidth="10" defaultColWidth="8.83203125" defaultRowHeight="13" x14ac:dyDescent="0.15"/>
  <cols>
    <col min="1" max="1" width="23.5" style="1" customWidth="1"/>
    <col min="2" max="2" width="15" style="1" customWidth="1"/>
    <col min="3" max="3" width="13" style="1" customWidth="1"/>
    <col min="4" max="4" width="25.1640625" style="1" bestFit="1" customWidth="1"/>
    <col min="5" max="5" width="12.5" style="1" customWidth="1"/>
    <col min="6" max="16384" width="8.83203125" style="1"/>
  </cols>
  <sheetData>
    <row r="2" spans="1:5" x14ac:dyDescent="0.15">
      <c r="A2" s="1" t="s">
        <v>0</v>
      </c>
      <c r="B2" s="1">
        <v>590826</v>
      </c>
      <c r="C2" s="2">
        <f>+B2/B7</f>
        <v>0.56240808202343773</v>
      </c>
      <c r="D2" s="2">
        <f>+C2</f>
        <v>0.56240808202343773</v>
      </c>
      <c r="E2" s="1">
        <v>590826</v>
      </c>
    </row>
    <row r="3" spans="1:5" x14ac:dyDescent="0.15">
      <c r="A3" s="1" t="s">
        <v>1</v>
      </c>
      <c r="B3" s="1">
        <v>265508</v>
      </c>
      <c r="C3" s="2">
        <f>+B3/B7</f>
        <v>0.25273743038031315</v>
      </c>
      <c r="D3" s="2">
        <f>+D2+C3</f>
        <v>0.81514551240375088</v>
      </c>
      <c r="E3" s="1">
        <v>265508</v>
      </c>
    </row>
    <row r="4" spans="1:5" x14ac:dyDescent="0.15">
      <c r="A4" s="1" t="s">
        <v>2</v>
      </c>
      <c r="B4" s="1">
        <v>156347</v>
      </c>
      <c r="C4" s="2">
        <f>+B4/B7</f>
        <v>0.14882692434002298</v>
      </c>
      <c r="D4" s="2">
        <f>+D3+C4</f>
        <v>0.96397243674377386</v>
      </c>
      <c r="E4" s="1">
        <v>156347</v>
      </c>
    </row>
    <row r="5" spans="1:5" x14ac:dyDescent="0.15">
      <c r="A5" s="1" t="s">
        <v>3</v>
      </c>
      <c r="B5" s="1">
        <v>37848</v>
      </c>
      <c r="C5" s="2">
        <f>+B5/B7</f>
        <v>3.602756325622615E-2</v>
      </c>
      <c r="D5" s="2">
        <f>+D4+C5</f>
        <v>1</v>
      </c>
      <c r="E5" s="1">
        <v>37848</v>
      </c>
    </row>
    <row r="6" spans="1:5" x14ac:dyDescent="0.15">
      <c r="C6" s="2"/>
      <c r="D6" s="1" t="s">
        <v>4</v>
      </c>
      <c r="E6" s="1">
        <f>SUM(E2:E5)</f>
        <v>1050529</v>
      </c>
    </row>
    <row r="7" spans="1:5" x14ac:dyDescent="0.15">
      <c r="B7" s="1">
        <f>SUM(B2:B5)</f>
        <v>1050529</v>
      </c>
      <c r="D7" s="1" t="s">
        <v>5</v>
      </c>
      <c r="E7" s="1">
        <v>6000000</v>
      </c>
    </row>
    <row r="8" spans="1:5" x14ac:dyDescent="0.15">
      <c r="D8" s="1" t="s">
        <v>4</v>
      </c>
      <c r="E8" s="1">
        <v>1050529</v>
      </c>
    </row>
    <row r="9" spans="1:5" x14ac:dyDescent="0.15">
      <c r="D9" s="1" t="s">
        <v>6</v>
      </c>
      <c r="E9" s="1">
        <v>1300000</v>
      </c>
    </row>
    <row r="10" spans="1:5" x14ac:dyDescent="0.15">
      <c r="D10" s="1" t="s">
        <v>4</v>
      </c>
      <c r="E10" s="1">
        <v>1050529</v>
      </c>
    </row>
    <row r="11" spans="1:5" x14ac:dyDescent="0.15">
      <c r="D11" s="1" t="s">
        <v>7</v>
      </c>
      <c r="E11" s="1">
        <v>4000000</v>
      </c>
    </row>
  </sheetData>
  <pageMargins left="1.27" right="0.75" top="1" bottom="1" header="0.5" footer="0.5"/>
  <pageSetup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FEFA-3610-1D4C-98FC-3AE8F6B4153E}">
  <dimension ref="B3:V24"/>
  <sheetViews>
    <sheetView workbookViewId="0">
      <selection activeCell="I26" sqref="I26"/>
    </sheetView>
  </sheetViews>
  <sheetFormatPr baseColWidth="10" defaultRowHeight="16" x14ac:dyDescent="0.2"/>
  <cols>
    <col min="1" max="1" width="5.5" customWidth="1"/>
    <col min="2" max="2" width="5.83203125" bestFit="1" customWidth="1"/>
    <col min="3" max="3" width="5.33203125" customWidth="1"/>
    <col min="4" max="4" width="6.33203125" bestFit="1" customWidth="1"/>
    <col min="5" max="5" width="3.5" bestFit="1" customWidth="1"/>
    <col min="6" max="6" width="5.6640625" bestFit="1" customWidth="1"/>
    <col min="7" max="8" width="6.6640625" bestFit="1" customWidth="1"/>
    <col min="9" max="9" width="7.83203125" bestFit="1" customWidth="1"/>
    <col min="10" max="11" width="5.6640625" bestFit="1" customWidth="1"/>
    <col min="12" max="13" width="6.6640625" bestFit="1" customWidth="1"/>
    <col min="14" max="14" width="7.83203125" bestFit="1" customWidth="1"/>
    <col min="15" max="15" width="7.5" customWidth="1"/>
    <col min="16" max="16" width="5.33203125" bestFit="1" customWidth="1"/>
    <col min="17" max="17" width="6.6640625" bestFit="1" customWidth="1"/>
    <col min="18" max="18" width="6.6640625" customWidth="1"/>
    <col min="19" max="19" width="7.1640625" bestFit="1" customWidth="1"/>
    <col min="20" max="20" width="6.5" customWidth="1"/>
    <col min="21" max="21" width="14.5" bestFit="1" customWidth="1"/>
    <col min="24" max="24" width="13.33203125" customWidth="1"/>
  </cols>
  <sheetData>
    <row r="3" spans="2:22" x14ac:dyDescent="0.2">
      <c r="B3" s="107" t="s">
        <v>282</v>
      </c>
      <c r="T3" s="107"/>
      <c r="U3" s="107"/>
    </row>
    <row r="4" spans="2:22" x14ac:dyDescent="0.2">
      <c r="G4" s="232">
        <f>0.008</f>
        <v>8.0000000000000002E-3</v>
      </c>
      <c r="H4" s="232"/>
      <c r="K4" s="108"/>
      <c r="L4" s="237">
        <v>8.0000000000000002E-3</v>
      </c>
      <c r="M4" s="237"/>
      <c r="O4" s="108"/>
      <c r="Q4" s="238">
        <v>10</v>
      </c>
      <c r="R4" s="238"/>
      <c r="T4" s="107"/>
      <c r="U4" s="107"/>
    </row>
    <row r="5" spans="2:22" x14ac:dyDescent="0.2">
      <c r="B5" s="57" t="s">
        <v>283</v>
      </c>
      <c r="C5" s="109" t="s">
        <v>202</v>
      </c>
      <c r="D5" s="109" t="s">
        <v>190</v>
      </c>
      <c r="E5" s="109" t="s">
        <v>284</v>
      </c>
      <c r="F5" s="109" t="s">
        <v>285</v>
      </c>
      <c r="G5" s="234" t="s">
        <v>286</v>
      </c>
      <c r="H5" s="235"/>
      <c r="I5" s="109" t="s">
        <v>68</v>
      </c>
      <c r="J5" s="109" t="s">
        <v>284</v>
      </c>
      <c r="K5" s="109" t="s">
        <v>285</v>
      </c>
      <c r="L5" s="234" t="s">
        <v>287</v>
      </c>
      <c r="M5" s="236"/>
      <c r="N5" s="109" t="s">
        <v>194</v>
      </c>
      <c r="O5" s="109" t="s">
        <v>284</v>
      </c>
      <c r="P5" s="109" t="s">
        <v>285</v>
      </c>
      <c r="Q5" s="234" t="s">
        <v>184</v>
      </c>
      <c r="R5" s="236"/>
      <c r="T5" s="107"/>
      <c r="U5" s="110"/>
    </row>
    <row r="6" spans="2:22" x14ac:dyDescent="0.2">
      <c r="B6" s="26">
        <v>103</v>
      </c>
      <c r="C6" s="26">
        <v>500</v>
      </c>
      <c r="D6" s="111" t="s">
        <v>288</v>
      </c>
      <c r="E6" s="59"/>
      <c r="F6" s="59">
        <v>0</v>
      </c>
      <c r="G6" s="112">
        <v>1</v>
      </c>
      <c r="H6" s="112">
        <f>G6+G4*C6</f>
        <v>5</v>
      </c>
      <c r="I6" s="111" t="s">
        <v>288</v>
      </c>
      <c r="J6" s="59">
        <f t="shared" ref="J6:J11" si="0">L6-H6</f>
        <v>0</v>
      </c>
      <c r="K6" s="59">
        <v>0</v>
      </c>
      <c r="L6" s="112">
        <f>H6</f>
        <v>5</v>
      </c>
      <c r="M6" s="112">
        <f>L6+L4*C6</f>
        <v>9</v>
      </c>
      <c r="N6" s="111" t="s">
        <v>288</v>
      </c>
      <c r="O6" s="59">
        <f t="shared" ref="O6:O11" si="1">Q6-M6</f>
        <v>0</v>
      </c>
      <c r="P6" s="59">
        <v>0</v>
      </c>
      <c r="Q6" s="112">
        <f>M6</f>
        <v>9</v>
      </c>
      <c r="R6" s="113">
        <f>Q6+Q4</f>
        <v>19</v>
      </c>
    </row>
    <row r="7" spans="2:22" x14ac:dyDescent="0.2">
      <c r="B7" s="26">
        <v>102</v>
      </c>
      <c r="C7" s="26">
        <v>500</v>
      </c>
      <c r="D7" s="114" t="s">
        <v>289</v>
      </c>
      <c r="E7" s="59"/>
      <c r="F7" s="59">
        <f t="shared" ref="F7:F11" si="2">G7-H6</f>
        <v>1</v>
      </c>
      <c r="G7" s="112">
        <v>6</v>
      </c>
      <c r="H7" s="112">
        <f>G7+G4*C7</f>
        <v>10</v>
      </c>
      <c r="I7" s="114" t="s">
        <v>290</v>
      </c>
      <c r="J7" s="59">
        <f t="shared" si="0"/>
        <v>0</v>
      </c>
      <c r="K7" s="59">
        <f>L7-M6</f>
        <v>1</v>
      </c>
      <c r="L7" s="112">
        <v>10</v>
      </c>
      <c r="M7" s="112">
        <f>L7+L4*C7</f>
        <v>14</v>
      </c>
      <c r="N7" s="114" t="s">
        <v>288</v>
      </c>
      <c r="O7" s="59">
        <f t="shared" si="1"/>
        <v>0</v>
      </c>
      <c r="P7" s="59">
        <v>0</v>
      </c>
      <c r="Q7" s="112">
        <v>14</v>
      </c>
      <c r="R7" s="113">
        <f>Q7+Q4</f>
        <v>24</v>
      </c>
    </row>
    <row r="8" spans="2:22" x14ac:dyDescent="0.2">
      <c r="B8" s="26"/>
      <c r="C8" s="26">
        <v>500</v>
      </c>
      <c r="D8" s="111"/>
      <c r="E8" s="59"/>
      <c r="F8" s="59">
        <f t="shared" si="2"/>
        <v>0</v>
      </c>
      <c r="G8" s="112">
        <v>10</v>
      </c>
      <c r="H8" s="112">
        <f>G8+G4*C8</f>
        <v>14</v>
      </c>
      <c r="I8" s="111"/>
      <c r="J8" s="59">
        <f t="shared" si="0"/>
        <v>0</v>
      </c>
      <c r="K8" s="59">
        <f t="shared" ref="K8:K11" si="3">L8-M7</f>
        <v>0</v>
      </c>
      <c r="L8" s="112">
        <v>14</v>
      </c>
      <c r="M8" s="112">
        <f>L8+L4*C8</f>
        <v>18</v>
      </c>
      <c r="N8" s="111" t="s">
        <v>288</v>
      </c>
      <c r="O8" s="59">
        <f t="shared" si="1"/>
        <v>0</v>
      </c>
      <c r="P8" s="59">
        <v>0</v>
      </c>
      <c r="Q8" s="112">
        <v>18</v>
      </c>
      <c r="R8" s="113">
        <f>Q8+Q4</f>
        <v>28</v>
      </c>
    </row>
    <row r="9" spans="2:22" x14ac:dyDescent="0.2">
      <c r="B9" s="26">
        <v>101</v>
      </c>
      <c r="C9" s="26">
        <v>500</v>
      </c>
      <c r="D9" s="111" t="s">
        <v>291</v>
      </c>
      <c r="E9" s="59"/>
      <c r="F9" s="59">
        <f t="shared" si="2"/>
        <v>1</v>
      </c>
      <c r="G9" s="112">
        <v>15</v>
      </c>
      <c r="H9" s="112">
        <f>G9+G4*C9</f>
        <v>19</v>
      </c>
      <c r="I9" s="111" t="s">
        <v>292</v>
      </c>
      <c r="J9" s="59">
        <f t="shared" si="0"/>
        <v>0</v>
      </c>
      <c r="K9" s="59">
        <f t="shared" si="3"/>
        <v>1</v>
      </c>
      <c r="L9" s="112">
        <f>H9</f>
        <v>19</v>
      </c>
      <c r="M9" s="112">
        <f>L9+L4*C9</f>
        <v>23</v>
      </c>
      <c r="N9" s="111" t="s">
        <v>293</v>
      </c>
      <c r="O9" s="59">
        <f t="shared" si="1"/>
        <v>0</v>
      </c>
      <c r="P9" s="59">
        <v>0</v>
      </c>
      <c r="Q9" s="112">
        <v>23</v>
      </c>
      <c r="R9" s="113">
        <f>Q9+Q4</f>
        <v>33</v>
      </c>
    </row>
    <row r="10" spans="2:22" x14ac:dyDescent="0.2">
      <c r="B10" s="26"/>
      <c r="C10" s="26">
        <v>500</v>
      </c>
      <c r="D10" s="114"/>
      <c r="E10" s="59"/>
      <c r="F10" s="59">
        <f t="shared" si="2"/>
        <v>0</v>
      </c>
      <c r="G10" s="112">
        <v>19</v>
      </c>
      <c r="H10" s="112">
        <f>G10+G4*C10</f>
        <v>23</v>
      </c>
      <c r="I10" s="114"/>
      <c r="J10" s="59">
        <f t="shared" si="0"/>
        <v>0</v>
      </c>
      <c r="K10" s="59">
        <f t="shared" si="3"/>
        <v>0</v>
      </c>
      <c r="L10" s="112">
        <v>23</v>
      </c>
      <c r="M10" s="112">
        <f>L10+L4*C10</f>
        <v>27</v>
      </c>
      <c r="N10" s="114"/>
      <c r="O10" s="59">
        <f t="shared" si="1"/>
        <v>0</v>
      </c>
      <c r="P10" s="59">
        <v>0</v>
      </c>
      <c r="Q10" s="112">
        <v>27</v>
      </c>
      <c r="R10" s="113">
        <f>Q10+Q7</f>
        <v>41</v>
      </c>
    </row>
    <row r="11" spans="2:22" x14ac:dyDescent="0.2">
      <c r="B11" s="26"/>
      <c r="C11" s="26">
        <v>500</v>
      </c>
      <c r="D11" s="111"/>
      <c r="E11" s="59"/>
      <c r="F11" s="59">
        <f t="shared" si="2"/>
        <v>0</v>
      </c>
      <c r="G11" s="112">
        <v>23</v>
      </c>
      <c r="H11" s="112">
        <f>G11+G4*C11</f>
        <v>27</v>
      </c>
      <c r="I11" s="111"/>
      <c r="J11" s="59">
        <f t="shared" si="0"/>
        <v>0</v>
      </c>
      <c r="K11" s="59">
        <f t="shared" si="3"/>
        <v>0</v>
      </c>
      <c r="L11" s="112">
        <v>27</v>
      </c>
      <c r="M11" s="112">
        <f>L11+L4*C11</f>
        <v>31</v>
      </c>
      <c r="N11" s="111"/>
      <c r="O11" s="59">
        <f t="shared" si="1"/>
        <v>0</v>
      </c>
      <c r="P11" s="59">
        <v>0</v>
      </c>
      <c r="Q11" s="112">
        <v>31</v>
      </c>
      <c r="R11" s="113">
        <f>Q11+Q7</f>
        <v>45</v>
      </c>
    </row>
    <row r="12" spans="2:22" x14ac:dyDescent="0.2">
      <c r="C12" s="10"/>
      <c r="D12" s="115"/>
      <c r="E12" s="10"/>
      <c r="F12" s="10"/>
      <c r="G12" s="10"/>
      <c r="H12" s="10"/>
      <c r="I12" s="115"/>
      <c r="J12" s="10"/>
      <c r="K12" s="10"/>
      <c r="L12" s="10"/>
      <c r="M12" s="10"/>
      <c r="N12" s="115"/>
      <c r="O12" s="10"/>
      <c r="P12" s="10"/>
    </row>
    <row r="13" spans="2:22" x14ac:dyDescent="0.2">
      <c r="D13" s="116"/>
      <c r="G13" s="232">
        <v>0.01</v>
      </c>
      <c r="H13" s="232"/>
      <c r="I13" s="116"/>
      <c r="K13" s="108"/>
      <c r="L13" s="233">
        <v>0.02</v>
      </c>
      <c r="M13" s="233"/>
      <c r="O13" s="116"/>
      <c r="P13" s="108"/>
      <c r="R13" s="233">
        <v>0.04</v>
      </c>
      <c r="S13" s="233"/>
    </row>
    <row r="14" spans="2:22" x14ac:dyDescent="0.2">
      <c r="B14" s="57" t="s">
        <v>283</v>
      </c>
      <c r="C14" s="109" t="s">
        <v>202</v>
      </c>
      <c r="D14" s="117" t="s">
        <v>275</v>
      </c>
      <c r="E14" s="109" t="s">
        <v>284</v>
      </c>
      <c r="F14" s="109" t="s">
        <v>285</v>
      </c>
      <c r="G14" s="234" t="s">
        <v>294</v>
      </c>
      <c r="H14" s="235"/>
      <c r="I14" s="117" t="s">
        <v>276</v>
      </c>
      <c r="J14" s="109" t="s">
        <v>284</v>
      </c>
      <c r="K14" s="109" t="s">
        <v>285</v>
      </c>
      <c r="L14" s="234" t="s">
        <v>295</v>
      </c>
      <c r="M14" s="236"/>
      <c r="N14" s="118" t="s">
        <v>296</v>
      </c>
      <c r="O14" s="117" t="s">
        <v>297</v>
      </c>
      <c r="P14" s="109" t="s">
        <v>284</v>
      </c>
      <c r="Q14" s="109" t="s">
        <v>285</v>
      </c>
      <c r="R14" s="234" t="s">
        <v>298</v>
      </c>
      <c r="S14" s="234"/>
      <c r="T14" s="108" t="s">
        <v>299</v>
      </c>
      <c r="U14" s="108" t="s">
        <v>300</v>
      </c>
      <c r="V14" s="108" t="s">
        <v>301</v>
      </c>
    </row>
    <row r="15" spans="2:22" x14ac:dyDescent="0.2">
      <c r="B15" s="26">
        <v>103</v>
      </c>
      <c r="C15" s="26">
        <v>500</v>
      </c>
      <c r="D15" s="111" t="s">
        <v>292</v>
      </c>
      <c r="E15" s="59"/>
      <c r="F15" s="59">
        <v>0</v>
      </c>
      <c r="G15" s="112">
        <v>19</v>
      </c>
      <c r="H15" s="112">
        <f>G15+G13*C15</f>
        <v>24</v>
      </c>
      <c r="I15" s="111" t="s">
        <v>302</v>
      </c>
      <c r="J15" s="59">
        <f t="shared" ref="J15:J20" si="4">L15-H15</f>
        <v>0</v>
      </c>
      <c r="K15" s="59">
        <v>0</v>
      </c>
      <c r="L15" s="112">
        <f>H15</f>
        <v>24</v>
      </c>
      <c r="M15" s="112">
        <f>L15+L13*C15</f>
        <v>34</v>
      </c>
      <c r="N15" s="119">
        <v>20</v>
      </c>
      <c r="O15" s="111" t="s">
        <v>303</v>
      </c>
      <c r="P15" s="59">
        <f>R15-M15</f>
        <v>0</v>
      </c>
      <c r="Q15" s="59">
        <v>0</v>
      </c>
      <c r="R15" s="112">
        <f>M15</f>
        <v>34</v>
      </c>
      <c r="S15" s="113">
        <f>R15+R13*C15</f>
        <v>54</v>
      </c>
      <c r="T15" s="24">
        <f>S15/8</f>
        <v>6.75</v>
      </c>
      <c r="U15">
        <v>5</v>
      </c>
      <c r="V15" s="8">
        <f>IF(T15&lt;U15,0,T15-U15)</f>
        <v>1.75</v>
      </c>
    </row>
    <row r="16" spans="2:22" x14ac:dyDescent="0.2">
      <c r="B16" s="26">
        <v>102</v>
      </c>
      <c r="C16" s="26">
        <v>500</v>
      </c>
      <c r="D16" s="114" t="s">
        <v>304</v>
      </c>
      <c r="E16" s="59"/>
      <c r="F16" s="59">
        <f>G16-H15</f>
        <v>21</v>
      </c>
      <c r="G16" s="112">
        <v>45</v>
      </c>
      <c r="H16" s="112">
        <f>G16+G13*C16</f>
        <v>50</v>
      </c>
      <c r="I16" s="114" t="s">
        <v>305</v>
      </c>
      <c r="J16" s="59">
        <f t="shared" si="4"/>
        <v>0</v>
      </c>
      <c r="K16" s="59">
        <f t="shared" ref="K16:K20" si="5">L16-M15</f>
        <v>16</v>
      </c>
      <c r="L16" s="112">
        <v>50</v>
      </c>
      <c r="M16" s="112">
        <f>L16+L13*C16</f>
        <v>60</v>
      </c>
      <c r="N16" s="119">
        <v>20</v>
      </c>
      <c r="O16" s="114" t="s">
        <v>306</v>
      </c>
      <c r="P16" s="59">
        <f t="shared" ref="P16:P20" si="6">R16-M16</f>
        <v>0</v>
      </c>
      <c r="Q16" s="59">
        <f t="shared" ref="Q16:Q20" si="7">R16-S15</f>
        <v>6</v>
      </c>
      <c r="R16" s="112">
        <v>60</v>
      </c>
      <c r="S16" s="113">
        <f>R16+R13*C16</f>
        <v>80</v>
      </c>
      <c r="T16" s="24"/>
      <c r="V16" s="8"/>
    </row>
    <row r="17" spans="2:22" x14ac:dyDescent="0.2">
      <c r="B17" s="26"/>
      <c r="C17" s="26">
        <v>500</v>
      </c>
      <c r="D17" s="111"/>
      <c r="E17" s="59"/>
      <c r="F17" s="59">
        <f t="shared" ref="F17:F20" si="8">G17-H16</f>
        <v>21</v>
      </c>
      <c r="G17" s="112">
        <v>71</v>
      </c>
      <c r="H17" s="112">
        <f>G17+G13*C17</f>
        <v>76</v>
      </c>
      <c r="I17" s="111"/>
      <c r="J17" s="59">
        <f t="shared" si="4"/>
        <v>0</v>
      </c>
      <c r="K17" s="59">
        <f t="shared" si="5"/>
        <v>16</v>
      </c>
      <c r="L17" s="112">
        <v>76</v>
      </c>
      <c r="M17" s="112">
        <f>L17+L13*C17</f>
        <v>86</v>
      </c>
      <c r="N17" s="119">
        <v>20</v>
      </c>
      <c r="O17" s="111"/>
      <c r="P17" s="59">
        <f t="shared" si="6"/>
        <v>0</v>
      </c>
      <c r="Q17" s="59">
        <f t="shared" si="7"/>
        <v>6</v>
      </c>
      <c r="R17" s="112">
        <v>86</v>
      </c>
      <c r="S17" s="113">
        <f>R17+R13*C17</f>
        <v>106</v>
      </c>
      <c r="T17" s="24">
        <f>S17/8</f>
        <v>13.25</v>
      </c>
      <c r="U17">
        <v>15</v>
      </c>
      <c r="V17" s="8">
        <f>IF(T17&lt;U17,0,T17-U17)</f>
        <v>0</v>
      </c>
    </row>
    <row r="18" spans="2:22" x14ac:dyDescent="0.2">
      <c r="B18" s="26">
        <v>101</v>
      </c>
      <c r="C18" s="26">
        <v>500</v>
      </c>
      <c r="D18" s="120" t="s">
        <v>307</v>
      </c>
      <c r="E18" s="59"/>
      <c r="F18" s="59">
        <f t="shared" si="8"/>
        <v>21</v>
      </c>
      <c r="G18" s="112">
        <v>97</v>
      </c>
      <c r="H18" s="112">
        <f>G18+G13*C18</f>
        <v>102</v>
      </c>
      <c r="I18" s="120" t="s">
        <v>308</v>
      </c>
      <c r="J18" s="59">
        <f t="shared" si="4"/>
        <v>0</v>
      </c>
      <c r="K18" s="59">
        <f t="shared" si="5"/>
        <v>16</v>
      </c>
      <c r="L18" s="112">
        <f>H18</f>
        <v>102</v>
      </c>
      <c r="M18" s="112">
        <f>L18+L13*C18</f>
        <v>112</v>
      </c>
      <c r="N18" s="119">
        <v>20</v>
      </c>
      <c r="O18" s="120" t="s">
        <v>309</v>
      </c>
      <c r="P18" s="59">
        <f t="shared" si="6"/>
        <v>0</v>
      </c>
      <c r="Q18" s="59">
        <f t="shared" si="7"/>
        <v>6</v>
      </c>
      <c r="R18" s="112">
        <v>112</v>
      </c>
      <c r="S18" s="113">
        <f>R18+R13*C18</f>
        <v>132</v>
      </c>
      <c r="T18" s="24"/>
    </row>
    <row r="19" spans="2:22" x14ac:dyDescent="0.2">
      <c r="B19" s="26"/>
      <c r="C19" s="26">
        <v>500</v>
      </c>
      <c r="D19" s="120"/>
      <c r="E19" s="59"/>
      <c r="F19" s="59">
        <f t="shared" si="8"/>
        <v>21</v>
      </c>
      <c r="G19" s="112">
        <v>123</v>
      </c>
      <c r="H19" s="112">
        <f>G19+G13*C19</f>
        <v>128</v>
      </c>
      <c r="I19" s="120"/>
      <c r="J19" s="59">
        <f t="shared" si="4"/>
        <v>0</v>
      </c>
      <c r="K19" s="59">
        <f t="shared" si="5"/>
        <v>16</v>
      </c>
      <c r="L19" s="112">
        <v>128</v>
      </c>
      <c r="M19" s="112">
        <f>L19+L13*C19</f>
        <v>138</v>
      </c>
      <c r="N19" s="119">
        <v>20</v>
      </c>
      <c r="O19" s="120"/>
      <c r="P19" s="59">
        <f t="shared" si="6"/>
        <v>0</v>
      </c>
      <c r="Q19" s="59">
        <f t="shared" si="7"/>
        <v>6</v>
      </c>
      <c r="R19" s="112">
        <v>138</v>
      </c>
      <c r="S19" s="113">
        <f>R19+R13*C19</f>
        <v>158</v>
      </c>
      <c r="T19" s="24"/>
    </row>
    <row r="20" spans="2:22" x14ac:dyDescent="0.2">
      <c r="B20" s="26"/>
      <c r="C20" s="26">
        <v>500</v>
      </c>
      <c r="D20" s="120"/>
      <c r="E20" s="59"/>
      <c r="F20" s="59">
        <f t="shared" si="8"/>
        <v>21</v>
      </c>
      <c r="G20" s="112">
        <v>149</v>
      </c>
      <c r="H20" s="112">
        <f>G20+G13*C20</f>
        <v>154</v>
      </c>
      <c r="I20" s="120"/>
      <c r="J20" s="59">
        <f t="shared" si="4"/>
        <v>0</v>
      </c>
      <c r="K20" s="59">
        <f t="shared" si="5"/>
        <v>16</v>
      </c>
      <c r="L20" s="112">
        <v>154</v>
      </c>
      <c r="M20" s="112">
        <f>L20+L13*C20</f>
        <v>164</v>
      </c>
      <c r="N20" s="119">
        <v>20</v>
      </c>
      <c r="O20" s="120"/>
      <c r="P20" s="59">
        <f t="shared" si="6"/>
        <v>0</v>
      </c>
      <c r="Q20" s="59">
        <f t="shared" si="7"/>
        <v>6</v>
      </c>
      <c r="R20" s="112">
        <v>164</v>
      </c>
      <c r="S20" s="113">
        <f>R20+R13*C20</f>
        <v>184</v>
      </c>
      <c r="T20" s="24">
        <f>S20/8</f>
        <v>23</v>
      </c>
      <c r="U20">
        <v>20</v>
      </c>
      <c r="V20" s="8">
        <f>IF(T20&lt;U20,0,T20-U20)</f>
        <v>3</v>
      </c>
    </row>
    <row r="21" spans="2:22" x14ac:dyDescent="0.2">
      <c r="U21" s="107" t="s">
        <v>310</v>
      </c>
      <c r="V21" s="121">
        <f>((T15-U15)+(T20-U20))/3</f>
        <v>1.5833333333333333</v>
      </c>
    </row>
    <row r="22" spans="2:22" x14ac:dyDescent="0.2">
      <c r="U22" s="107"/>
      <c r="V22" s="107"/>
    </row>
    <row r="23" spans="2:22" x14ac:dyDescent="0.2">
      <c r="U23" s="107"/>
      <c r="V23" s="107"/>
    </row>
    <row r="24" spans="2:22" x14ac:dyDescent="0.2">
      <c r="U24" s="107"/>
      <c r="V24" s="110"/>
    </row>
  </sheetData>
  <mergeCells count="12">
    <mergeCell ref="G4:H4"/>
    <mergeCell ref="L4:M4"/>
    <mergeCell ref="Q4:R4"/>
    <mergeCell ref="G5:H5"/>
    <mergeCell ref="L5:M5"/>
    <mergeCell ref="Q5:R5"/>
    <mergeCell ref="G13:H13"/>
    <mergeCell ref="L13:M13"/>
    <mergeCell ref="R13:S13"/>
    <mergeCell ref="G14:H14"/>
    <mergeCell ref="L14:M14"/>
    <mergeCell ref="R14:S14"/>
  </mergeCells>
  <pageMargins left="0.75" right="0.75" top="1" bottom="1" header="0.5" footer="0.5"/>
  <pageSetup orientation="portrait" horizontalDpi="4294967292" verticalDpi="429496729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B3670-2C93-1E49-A9CA-6B08E25D3D5A}">
  <dimension ref="A1:S24"/>
  <sheetViews>
    <sheetView zoomScale="110" zoomScaleNormal="110" zoomScalePageLayoutView="110" workbookViewId="0">
      <selection activeCell="M27" sqref="M27"/>
    </sheetView>
  </sheetViews>
  <sheetFormatPr baseColWidth="10" defaultRowHeight="16" x14ac:dyDescent="0.2"/>
  <cols>
    <col min="2" max="2" width="6.5" customWidth="1"/>
    <col min="3" max="5" width="5.83203125" customWidth="1"/>
    <col min="6" max="7" width="6.6640625" bestFit="1" customWidth="1"/>
    <col min="8" max="10" width="5.83203125" customWidth="1"/>
    <col min="11" max="12" width="6.6640625" bestFit="1" customWidth="1"/>
    <col min="13" max="13" width="13" bestFit="1" customWidth="1"/>
    <col min="14" max="15" width="5.83203125" customWidth="1"/>
    <col min="16" max="16" width="6.6640625" bestFit="1" customWidth="1"/>
    <col min="17" max="17" width="6.6640625" customWidth="1"/>
  </cols>
  <sheetData>
    <row r="1" spans="1:19" x14ac:dyDescent="0.2">
      <c r="A1" s="107" t="s">
        <v>311</v>
      </c>
    </row>
    <row r="2" spans="1:19" x14ac:dyDescent="0.2">
      <c r="F2" s="232">
        <f>250*3/60</f>
        <v>12.5</v>
      </c>
      <c r="G2" s="232"/>
      <c r="J2" s="108"/>
      <c r="K2" s="233">
        <f>250*5/60</f>
        <v>20.833333333333332</v>
      </c>
      <c r="L2" s="233"/>
      <c r="N2" s="108"/>
      <c r="P2" s="233">
        <f>250*10/60</f>
        <v>41.666666666666664</v>
      </c>
      <c r="Q2" s="233"/>
    </row>
    <row r="3" spans="1:19" x14ac:dyDescent="0.2">
      <c r="A3" s="23" t="s">
        <v>283</v>
      </c>
      <c r="B3" s="108" t="s">
        <v>202</v>
      </c>
      <c r="C3" s="108" t="s">
        <v>190</v>
      </c>
      <c r="D3" s="108" t="s">
        <v>284</v>
      </c>
      <c r="E3" s="108" t="s">
        <v>285</v>
      </c>
      <c r="F3" s="232" t="s">
        <v>286</v>
      </c>
      <c r="G3" s="239"/>
      <c r="H3" s="108" t="s">
        <v>68</v>
      </c>
      <c r="I3" s="108" t="s">
        <v>284</v>
      </c>
      <c r="J3" s="108" t="s">
        <v>285</v>
      </c>
      <c r="K3" s="232" t="s">
        <v>287</v>
      </c>
      <c r="L3" s="224"/>
      <c r="M3" s="108" t="s">
        <v>194</v>
      </c>
      <c r="N3" s="108" t="s">
        <v>284</v>
      </c>
      <c r="O3" s="108" t="s">
        <v>285</v>
      </c>
      <c r="P3" s="232" t="s">
        <v>312</v>
      </c>
      <c r="Q3" s="224"/>
      <c r="R3" s="108" t="s">
        <v>299</v>
      </c>
    </row>
    <row r="4" spans="1:19" x14ac:dyDescent="0.2">
      <c r="A4" s="10">
        <v>1</v>
      </c>
      <c r="B4" s="10">
        <v>250</v>
      </c>
      <c r="C4" s="10" t="s">
        <v>288</v>
      </c>
      <c r="D4" s="122">
        <v>0</v>
      </c>
      <c r="E4" s="122">
        <v>0</v>
      </c>
      <c r="F4" s="10">
        <v>1</v>
      </c>
      <c r="G4" s="10">
        <f>F4+F2</f>
        <v>13.5</v>
      </c>
      <c r="H4" s="10" t="s">
        <v>288</v>
      </c>
      <c r="I4" s="122">
        <v>0</v>
      </c>
      <c r="J4" s="122">
        <v>0</v>
      </c>
      <c r="K4" s="10">
        <f>G4</f>
        <v>13.5</v>
      </c>
      <c r="L4" s="7">
        <f>K4+K2</f>
        <v>34.333333333333329</v>
      </c>
      <c r="M4" s="10" t="s">
        <v>288</v>
      </c>
      <c r="N4" s="122">
        <v>0</v>
      </c>
      <c r="O4" s="122">
        <v>0</v>
      </c>
      <c r="P4" s="7">
        <f>L4</f>
        <v>34.333333333333329</v>
      </c>
      <c r="Q4" s="8">
        <f>P4+P2</f>
        <v>76</v>
      </c>
    </row>
    <row r="5" spans="1:19" x14ac:dyDescent="0.2">
      <c r="A5" s="10"/>
      <c r="B5" s="10">
        <v>250</v>
      </c>
      <c r="C5" s="123" t="s">
        <v>313</v>
      </c>
      <c r="D5" s="122">
        <v>0</v>
      </c>
      <c r="E5" s="12">
        <f>F5-G4</f>
        <v>5.8333333333333286</v>
      </c>
      <c r="F5" s="7">
        <f>L4-15</f>
        <v>19.333333333333329</v>
      </c>
      <c r="G5" s="7">
        <f>F5+F2</f>
        <v>31.833333333333329</v>
      </c>
      <c r="H5" s="123" t="s">
        <v>313</v>
      </c>
      <c r="I5" s="12">
        <f>K5-G5</f>
        <v>19.166666666666671</v>
      </c>
      <c r="J5" s="12">
        <f>K5-L4</f>
        <v>16.666666666666671</v>
      </c>
      <c r="K5" s="7">
        <f>Q4-25</f>
        <v>51</v>
      </c>
      <c r="L5" s="7">
        <f>K5+K2</f>
        <v>71.833333333333329</v>
      </c>
      <c r="M5" s="123" t="s">
        <v>313</v>
      </c>
      <c r="N5" s="12">
        <f>P5-L5</f>
        <v>4.1666666666666714</v>
      </c>
      <c r="O5" s="12">
        <f>P5-Q4</f>
        <v>0</v>
      </c>
      <c r="P5" s="7">
        <f>Q4</f>
        <v>76</v>
      </c>
      <c r="Q5" s="8">
        <f>P5+P2</f>
        <v>117.66666666666666</v>
      </c>
      <c r="R5" s="8">
        <f>Q5/7</f>
        <v>16.809523809523807</v>
      </c>
      <c r="S5">
        <v>15</v>
      </c>
    </row>
    <row r="6" spans="1:19" x14ac:dyDescent="0.2">
      <c r="A6" s="10">
        <v>2</v>
      </c>
      <c r="B6" s="10">
        <v>250</v>
      </c>
      <c r="C6" s="10"/>
      <c r="D6" s="122">
        <v>0</v>
      </c>
      <c r="E6" s="12">
        <f t="shared" ref="E6:E9" si="0">F6-G5</f>
        <v>25</v>
      </c>
      <c r="F6" s="7">
        <f t="shared" ref="F6:F9" si="1">L5-15</f>
        <v>56.833333333333329</v>
      </c>
      <c r="G6" s="7">
        <f>F6+F2</f>
        <v>69.333333333333329</v>
      </c>
      <c r="H6" s="10"/>
      <c r="I6" s="12">
        <f t="shared" ref="I6:I9" si="2">K6-G6</f>
        <v>23.333333333333329</v>
      </c>
      <c r="J6" s="12">
        <f t="shared" ref="J6:J9" si="3">K6-L5</f>
        <v>20.833333333333329</v>
      </c>
      <c r="K6" s="7">
        <f t="shared" ref="K6:K9" si="4">Q5-25</f>
        <v>92.666666666666657</v>
      </c>
      <c r="L6" s="7">
        <f>K6+K2</f>
        <v>113.49999999999999</v>
      </c>
      <c r="M6" s="10" t="s">
        <v>314</v>
      </c>
      <c r="N6" s="12">
        <f t="shared" ref="N6:N9" si="5">P6-L6</f>
        <v>5.1666666666666714</v>
      </c>
      <c r="O6" s="12">
        <f t="shared" ref="O6:O9" si="6">P6-Q5</f>
        <v>1</v>
      </c>
      <c r="P6" s="7">
        <f>Q5+1</f>
        <v>118.66666666666666</v>
      </c>
      <c r="Q6" s="8">
        <f>P6+P2</f>
        <v>160.33333333333331</v>
      </c>
      <c r="R6" s="8"/>
    </row>
    <row r="7" spans="1:19" x14ac:dyDescent="0.2">
      <c r="B7" s="10">
        <v>250</v>
      </c>
      <c r="C7" s="123" t="s">
        <v>313</v>
      </c>
      <c r="D7" s="122">
        <v>0</v>
      </c>
      <c r="E7" s="12">
        <f t="shared" si="0"/>
        <v>29.166666666666657</v>
      </c>
      <c r="F7" s="7">
        <f t="shared" si="1"/>
        <v>98.499999999999986</v>
      </c>
      <c r="G7" s="7">
        <f>F7+F2</f>
        <v>110.99999999999999</v>
      </c>
      <c r="H7" s="123" t="s">
        <v>313</v>
      </c>
      <c r="I7" s="12">
        <f t="shared" si="2"/>
        <v>24.333333333333329</v>
      </c>
      <c r="J7" s="12">
        <f t="shared" si="3"/>
        <v>21.833333333333329</v>
      </c>
      <c r="K7" s="7">
        <f t="shared" si="4"/>
        <v>135.33333333333331</v>
      </c>
      <c r="L7" s="7">
        <f>K7+K2</f>
        <v>156.16666666666666</v>
      </c>
      <c r="M7" s="123" t="s">
        <v>313</v>
      </c>
      <c r="N7" s="12">
        <f t="shared" si="5"/>
        <v>4.1666666666666572</v>
      </c>
      <c r="O7" s="12">
        <f t="shared" si="6"/>
        <v>0</v>
      </c>
      <c r="P7" s="7">
        <f>Q6</f>
        <v>160.33333333333331</v>
      </c>
      <c r="Q7" s="8">
        <f>P7+P2</f>
        <v>201.99999999999997</v>
      </c>
      <c r="R7" s="8">
        <f>Q7/7</f>
        <v>28.857142857142854</v>
      </c>
      <c r="S7">
        <v>30</v>
      </c>
    </row>
    <row r="8" spans="1:19" x14ac:dyDescent="0.2">
      <c r="A8" s="10">
        <v>3</v>
      </c>
      <c r="B8" s="10">
        <v>250</v>
      </c>
      <c r="C8" s="10"/>
      <c r="D8" s="122">
        <v>0</v>
      </c>
      <c r="E8" s="12">
        <f t="shared" si="0"/>
        <v>30.166666666666671</v>
      </c>
      <c r="F8" s="7">
        <f t="shared" si="1"/>
        <v>141.16666666666666</v>
      </c>
      <c r="G8" s="7">
        <f>F8+F2</f>
        <v>153.66666666666666</v>
      </c>
      <c r="H8" s="10"/>
      <c r="I8" s="12">
        <f t="shared" si="2"/>
        <v>23.333333333333314</v>
      </c>
      <c r="J8" s="12">
        <f t="shared" si="3"/>
        <v>20.833333333333314</v>
      </c>
      <c r="K8" s="7">
        <f t="shared" si="4"/>
        <v>176.99999999999997</v>
      </c>
      <c r="L8" s="7">
        <f>K8+K2</f>
        <v>197.83333333333331</v>
      </c>
      <c r="M8" s="10" t="s">
        <v>315</v>
      </c>
      <c r="N8" s="12">
        <f t="shared" si="5"/>
        <v>5.1666666666666572</v>
      </c>
      <c r="O8" s="12">
        <f t="shared" si="6"/>
        <v>1</v>
      </c>
      <c r="P8" s="8">
        <f>Q7+1</f>
        <v>202.99999999999997</v>
      </c>
      <c r="Q8" s="8">
        <f>P8+P2</f>
        <v>244.66666666666663</v>
      </c>
      <c r="R8" s="8"/>
    </row>
    <row r="9" spans="1:19" x14ac:dyDescent="0.2">
      <c r="B9" s="10">
        <v>250</v>
      </c>
      <c r="C9" s="123" t="s">
        <v>313</v>
      </c>
      <c r="D9" s="122">
        <v>0</v>
      </c>
      <c r="E9" s="12">
        <f t="shared" si="0"/>
        <v>29.166666666666657</v>
      </c>
      <c r="F9" s="7">
        <f t="shared" si="1"/>
        <v>182.83333333333331</v>
      </c>
      <c r="G9" s="7">
        <f>F9+F2</f>
        <v>195.33333333333331</v>
      </c>
      <c r="H9" s="123" t="s">
        <v>313</v>
      </c>
      <c r="I9" s="12">
        <f t="shared" si="2"/>
        <v>24.333333333333314</v>
      </c>
      <c r="J9" s="12">
        <f t="shared" si="3"/>
        <v>21.833333333333314</v>
      </c>
      <c r="K9" s="7">
        <f t="shared" si="4"/>
        <v>219.66666666666663</v>
      </c>
      <c r="L9" s="7">
        <f>K9+K2</f>
        <v>240.49999999999997</v>
      </c>
      <c r="M9" s="123" t="s">
        <v>313</v>
      </c>
      <c r="N9" s="12">
        <f t="shared" si="5"/>
        <v>4.1666666666666572</v>
      </c>
      <c r="O9" s="12">
        <f t="shared" si="6"/>
        <v>0</v>
      </c>
      <c r="P9" s="8">
        <f>Q8</f>
        <v>244.66666666666663</v>
      </c>
      <c r="Q9" s="8">
        <f>P9+P2</f>
        <v>286.33333333333331</v>
      </c>
      <c r="R9" s="8">
        <f>Q9/7</f>
        <v>40.904761904761905</v>
      </c>
      <c r="S9">
        <v>40</v>
      </c>
    </row>
    <row r="10" spans="1:19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9" x14ac:dyDescent="0.2">
      <c r="B11" s="23" t="s">
        <v>316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S11" s="8">
        <f>((R5-S5)+(R9-S9))/3</f>
        <v>0.90476190476190388</v>
      </c>
    </row>
    <row r="12" spans="1:19" x14ac:dyDescent="0.2">
      <c r="B12" s="10" t="s">
        <v>317</v>
      </c>
      <c r="C12" t="s">
        <v>318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9" x14ac:dyDescent="0.2">
      <c r="B13" s="10" t="s">
        <v>319</v>
      </c>
      <c r="C13" t="s">
        <v>320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205">
        <f>2.4*250/60</f>
        <v>10</v>
      </c>
      <c r="Q13" s="205"/>
    </row>
    <row r="14" spans="1:19" x14ac:dyDescent="0.2">
      <c r="B14" s="10" t="s">
        <v>321</v>
      </c>
      <c r="C14" s="10">
        <f>180*5/60</f>
        <v>15</v>
      </c>
      <c r="D14" t="s">
        <v>322</v>
      </c>
      <c r="E14" t="s">
        <v>323</v>
      </c>
      <c r="K14" s="23" t="s">
        <v>283</v>
      </c>
      <c r="L14" s="108" t="s">
        <v>202</v>
      </c>
      <c r="M14" s="108" t="s">
        <v>275</v>
      </c>
      <c r="N14" s="108" t="s">
        <v>284</v>
      </c>
      <c r="O14" s="108" t="s">
        <v>285</v>
      </c>
      <c r="P14" s="232" t="s">
        <v>294</v>
      </c>
      <c r="Q14" s="239"/>
    </row>
    <row r="15" spans="1:19" x14ac:dyDescent="0.2">
      <c r="E15" t="s">
        <v>324</v>
      </c>
      <c r="K15" s="10">
        <v>1</v>
      </c>
      <c r="L15" s="10">
        <v>500</v>
      </c>
      <c r="M15" s="10" t="s">
        <v>288</v>
      </c>
      <c r="N15" s="122">
        <v>0</v>
      </c>
      <c r="O15" s="122">
        <v>0</v>
      </c>
      <c r="P15" s="7">
        <v>1</v>
      </c>
      <c r="Q15" s="7">
        <f>P15+P13</f>
        <v>11</v>
      </c>
      <c r="S15" s="48"/>
    </row>
    <row r="16" spans="1:19" x14ac:dyDescent="0.2">
      <c r="E16" t="s">
        <v>325</v>
      </c>
      <c r="K16" s="10">
        <v>2</v>
      </c>
      <c r="L16" s="10">
        <v>500</v>
      </c>
      <c r="M16" s="10" t="s">
        <v>326</v>
      </c>
      <c r="N16" s="122">
        <v>0</v>
      </c>
      <c r="O16" s="12">
        <f>P16-Q15</f>
        <v>23.333333333333329</v>
      </c>
      <c r="P16" s="7">
        <f>P4</f>
        <v>34.333333333333329</v>
      </c>
      <c r="Q16" s="7">
        <f>P16+P13</f>
        <v>44.333333333333329</v>
      </c>
    </row>
    <row r="17" spans="2:17" x14ac:dyDescent="0.2">
      <c r="K17" s="10">
        <v>3</v>
      </c>
      <c r="L17" s="10">
        <v>500</v>
      </c>
      <c r="M17" s="10" t="s">
        <v>327</v>
      </c>
      <c r="N17" s="122">
        <v>0</v>
      </c>
      <c r="O17" s="12">
        <f>P17-Q16</f>
        <v>31.666666666666671</v>
      </c>
      <c r="P17" s="7">
        <f>P5</f>
        <v>76</v>
      </c>
      <c r="Q17" s="7">
        <f>P17+P13</f>
        <v>86</v>
      </c>
    </row>
    <row r="18" spans="2:17" x14ac:dyDescent="0.2">
      <c r="B18" s="23" t="s">
        <v>316</v>
      </c>
      <c r="C18" s="10"/>
      <c r="D18" s="10"/>
      <c r="E18" s="10"/>
      <c r="F18" s="10"/>
      <c r="G18" s="10"/>
      <c r="H18" s="10"/>
      <c r="L18" s="10"/>
      <c r="M18" s="10"/>
      <c r="N18" s="10"/>
      <c r="O18" s="10"/>
      <c r="P18" s="10"/>
      <c r="Q18" s="10"/>
    </row>
    <row r="19" spans="2:17" x14ac:dyDescent="0.2">
      <c r="B19" s="10" t="s">
        <v>317</v>
      </c>
      <c r="C19" t="s">
        <v>318</v>
      </c>
      <c r="D19" s="10"/>
      <c r="E19" s="10"/>
      <c r="F19" s="10"/>
      <c r="G19" s="10"/>
      <c r="H19" s="10"/>
      <c r="K19" s="10"/>
      <c r="L19" s="10"/>
      <c r="M19" s="10"/>
      <c r="N19" s="23" t="s">
        <v>284</v>
      </c>
      <c r="O19" s="10">
        <f>SUM(D4:D9,I4:I9,N4:N9,N15:N17)</f>
        <v>137.33333333333329</v>
      </c>
      <c r="P19" s="10"/>
      <c r="Q19" s="10"/>
    </row>
    <row r="20" spans="2:17" x14ac:dyDescent="0.2">
      <c r="B20" s="10" t="s">
        <v>319</v>
      </c>
      <c r="C20" t="s">
        <v>328</v>
      </c>
      <c r="D20" s="10"/>
      <c r="E20" s="10"/>
      <c r="F20" s="10"/>
      <c r="G20" s="10"/>
      <c r="H20" s="10"/>
      <c r="L20" s="10"/>
      <c r="M20" s="10"/>
      <c r="N20" s="23" t="s">
        <v>285</v>
      </c>
      <c r="O20" s="10">
        <f>SUM(E4:E9,J4:J9,O4:O9,O15:O17)</f>
        <v>278.33333333333326</v>
      </c>
      <c r="P20" s="10"/>
      <c r="Q20" s="10"/>
    </row>
    <row r="21" spans="2:17" x14ac:dyDescent="0.2">
      <c r="B21" s="10" t="s">
        <v>321</v>
      </c>
      <c r="C21" s="10">
        <f>150*10/60</f>
        <v>25</v>
      </c>
      <c r="D21" t="s">
        <v>322</v>
      </c>
      <c r="E21" t="s">
        <v>323</v>
      </c>
      <c r="L21" s="10"/>
      <c r="M21" s="10"/>
      <c r="N21" s="23" t="s">
        <v>329</v>
      </c>
      <c r="O21" s="240">
        <f>O19*250*2</f>
        <v>68666.666666666642</v>
      </c>
      <c r="P21" s="240"/>
      <c r="Q21" s="10"/>
    </row>
    <row r="22" spans="2:17" x14ac:dyDescent="0.2">
      <c r="E22" t="s">
        <v>330</v>
      </c>
      <c r="L22" s="10"/>
      <c r="M22" s="10"/>
      <c r="N22" s="10"/>
      <c r="O22" s="10"/>
      <c r="P22" s="10"/>
      <c r="Q22" s="10"/>
    </row>
    <row r="23" spans="2:17" x14ac:dyDescent="0.2">
      <c r="E23" t="s">
        <v>325</v>
      </c>
      <c r="L23" s="10"/>
      <c r="M23" s="10"/>
      <c r="N23" s="10"/>
      <c r="O23" s="10"/>
      <c r="P23" s="10"/>
      <c r="Q23" s="10"/>
    </row>
    <row r="24" spans="2:17" x14ac:dyDescent="0.2">
      <c r="L24" s="10"/>
      <c r="M24" s="10"/>
      <c r="N24" s="10"/>
      <c r="O24" s="10"/>
      <c r="P24" s="10"/>
      <c r="Q24" s="10"/>
    </row>
  </sheetData>
  <mergeCells count="9">
    <mergeCell ref="P13:Q13"/>
    <mergeCell ref="P14:Q14"/>
    <mergeCell ref="O21:P21"/>
    <mergeCell ref="F2:G2"/>
    <mergeCell ref="K2:L2"/>
    <mergeCell ref="P2:Q2"/>
    <mergeCell ref="F3:G3"/>
    <mergeCell ref="K3:L3"/>
    <mergeCell ref="P3:Q3"/>
  </mergeCells>
  <pageMargins left="0.75" right="0.75" top="1" bottom="1" header="0.5" footer="0.5"/>
  <pageSetup orientation="portrait" horizontalDpi="4294967292" verticalDpi="429496729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9F31C-5E7A-7D4B-8057-ABAC6D27C90C}">
  <dimension ref="A1:S24"/>
  <sheetViews>
    <sheetView zoomScale="110" zoomScaleNormal="110" zoomScalePageLayoutView="110" workbookViewId="0">
      <selection activeCell="M31" sqref="M31"/>
    </sheetView>
  </sheetViews>
  <sheetFormatPr baseColWidth="10" defaultRowHeight="16" x14ac:dyDescent="0.2"/>
  <cols>
    <col min="2" max="2" width="6.5" customWidth="1"/>
    <col min="3" max="5" width="5.83203125" customWidth="1"/>
    <col min="6" max="7" width="6.6640625" bestFit="1" customWidth="1"/>
    <col min="8" max="10" width="5.83203125" customWidth="1"/>
    <col min="11" max="12" width="6.6640625" bestFit="1" customWidth="1"/>
    <col min="13" max="13" width="13" bestFit="1" customWidth="1"/>
    <col min="14" max="15" width="5.83203125" customWidth="1"/>
    <col min="16" max="16" width="6.6640625" bestFit="1" customWidth="1"/>
    <col min="17" max="17" width="6.6640625" customWidth="1"/>
    <col min="2000" max="2000" width="2.5" customWidth="1"/>
  </cols>
  <sheetData>
    <row r="1" spans="1:19" x14ac:dyDescent="0.2">
      <c r="L1" s="10"/>
      <c r="M1" s="10"/>
      <c r="N1" s="10"/>
      <c r="O1" s="10"/>
      <c r="P1" s="10"/>
      <c r="Q1" s="10"/>
    </row>
    <row r="2" spans="1:19" x14ac:dyDescent="0.2">
      <c r="A2" s="107" t="s">
        <v>331</v>
      </c>
    </row>
    <row r="3" spans="1:19" x14ac:dyDescent="0.2">
      <c r="F3" s="232">
        <f>250*3/60</f>
        <v>12.5</v>
      </c>
      <c r="G3" s="232"/>
      <c r="J3" s="108"/>
      <c r="K3" s="233">
        <f>250*5/60</f>
        <v>20.833333333333332</v>
      </c>
      <c r="L3" s="233"/>
      <c r="N3" s="108"/>
      <c r="P3" s="233">
        <f>250*10/60</f>
        <v>41.666666666666664</v>
      </c>
      <c r="Q3" s="233"/>
    </row>
    <row r="4" spans="1:19" x14ac:dyDescent="0.2">
      <c r="A4" s="23" t="s">
        <v>283</v>
      </c>
      <c r="B4" s="108" t="s">
        <v>202</v>
      </c>
      <c r="C4" s="108" t="s">
        <v>190</v>
      </c>
      <c r="D4" s="108" t="s">
        <v>284</v>
      </c>
      <c r="E4" s="108" t="s">
        <v>285</v>
      </c>
      <c r="F4" s="232" t="s">
        <v>286</v>
      </c>
      <c r="G4" s="239"/>
      <c r="H4" s="108" t="s">
        <v>68</v>
      </c>
      <c r="I4" s="108" t="s">
        <v>284</v>
      </c>
      <c r="J4" s="108" t="s">
        <v>285</v>
      </c>
      <c r="K4" s="232" t="s">
        <v>287</v>
      </c>
      <c r="L4" s="224"/>
      <c r="M4" s="108" t="s">
        <v>194</v>
      </c>
      <c r="N4" s="108" t="s">
        <v>284</v>
      </c>
      <c r="O4" s="108" t="s">
        <v>285</v>
      </c>
      <c r="P4" s="232" t="s">
        <v>312</v>
      </c>
      <c r="Q4" s="224"/>
      <c r="R4" s="108" t="s">
        <v>196</v>
      </c>
    </row>
    <row r="5" spans="1:19" x14ac:dyDescent="0.2">
      <c r="A5" s="10">
        <v>1</v>
      </c>
      <c r="B5" s="10">
        <v>250</v>
      </c>
      <c r="C5" s="10" t="s">
        <v>288</v>
      </c>
      <c r="D5" s="122">
        <v>0</v>
      </c>
      <c r="E5" s="122">
        <v>0</v>
      </c>
      <c r="F5" s="10">
        <v>1</v>
      </c>
      <c r="G5" s="10">
        <f>F5+F3</f>
        <v>13.5</v>
      </c>
      <c r="H5" s="10" t="s">
        <v>288</v>
      </c>
      <c r="I5" s="122">
        <v>0</v>
      </c>
      <c r="J5" s="122">
        <v>0</v>
      </c>
      <c r="K5" s="10">
        <f>G5</f>
        <v>13.5</v>
      </c>
      <c r="L5" s="7">
        <f>K5+K3</f>
        <v>34.333333333333329</v>
      </c>
      <c r="M5" s="10" t="s">
        <v>288</v>
      </c>
      <c r="N5" s="122">
        <v>0</v>
      </c>
      <c r="O5" s="122">
        <v>0</v>
      </c>
      <c r="P5" s="7">
        <f>L5</f>
        <v>34.333333333333329</v>
      </c>
      <c r="Q5" s="8">
        <f>P5+P3</f>
        <v>76</v>
      </c>
    </row>
    <row r="6" spans="1:19" x14ac:dyDescent="0.2">
      <c r="A6" s="10"/>
      <c r="B6" s="10">
        <v>250</v>
      </c>
      <c r="C6" s="123" t="s">
        <v>313</v>
      </c>
      <c r="D6" s="122">
        <v>0</v>
      </c>
      <c r="E6" s="12">
        <f>F6-G5</f>
        <v>29.166666666666671</v>
      </c>
      <c r="F6" s="7">
        <f>G6-F3</f>
        <v>42.666666666666671</v>
      </c>
      <c r="G6" s="7">
        <f>K6</f>
        <v>55.166666666666671</v>
      </c>
      <c r="H6" s="123" t="s">
        <v>313</v>
      </c>
      <c r="I6" s="12">
        <f>K6-G6</f>
        <v>0</v>
      </c>
      <c r="J6" s="12">
        <f>K6-L5</f>
        <v>20.833333333333343</v>
      </c>
      <c r="K6" s="7">
        <f>L6-K3</f>
        <v>55.166666666666671</v>
      </c>
      <c r="L6" s="7">
        <v>76</v>
      </c>
      <c r="M6" s="123" t="s">
        <v>313</v>
      </c>
      <c r="N6" s="12">
        <f>P6-L6</f>
        <v>0</v>
      </c>
      <c r="O6" s="12">
        <f>P6-Q5</f>
        <v>0</v>
      </c>
      <c r="P6" s="7">
        <f>Q5</f>
        <v>76</v>
      </c>
      <c r="Q6" s="8">
        <f>P6+P3</f>
        <v>117.66666666666666</v>
      </c>
      <c r="R6" s="8">
        <f>Q6/8</f>
        <v>14.708333333333332</v>
      </c>
      <c r="S6">
        <v>15</v>
      </c>
    </row>
    <row r="7" spans="1:19" x14ac:dyDescent="0.2">
      <c r="A7" s="10">
        <v>2</v>
      </c>
      <c r="B7" s="10">
        <v>250</v>
      </c>
      <c r="C7" s="10"/>
      <c r="D7" s="122">
        <v>0</v>
      </c>
      <c r="E7" s="12">
        <f t="shared" ref="E7:E10" si="0">F7-G6</f>
        <v>28.166666666666657</v>
      </c>
      <c r="F7" s="7">
        <f>G7-F3</f>
        <v>83.333333333333329</v>
      </c>
      <c r="G7" s="7">
        <f>K7-1</f>
        <v>95.833333333333329</v>
      </c>
      <c r="H7" s="10"/>
      <c r="I7" s="12">
        <f t="shared" ref="I7:I10" si="1">K7-G7</f>
        <v>1</v>
      </c>
      <c r="J7" s="12">
        <f t="shared" ref="J7:J10" si="2">K7-L6</f>
        <v>20.833333333333329</v>
      </c>
      <c r="K7" s="7">
        <f>L7-K3</f>
        <v>96.833333333333329</v>
      </c>
      <c r="L7" s="7">
        <f>Q6</f>
        <v>117.66666666666666</v>
      </c>
      <c r="M7" s="10" t="s">
        <v>314</v>
      </c>
      <c r="N7" s="12">
        <f t="shared" ref="N7:N10" si="3">P7-L7</f>
        <v>1</v>
      </c>
      <c r="O7" s="12">
        <f t="shared" ref="O7:O10" si="4">P7-Q6</f>
        <v>1</v>
      </c>
      <c r="P7" s="7">
        <f>Q6+1</f>
        <v>118.66666666666666</v>
      </c>
      <c r="Q7" s="8">
        <f>P7+P3</f>
        <v>160.33333333333331</v>
      </c>
    </row>
    <row r="8" spans="1:19" x14ac:dyDescent="0.2">
      <c r="B8" s="10">
        <v>250</v>
      </c>
      <c r="C8" s="123" t="s">
        <v>313</v>
      </c>
      <c r="D8" s="122">
        <v>0</v>
      </c>
      <c r="E8" s="12">
        <f t="shared" si="0"/>
        <v>31.166666666666643</v>
      </c>
      <c r="F8" s="7">
        <f>G8-F3</f>
        <v>126.99999999999997</v>
      </c>
      <c r="G8" s="7">
        <f>K8</f>
        <v>139.49999999999997</v>
      </c>
      <c r="H8" s="123" t="s">
        <v>313</v>
      </c>
      <c r="I8" s="12">
        <f t="shared" si="1"/>
        <v>0</v>
      </c>
      <c r="J8" s="12">
        <f t="shared" si="2"/>
        <v>21.833333333333314</v>
      </c>
      <c r="K8" s="7">
        <f>L8-K3</f>
        <v>139.49999999999997</v>
      </c>
      <c r="L8" s="7">
        <f>Q7</f>
        <v>160.33333333333331</v>
      </c>
      <c r="M8" s="123" t="s">
        <v>313</v>
      </c>
      <c r="N8" s="12">
        <f t="shared" si="3"/>
        <v>0</v>
      </c>
      <c r="O8" s="12">
        <f t="shared" si="4"/>
        <v>0</v>
      </c>
      <c r="P8" s="7">
        <f>Q7</f>
        <v>160.33333333333331</v>
      </c>
      <c r="Q8" s="8">
        <f>P8+P3</f>
        <v>201.99999999999997</v>
      </c>
      <c r="R8">
        <f>Q8/8</f>
        <v>25.249999999999996</v>
      </c>
      <c r="S8">
        <v>30</v>
      </c>
    </row>
    <row r="9" spans="1:19" x14ac:dyDescent="0.2">
      <c r="A9" s="10">
        <v>3</v>
      </c>
      <c r="B9" s="10">
        <v>250</v>
      </c>
      <c r="C9" s="10"/>
      <c r="D9" s="122">
        <v>0</v>
      </c>
      <c r="E9" s="12">
        <f t="shared" si="0"/>
        <v>28.166666666666657</v>
      </c>
      <c r="F9" s="7">
        <f>G9-F3</f>
        <v>167.66666666666663</v>
      </c>
      <c r="G9" s="7">
        <f>K9-1</f>
        <v>180.16666666666663</v>
      </c>
      <c r="H9" s="10"/>
      <c r="I9" s="12">
        <f t="shared" si="1"/>
        <v>1</v>
      </c>
      <c r="J9" s="12">
        <f t="shared" si="2"/>
        <v>20.833333333333314</v>
      </c>
      <c r="K9" s="7">
        <f>L9-K3</f>
        <v>181.16666666666663</v>
      </c>
      <c r="L9" s="7">
        <f>Q8</f>
        <v>201.99999999999997</v>
      </c>
      <c r="M9" s="10" t="s">
        <v>315</v>
      </c>
      <c r="N9" s="12">
        <f t="shared" si="3"/>
        <v>1</v>
      </c>
      <c r="O9" s="12">
        <f t="shared" si="4"/>
        <v>1</v>
      </c>
      <c r="P9" s="8">
        <f>Q8+1</f>
        <v>202.99999999999997</v>
      </c>
      <c r="Q9" s="8">
        <f>P9+P3</f>
        <v>244.66666666666663</v>
      </c>
    </row>
    <row r="10" spans="1:19" x14ac:dyDescent="0.2">
      <c r="B10" s="10">
        <v>250</v>
      </c>
      <c r="C10" s="123" t="s">
        <v>313</v>
      </c>
      <c r="D10" s="122">
        <v>0</v>
      </c>
      <c r="E10" s="12">
        <f t="shared" si="0"/>
        <v>31.166666666666657</v>
      </c>
      <c r="F10" s="7">
        <f>G10-F3</f>
        <v>211.33333333333329</v>
      </c>
      <c r="G10" s="7">
        <f>K10</f>
        <v>223.83333333333329</v>
      </c>
      <c r="H10" s="123" t="s">
        <v>313</v>
      </c>
      <c r="I10" s="12">
        <f t="shared" si="1"/>
        <v>0</v>
      </c>
      <c r="J10" s="12">
        <f t="shared" si="2"/>
        <v>21.833333333333314</v>
      </c>
      <c r="K10" s="7">
        <f>L10-K3</f>
        <v>223.83333333333329</v>
      </c>
      <c r="L10" s="7">
        <f>Q9</f>
        <v>244.66666666666663</v>
      </c>
      <c r="M10" s="123" t="s">
        <v>313</v>
      </c>
      <c r="N10" s="12">
        <f t="shared" si="3"/>
        <v>0</v>
      </c>
      <c r="O10" s="12">
        <f t="shared" si="4"/>
        <v>0</v>
      </c>
      <c r="P10" s="8">
        <f>Q9</f>
        <v>244.66666666666663</v>
      </c>
      <c r="Q10" s="8">
        <f>P10+P3</f>
        <v>286.33333333333331</v>
      </c>
      <c r="R10" s="8">
        <f>Q10/8</f>
        <v>35.791666666666664</v>
      </c>
      <c r="S10">
        <v>40</v>
      </c>
    </row>
    <row r="11" spans="1:19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9" x14ac:dyDescent="0.2">
      <c r="B12" s="2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9" x14ac:dyDescent="0.2">
      <c r="B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9" x14ac:dyDescent="0.2">
      <c r="B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205">
        <f>2.4*250/60</f>
        <v>10</v>
      </c>
      <c r="Q14" s="205"/>
    </row>
    <row r="15" spans="1:19" x14ac:dyDescent="0.2">
      <c r="B15" s="10"/>
      <c r="C15" s="10"/>
      <c r="K15" s="23" t="s">
        <v>283</v>
      </c>
      <c r="L15" s="108" t="s">
        <v>202</v>
      </c>
      <c r="M15" s="108" t="s">
        <v>275</v>
      </c>
      <c r="N15" s="108" t="s">
        <v>284</v>
      </c>
      <c r="O15" s="108" t="s">
        <v>285</v>
      </c>
      <c r="P15" s="232" t="s">
        <v>294</v>
      </c>
      <c r="Q15" s="239"/>
    </row>
    <row r="16" spans="1:19" x14ac:dyDescent="0.2">
      <c r="K16" s="10">
        <v>1</v>
      </c>
      <c r="L16" s="10">
        <v>500</v>
      </c>
      <c r="M16" s="10" t="s">
        <v>288</v>
      </c>
      <c r="N16" s="10">
        <v>0</v>
      </c>
      <c r="O16" s="10">
        <v>0</v>
      </c>
      <c r="P16" s="7">
        <f>Q16-P14</f>
        <v>23.333333333333329</v>
      </c>
      <c r="Q16" s="7">
        <f>P5-1</f>
        <v>33.333333333333329</v>
      </c>
      <c r="S16">
        <f>+Q16*60</f>
        <v>1999.9999999999998</v>
      </c>
    </row>
    <row r="17" spans="2:19" x14ac:dyDescent="0.2">
      <c r="K17" s="10">
        <v>2</v>
      </c>
      <c r="L17" s="10">
        <v>500</v>
      </c>
      <c r="M17" s="10" t="s">
        <v>332</v>
      </c>
      <c r="N17" s="10">
        <v>0</v>
      </c>
      <c r="O17" s="7">
        <f>P17-Q16</f>
        <v>74.333333333333329</v>
      </c>
      <c r="P17" s="7">
        <f>Q17-P14</f>
        <v>107.66666666666666</v>
      </c>
      <c r="Q17" s="7">
        <f>P7-1</f>
        <v>117.66666666666666</v>
      </c>
      <c r="S17">
        <f>+Q17*60</f>
        <v>7059.9999999999991</v>
      </c>
    </row>
    <row r="18" spans="2:19" x14ac:dyDescent="0.2">
      <c r="K18" s="10">
        <v>3</v>
      </c>
      <c r="L18" s="10">
        <v>500</v>
      </c>
      <c r="M18" s="10" t="s">
        <v>333</v>
      </c>
      <c r="N18" s="10">
        <v>0</v>
      </c>
      <c r="O18" s="7">
        <f>P18-Q17</f>
        <v>74.333333333333314</v>
      </c>
      <c r="P18" s="7">
        <f>Q18-P14</f>
        <v>191.99999999999997</v>
      </c>
      <c r="Q18" s="7">
        <f>P9-1</f>
        <v>201.99999999999997</v>
      </c>
      <c r="S18">
        <f>+Q18*60</f>
        <v>12119.999999999998</v>
      </c>
    </row>
    <row r="19" spans="2:19" x14ac:dyDescent="0.2">
      <c r="B19" s="23"/>
      <c r="C19" s="10"/>
      <c r="D19" s="10"/>
      <c r="E19" s="10"/>
      <c r="F19" s="10"/>
      <c r="G19" s="10"/>
      <c r="H19" s="10"/>
      <c r="L19" s="10"/>
      <c r="M19" s="10"/>
      <c r="N19" s="10"/>
      <c r="O19" s="10"/>
      <c r="P19" s="10"/>
      <c r="Q19" s="10"/>
    </row>
    <row r="20" spans="2:19" x14ac:dyDescent="0.2">
      <c r="B20" s="10"/>
      <c r="D20" s="10"/>
      <c r="E20" s="10"/>
      <c r="F20" s="10"/>
      <c r="G20" s="10"/>
      <c r="H20" s="10"/>
      <c r="K20" s="10"/>
      <c r="L20" s="10"/>
      <c r="M20" s="10"/>
      <c r="N20" s="23" t="s">
        <v>284</v>
      </c>
      <c r="O20" s="10">
        <f>SUM(D5:D10,I5:I10,N5:N10,N16:N18)</f>
        <v>4</v>
      </c>
      <c r="P20" s="10"/>
      <c r="Q20" s="10"/>
    </row>
    <row r="21" spans="2:19" x14ac:dyDescent="0.2">
      <c r="B21" s="10"/>
      <c r="D21" s="10"/>
      <c r="E21" s="10"/>
      <c r="F21" s="10"/>
      <c r="G21" s="10"/>
      <c r="H21" s="10"/>
      <c r="L21" s="10"/>
      <c r="M21" s="10"/>
      <c r="N21" s="23" t="s">
        <v>285</v>
      </c>
      <c r="O21" s="10">
        <f>SUM(E5:E10,J5:J10,O5:O10,O16:O18)</f>
        <v>404.66666666666652</v>
      </c>
      <c r="P21" s="10"/>
      <c r="Q21" s="10"/>
    </row>
    <row r="22" spans="2:19" x14ac:dyDescent="0.2">
      <c r="B22" s="10"/>
      <c r="C22" s="10"/>
      <c r="L22" s="10"/>
      <c r="M22" s="10"/>
      <c r="N22" s="23" t="s">
        <v>329</v>
      </c>
      <c r="O22" s="240">
        <f>O20*250*2</f>
        <v>2000</v>
      </c>
      <c r="P22" s="240"/>
      <c r="Q22" s="10"/>
    </row>
    <row r="23" spans="2:19" x14ac:dyDescent="0.2">
      <c r="L23" s="10"/>
      <c r="M23" s="10"/>
      <c r="N23" s="10"/>
      <c r="O23" s="10"/>
      <c r="P23" s="10"/>
      <c r="Q23" s="10"/>
    </row>
    <row r="24" spans="2:19" x14ac:dyDescent="0.2">
      <c r="L24" s="10"/>
      <c r="M24" s="10"/>
      <c r="N24" s="10"/>
      <c r="O24" s="10"/>
      <c r="P24" s="10"/>
      <c r="Q24" s="10"/>
    </row>
  </sheetData>
  <mergeCells count="9">
    <mergeCell ref="P14:Q14"/>
    <mergeCell ref="P15:Q15"/>
    <mergeCell ref="O22:P22"/>
    <mergeCell ref="F3:G3"/>
    <mergeCell ref="K3:L3"/>
    <mergeCell ref="P3:Q3"/>
    <mergeCell ref="F4:G4"/>
    <mergeCell ref="K4:L4"/>
    <mergeCell ref="P4:Q4"/>
  </mergeCells>
  <pageMargins left="0.75" right="0.75" top="1" bottom="1" header="0.5" footer="0.5"/>
  <pageSetup orientation="portrait" horizontalDpi="4294967292" verticalDpi="429496729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9FE42-6E0B-1E47-9C1E-8B8C7B21944D}">
  <dimension ref="A2:V64"/>
  <sheetViews>
    <sheetView workbookViewId="0">
      <selection activeCell="J25" sqref="J25"/>
    </sheetView>
  </sheetViews>
  <sheetFormatPr baseColWidth="10" defaultRowHeight="16" x14ac:dyDescent="0.2"/>
  <cols>
    <col min="1" max="1" width="8" customWidth="1"/>
    <col min="2" max="2" width="17.1640625" bestFit="1" customWidth="1"/>
    <col min="7" max="7" width="13.5" customWidth="1"/>
    <col min="8" max="8" width="12.6640625" customWidth="1"/>
    <col min="10" max="10" width="15.1640625" customWidth="1"/>
    <col min="14" max="14" width="12.5" bestFit="1" customWidth="1"/>
    <col min="15" max="15" width="13.5" bestFit="1" customWidth="1"/>
  </cols>
  <sheetData>
    <row r="2" spans="1:16" ht="34" x14ac:dyDescent="0.4">
      <c r="A2" s="124" t="s">
        <v>334</v>
      </c>
      <c r="B2" s="125"/>
      <c r="C2" s="126" t="s">
        <v>335</v>
      </c>
      <c r="D2" s="126" t="s">
        <v>336</v>
      </c>
      <c r="E2" s="126" t="s">
        <v>219</v>
      </c>
      <c r="F2" s="127"/>
      <c r="G2" s="128" t="s">
        <v>337</v>
      </c>
      <c r="H2" s="126" t="s">
        <v>338</v>
      </c>
      <c r="K2" s="129" t="s">
        <v>339</v>
      </c>
    </row>
    <row r="3" spans="1:16" x14ac:dyDescent="0.2">
      <c r="B3" s="130" t="s">
        <v>340</v>
      </c>
      <c r="C3" s="131">
        <f>460*0.9*60</f>
        <v>24840</v>
      </c>
      <c r="D3" s="131">
        <f>+C3*0.85</f>
        <v>21114</v>
      </c>
      <c r="E3" s="132">
        <f>+D3/24</f>
        <v>879.75</v>
      </c>
      <c r="F3" s="133"/>
      <c r="G3" s="134" t="s">
        <v>180</v>
      </c>
      <c r="H3" s="131">
        <f>C8</f>
        <v>5100</v>
      </c>
      <c r="L3" s="135" t="s">
        <v>341</v>
      </c>
      <c r="M3" s="136" t="s">
        <v>342</v>
      </c>
      <c r="N3" s="137" t="s">
        <v>343</v>
      </c>
      <c r="O3" s="137" t="s">
        <v>344</v>
      </c>
      <c r="P3" s="138"/>
    </row>
    <row r="4" spans="1:16" x14ac:dyDescent="0.2">
      <c r="B4" s="130" t="s">
        <v>345</v>
      </c>
      <c r="C4" s="131">
        <v>0.5</v>
      </c>
      <c r="D4" s="133"/>
      <c r="E4" s="133"/>
      <c r="F4" s="133"/>
      <c r="G4" s="134" t="s">
        <v>182</v>
      </c>
      <c r="H4" s="131">
        <f>C9</f>
        <v>3300</v>
      </c>
      <c r="L4" s="139" t="s">
        <v>180</v>
      </c>
      <c r="M4" s="137">
        <f>+H3</f>
        <v>5100</v>
      </c>
      <c r="N4" s="263">
        <v>24</v>
      </c>
      <c r="O4" s="140">
        <f>+M4/N4</f>
        <v>212.5</v>
      </c>
      <c r="P4" s="138"/>
    </row>
    <row r="5" spans="1:16" x14ac:dyDescent="0.2">
      <c r="B5" s="133"/>
      <c r="C5" s="133"/>
      <c r="D5" s="133"/>
      <c r="E5" s="133"/>
      <c r="F5" s="133"/>
      <c r="G5" s="134" t="s">
        <v>183</v>
      </c>
      <c r="H5" s="131">
        <f>C10</f>
        <v>1000</v>
      </c>
      <c r="L5" s="135" t="s">
        <v>182</v>
      </c>
      <c r="M5" s="137">
        <f t="shared" ref="M5:M6" si="0">+H4</f>
        <v>3300</v>
      </c>
      <c r="N5" s="264"/>
      <c r="O5" s="140">
        <f>+M5/N4</f>
        <v>137.5</v>
      </c>
      <c r="P5" s="138"/>
    </row>
    <row r="6" spans="1:16" ht="17" x14ac:dyDescent="0.2">
      <c r="B6" s="266" t="s">
        <v>341</v>
      </c>
      <c r="C6" s="266" t="s">
        <v>342</v>
      </c>
      <c r="D6" s="267" t="s">
        <v>346</v>
      </c>
      <c r="E6" s="267"/>
      <c r="F6" s="133"/>
      <c r="G6" s="128" t="s">
        <v>347</v>
      </c>
      <c r="H6" s="131">
        <f>+(D8*H3)+(D9*H4)+(D10*H5)</f>
        <v>17500</v>
      </c>
      <c r="L6" s="137" t="s">
        <v>183</v>
      </c>
      <c r="M6" s="137">
        <f t="shared" si="0"/>
        <v>1000</v>
      </c>
      <c r="N6" s="265"/>
      <c r="O6" s="140">
        <f>+M6/N4</f>
        <v>41.666666666666664</v>
      </c>
      <c r="P6" s="138"/>
    </row>
    <row r="7" spans="1:16" x14ac:dyDescent="0.2">
      <c r="B7" s="266"/>
      <c r="C7" s="266"/>
      <c r="D7" s="134" t="s">
        <v>347</v>
      </c>
      <c r="E7" s="134" t="s">
        <v>348</v>
      </c>
      <c r="F7" s="133"/>
      <c r="G7" s="134" t="s">
        <v>348</v>
      </c>
      <c r="H7" s="141">
        <f>+(E8*H3)+(E9*H4)+(E10*H5)</f>
        <v>17000</v>
      </c>
      <c r="L7" s="268" t="s">
        <v>349</v>
      </c>
      <c r="M7" s="269"/>
      <c r="N7" s="142">
        <f>+E3</f>
        <v>879.75</v>
      </c>
      <c r="O7" s="138"/>
      <c r="P7" s="138"/>
    </row>
    <row r="8" spans="1:16" x14ac:dyDescent="0.2">
      <c r="B8" s="134" t="s">
        <v>180</v>
      </c>
      <c r="C8" s="137">
        <v>5100</v>
      </c>
      <c r="D8" s="137">
        <v>2</v>
      </c>
      <c r="E8" s="137">
        <v>1</v>
      </c>
      <c r="F8" s="133"/>
      <c r="G8" s="133"/>
      <c r="H8" s="133"/>
      <c r="L8" s="270" t="s">
        <v>350</v>
      </c>
      <c r="M8" s="271"/>
      <c r="N8" s="143"/>
      <c r="O8" s="138"/>
      <c r="P8" s="138"/>
    </row>
    <row r="9" spans="1:16" x14ac:dyDescent="0.2">
      <c r="B9" s="134" t="s">
        <v>182</v>
      </c>
      <c r="C9" s="137">
        <v>3300</v>
      </c>
      <c r="D9" s="137">
        <v>1</v>
      </c>
      <c r="E9" s="137">
        <v>3</v>
      </c>
      <c r="F9" s="133"/>
      <c r="G9" s="133"/>
      <c r="H9" s="133"/>
      <c r="L9" s="254" t="s">
        <v>180</v>
      </c>
      <c r="M9" s="255"/>
      <c r="N9" s="144">
        <f>+N7/O4</f>
        <v>4.1399999999999997</v>
      </c>
      <c r="O9" s="138"/>
      <c r="P9" s="138"/>
    </row>
    <row r="10" spans="1:16" x14ac:dyDescent="0.2">
      <c r="B10" s="134" t="s">
        <v>183</v>
      </c>
      <c r="C10" s="137">
        <v>1000</v>
      </c>
      <c r="D10" s="137">
        <v>4</v>
      </c>
      <c r="E10" s="137">
        <v>2</v>
      </c>
      <c r="L10" s="254" t="s">
        <v>182</v>
      </c>
      <c r="M10" s="255"/>
      <c r="N10" s="140">
        <f>+N7/O5</f>
        <v>6.3981818181818184</v>
      </c>
      <c r="O10" s="138"/>
      <c r="P10" s="138"/>
    </row>
    <row r="11" spans="1:16" x14ac:dyDescent="0.2">
      <c r="L11" s="256" t="s">
        <v>183</v>
      </c>
      <c r="M11" s="259"/>
      <c r="N11" s="140">
        <f>+N7/O6</f>
        <v>21.114000000000001</v>
      </c>
      <c r="O11" s="138"/>
      <c r="P11" s="138"/>
    </row>
    <row r="12" spans="1:16" x14ac:dyDescent="0.2">
      <c r="B12" s="260" t="s">
        <v>351</v>
      </c>
      <c r="C12" s="260"/>
      <c r="D12" s="260"/>
      <c r="E12" s="260"/>
      <c r="F12" s="260" t="s">
        <v>352</v>
      </c>
      <c r="G12" s="260"/>
      <c r="H12" s="260"/>
      <c r="I12" s="260"/>
      <c r="L12" s="261" t="s">
        <v>353</v>
      </c>
      <c r="M12" s="262"/>
      <c r="N12" s="143"/>
      <c r="O12" s="138"/>
      <c r="P12" s="138"/>
    </row>
    <row r="13" spans="1:16" x14ac:dyDescent="0.2">
      <c r="B13" s="145" t="s">
        <v>354</v>
      </c>
      <c r="C13" s="145" t="s">
        <v>355</v>
      </c>
      <c r="D13" s="145" t="s">
        <v>356</v>
      </c>
      <c r="E13" s="145" t="s">
        <v>357</v>
      </c>
      <c r="F13" s="145" t="s">
        <v>354</v>
      </c>
      <c r="G13" s="145" t="s">
        <v>355</v>
      </c>
      <c r="H13" s="145" t="s">
        <v>356</v>
      </c>
      <c r="I13" s="145" t="s">
        <v>357</v>
      </c>
      <c r="L13" s="254" t="s">
        <v>180</v>
      </c>
      <c r="M13" s="255"/>
      <c r="N13" s="140">
        <f>+N11/N9</f>
        <v>5.1000000000000005</v>
      </c>
      <c r="O13" s="138"/>
      <c r="P13" s="138"/>
    </row>
    <row r="14" spans="1:16" x14ac:dyDescent="0.2">
      <c r="B14" s="146">
        <v>7</v>
      </c>
      <c r="C14" s="146">
        <v>4</v>
      </c>
      <c r="D14" s="146">
        <v>8</v>
      </c>
      <c r="E14" s="146">
        <v>7</v>
      </c>
      <c r="F14" s="146">
        <v>3</v>
      </c>
      <c r="G14" s="146">
        <v>3</v>
      </c>
      <c r="H14" s="146">
        <v>9</v>
      </c>
      <c r="I14" s="146">
        <v>8</v>
      </c>
      <c r="L14" s="254" t="s">
        <v>182</v>
      </c>
      <c r="M14" s="255"/>
      <c r="N14" s="147">
        <f>+N11/N10</f>
        <v>3.3</v>
      </c>
      <c r="O14" s="138"/>
      <c r="P14" s="138"/>
    </row>
    <row r="15" spans="1:16" x14ac:dyDescent="0.2">
      <c r="B15" s="148">
        <v>500</v>
      </c>
      <c r="C15" s="148">
        <v>750</v>
      </c>
      <c r="D15" s="148">
        <v>1000</v>
      </c>
      <c r="E15" s="148">
        <v>1100</v>
      </c>
      <c r="F15" s="148">
        <v>1500</v>
      </c>
      <c r="G15" s="148">
        <v>1200</v>
      </c>
      <c r="H15" s="148">
        <v>850</v>
      </c>
      <c r="I15" s="148">
        <v>700</v>
      </c>
      <c r="L15" s="256" t="s">
        <v>183</v>
      </c>
      <c r="M15" s="257"/>
      <c r="N15" s="140">
        <f>+N11/N11</f>
        <v>1</v>
      </c>
      <c r="O15" s="138"/>
      <c r="P15" s="138"/>
    </row>
    <row r="16" spans="1:16" x14ac:dyDescent="0.2">
      <c r="B16" s="149"/>
      <c r="C16" s="149"/>
      <c r="D16" s="149"/>
      <c r="E16" s="149"/>
      <c r="F16" s="149"/>
      <c r="G16" s="149"/>
      <c r="H16" s="149"/>
      <c r="I16" s="149"/>
      <c r="L16" s="258" t="s">
        <v>358</v>
      </c>
      <c r="M16" s="258"/>
      <c r="N16" s="258"/>
      <c r="O16" s="138"/>
      <c r="P16" s="138"/>
    </row>
    <row r="17" spans="2:22" x14ac:dyDescent="0.2">
      <c r="B17" s="149"/>
      <c r="C17" s="149"/>
      <c r="D17" s="149"/>
      <c r="E17" s="149"/>
      <c r="F17" s="149"/>
      <c r="G17" s="149"/>
      <c r="H17" s="149"/>
      <c r="I17" s="149"/>
      <c r="L17" s="258"/>
      <c r="M17" s="258"/>
      <c r="N17" s="258"/>
      <c r="O17" s="138"/>
      <c r="P17" s="138"/>
    </row>
    <row r="18" spans="2:22" x14ac:dyDescent="0.2">
      <c r="L18" s="258"/>
      <c r="M18" s="258"/>
      <c r="N18" s="258"/>
      <c r="O18" s="138"/>
      <c r="P18" s="138"/>
    </row>
    <row r="19" spans="2:22" x14ac:dyDescent="0.2">
      <c r="L19" s="138"/>
      <c r="M19" s="138"/>
      <c r="N19" s="138"/>
      <c r="O19" s="138"/>
      <c r="P19" s="138"/>
    </row>
    <row r="20" spans="2:22" ht="34" x14ac:dyDescent="0.2">
      <c r="B20" s="128" t="s">
        <v>359</v>
      </c>
      <c r="C20" s="128" t="s">
        <v>342</v>
      </c>
      <c r="D20" s="126" t="s">
        <v>360</v>
      </c>
      <c r="E20" s="128" t="s">
        <v>361</v>
      </c>
      <c r="F20" s="128" t="s">
        <v>362</v>
      </c>
      <c r="G20" s="128" t="s">
        <v>363</v>
      </c>
      <c r="H20" s="151" t="s">
        <v>364</v>
      </c>
      <c r="L20" s="138"/>
      <c r="M20" s="138"/>
      <c r="N20" s="138"/>
      <c r="O20" s="138"/>
      <c r="P20" s="138"/>
    </row>
    <row r="21" spans="2:22" ht="17" x14ac:dyDescent="0.2">
      <c r="B21" s="152" t="s">
        <v>365</v>
      </c>
      <c r="C21" s="131">
        <f>+H7</f>
        <v>17000</v>
      </c>
      <c r="D21" s="153">
        <f>+$D$3/C21</f>
        <v>1.242</v>
      </c>
      <c r="E21" s="154">
        <f>+B14/D21</f>
        <v>5.636070853462158</v>
      </c>
      <c r="F21" s="154">
        <f>+ROUNDUP(E21,0)</f>
        <v>6</v>
      </c>
      <c r="G21" s="155">
        <f>+F21*B15</f>
        <v>3000</v>
      </c>
      <c r="H21" s="245">
        <f>MIN(G21,G22)</f>
        <v>3000</v>
      </c>
      <c r="O21" s="138"/>
      <c r="P21" s="138"/>
    </row>
    <row r="22" spans="2:22" ht="17" x14ac:dyDescent="0.2">
      <c r="B22" s="152" t="s">
        <v>366</v>
      </c>
      <c r="C22" s="131">
        <f>+H7</f>
        <v>17000</v>
      </c>
      <c r="D22" s="153">
        <f t="shared" ref="D22:D28" si="1">+$D$3/C22</f>
        <v>1.242</v>
      </c>
      <c r="E22" s="154">
        <f>+F14/D22</f>
        <v>2.4154589371980677</v>
      </c>
      <c r="F22" s="154">
        <f t="shared" ref="F22:F28" si="2">+ROUNDUP(E22,0)</f>
        <v>3</v>
      </c>
      <c r="G22" s="155">
        <f>+F22*F15</f>
        <v>4500</v>
      </c>
      <c r="H22" s="246"/>
      <c r="O22" s="138"/>
      <c r="P22" s="138"/>
    </row>
    <row r="23" spans="2:22" ht="17" x14ac:dyDescent="0.2">
      <c r="B23" s="152" t="s">
        <v>367</v>
      </c>
      <c r="C23" s="131">
        <f>+H6+H7</f>
        <v>34500</v>
      </c>
      <c r="D23" s="153">
        <f t="shared" si="1"/>
        <v>0.61199999999999999</v>
      </c>
      <c r="E23" s="154">
        <f>+C14/D23</f>
        <v>6.5359477124183005</v>
      </c>
      <c r="F23" s="154">
        <f t="shared" si="2"/>
        <v>7</v>
      </c>
      <c r="G23" s="155">
        <f>+C15*F23</f>
        <v>5250</v>
      </c>
      <c r="H23" s="245">
        <f t="shared" ref="H23" si="3">MIN(G23,G24)</f>
        <v>5250</v>
      </c>
      <c r="O23" s="138"/>
      <c r="P23" s="138"/>
    </row>
    <row r="24" spans="2:22" ht="17" x14ac:dyDescent="0.2">
      <c r="B24" s="152" t="s">
        <v>368</v>
      </c>
      <c r="C24" s="131">
        <f>+H6+H7</f>
        <v>34500</v>
      </c>
      <c r="D24" s="153">
        <f t="shared" si="1"/>
        <v>0.61199999999999999</v>
      </c>
      <c r="E24" s="154">
        <f>+G14/D24</f>
        <v>4.9019607843137258</v>
      </c>
      <c r="F24" s="154">
        <f t="shared" si="2"/>
        <v>5</v>
      </c>
      <c r="G24" s="155">
        <f>+G15*F24</f>
        <v>6000</v>
      </c>
      <c r="H24" s="246"/>
      <c r="O24" s="138"/>
      <c r="P24" s="138"/>
    </row>
    <row r="25" spans="2:22" ht="17" x14ac:dyDescent="0.2">
      <c r="B25" s="152" t="s">
        <v>369</v>
      </c>
      <c r="C25" s="131">
        <f>+H6</f>
        <v>17500</v>
      </c>
      <c r="D25" s="153">
        <f t="shared" si="1"/>
        <v>1.2065142857142857</v>
      </c>
      <c r="E25" s="154">
        <f>+D14/D25</f>
        <v>6.6306715923084214</v>
      </c>
      <c r="F25" s="154">
        <f t="shared" si="2"/>
        <v>7</v>
      </c>
      <c r="G25" s="155">
        <f>+D15*F25</f>
        <v>7000</v>
      </c>
      <c r="H25" s="245">
        <f t="shared" ref="H25" si="4">MIN(G25,G26)</f>
        <v>6800</v>
      </c>
      <c r="O25" s="138"/>
      <c r="P25" s="138"/>
    </row>
    <row r="26" spans="2:22" ht="17" x14ac:dyDescent="0.2">
      <c r="B26" s="152" t="s">
        <v>370</v>
      </c>
      <c r="C26" s="131">
        <f>+H6</f>
        <v>17500</v>
      </c>
      <c r="D26" s="153">
        <f t="shared" si="1"/>
        <v>1.2065142857142857</v>
      </c>
      <c r="E26" s="154">
        <f>+H14/D26</f>
        <v>7.4595055413469744</v>
      </c>
      <c r="F26" s="154">
        <f t="shared" si="2"/>
        <v>8</v>
      </c>
      <c r="G26" s="155">
        <f>+H15*F26</f>
        <v>6800</v>
      </c>
      <c r="H26" s="246"/>
      <c r="O26" s="138"/>
      <c r="P26" s="138"/>
    </row>
    <row r="27" spans="2:22" ht="17" x14ac:dyDescent="0.2">
      <c r="B27" s="152" t="s">
        <v>371</v>
      </c>
      <c r="C27" s="131">
        <f>+H3+H4+H5</f>
        <v>9400</v>
      </c>
      <c r="D27" s="153">
        <f t="shared" si="1"/>
        <v>2.2461702127659575</v>
      </c>
      <c r="E27" s="154">
        <f>+E14/D27</f>
        <v>3.1164156483849577</v>
      </c>
      <c r="F27" s="154">
        <f t="shared" si="2"/>
        <v>4</v>
      </c>
      <c r="G27" s="155">
        <f>+E15*F27</f>
        <v>4400</v>
      </c>
      <c r="H27" s="245">
        <f t="shared" ref="H27" si="5">MIN(G27,G28)</f>
        <v>2800</v>
      </c>
    </row>
    <row r="28" spans="2:22" ht="17" x14ac:dyDescent="0.2">
      <c r="B28" s="152" t="s">
        <v>372</v>
      </c>
      <c r="C28" s="131">
        <f>+H3+H4+H5</f>
        <v>9400</v>
      </c>
      <c r="D28" s="153">
        <f t="shared" si="1"/>
        <v>2.2461702127659575</v>
      </c>
      <c r="E28" s="154">
        <f>+I14/D28</f>
        <v>3.5616178838685233</v>
      </c>
      <c r="F28" s="154">
        <f t="shared" si="2"/>
        <v>4</v>
      </c>
      <c r="G28" s="155">
        <f>+I15*F28</f>
        <v>2800</v>
      </c>
      <c r="H28" s="246"/>
    </row>
    <row r="29" spans="2:22" ht="18" x14ac:dyDescent="0.2">
      <c r="G29" s="156" t="s">
        <v>373</v>
      </c>
      <c r="H29" s="157">
        <f>SUM(H21:H28)</f>
        <v>17850</v>
      </c>
    </row>
    <row r="30" spans="2:22" ht="34" x14ac:dyDescent="0.4">
      <c r="B30" s="129" t="s">
        <v>374</v>
      </c>
    </row>
    <row r="31" spans="2:22" ht="16" customHeight="1" x14ac:dyDescent="0.2">
      <c r="N31" s="247"/>
      <c r="O31" s="247"/>
      <c r="P31" s="247"/>
      <c r="Q31" s="247"/>
      <c r="R31" s="247"/>
      <c r="S31" s="247"/>
      <c r="T31" s="247"/>
      <c r="U31" s="247"/>
      <c r="V31" s="247"/>
    </row>
    <row r="32" spans="2:22" ht="34" customHeight="1" x14ac:dyDescent="0.2">
      <c r="B32" s="248" t="s">
        <v>375</v>
      </c>
      <c r="C32" s="249"/>
      <c r="D32" s="249"/>
      <c r="E32" s="250"/>
      <c r="F32" s="248" t="s">
        <v>376</v>
      </c>
      <c r="G32" s="249"/>
      <c r="H32" s="250"/>
      <c r="I32" s="128" t="s">
        <v>377</v>
      </c>
      <c r="J32" s="128" t="s">
        <v>378</v>
      </c>
      <c r="K32" s="128" t="s">
        <v>379</v>
      </c>
      <c r="L32" s="128" t="s">
        <v>380</v>
      </c>
      <c r="M32" s="128" t="s">
        <v>373</v>
      </c>
      <c r="N32" s="128" t="s">
        <v>381</v>
      </c>
    </row>
    <row r="33" spans="2:14" x14ac:dyDescent="0.2">
      <c r="B33" s="130"/>
      <c r="C33" s="251" t="s">
        <v>382</v>
      </c>
      <c r="D33" s="252"/>
      <c r="E33" s="253"/>
      <c r="F33" s="126" t="s">
        <v>180</v>
      </c>
      <c r="G33" s="126" t="s">
        <v>182</v>
      </c>
      <c r="H33" s="126" t="s">
        <v>183</v>
      </c>
      <c r="I33" s="128"/>
      <c r="J33" s="128"/>
      <c r="K33" s="128"/>
      <c r="L33" s="128"/>
      <c r="M33" s="128"/>
      <c r="N33" s="128"/>
    </row>
    <row r="34" spans="2:14" x14ac:dyDescent="0.2">
      <c r="B34" s="126" t="s">
        <v>359</v>
      </c>
      <c r="C34" s="126" t="s">
        <v>180</v>
      </c>
      <c r="D34" s="126" t="s">
        <v>182</v>
      </c>
      <c r="E34" s="126" t="s">
        <v>183</v>
      </c>
      <c r="F34" s="140">
        <f>+F48</f>
        <v>1552</v>
      </c>
      <c r="G34" s="140">
        <f>+F49</f>
        <v>1035</v>
      </c>
      <c r="H34" s="140">
        <f>+F50</f>
        <v>517</v>
      </c>
      <c r="I34" s="128"/>
      <c r="J34" s="128"/>
      <c r="K34" s="128"/>
      <c r="L34" s="128"/>
      <c r="M34" s="128"/>
      <c r="N34" s="128"/>
    </row>
    <row r="35" spans="2:14" ht="17" x14ac:dyDescent="0.2">
      <c r="B35" s="152" t="s">
        <v>371</v>
      </c>
      <c r="C35" s="137">
        <f>+E14</f>
        <v>7</v>
      </c>
      <c r="D35" s="137">
        <f>+E14</f>
        <v>7</v>
      </c>
      <c r="E35" s="137">
        <f>+E14</f>
        <v>7</v>
      </c>
      <c r="F35" s="137">
        <f>+$F$34*C35</f>
        <v>10864</v>
      </c>
      <c r="G35" s="137">
        <f>+$G$34*D35</f>
        <v>7245</v>
      </c>
      <c r="H35" s="137">
        <f>+$H$34*E35</f>
        <v>3619</v>
      </c>
      <c r="I35" s="137">
        <f>+$C$3</f>
        <v>24840</v>
      </c>
      <c r="J35" s="137">
        <f>(F35+G35+H35)/L35</f>
        <v>10864</v>
      </c>
      <c r="K35" s="158">
        <f>+J35/I35</f>
        <v>0.43735909822866342</v>
      </c>
      <c r="L35" s="140">
        <v>2</v>
      </c>
      <c r="M35" s="155">
        <f>+L35*E15</f>
        <v>2200</v>
      </c>
      <c r="N35" s="159">
        <f>K35</f>
        <v>0.43735909822866342</v>
      </c>
    </row>
    <row r="36" spans="2:14" ht="17" x14ac:dyDescent="0.2">
      <c r="B36" s="152" t="s">
        <v>366</v>
      </c>
      <c r="C36" s="137">
        <f>+E8*F14</f>
        <v>3</v>
      </c>
      <c r="D36" s="137">
        <f>+E9*F14</f>
        <v>9</v>
      </c>
      <c r="E36" s="137">
        <f>+E10*F14</f>
        <v>6</v>
      </c>
      <c r="F36" s="137">
        <f t="shared" ref="F36:F38" si="6">+$F$34*C36</f>
        <v>4656</v>
      </c>
      <c r="G36" s="137">
        <f t="shared" ref="G36:G38" si="7">+$G$34*D36</f>
        <v>9315</v>
      </c>
      <c r="H36" s="137">
        <f t="shared" ref="H36:H38" si="8">+$H$34*E36</f>
        <v>3102</v>
      </c>
      <c r="I36" s="137">
        <f t="shared" ref="I36:I38" si="9">+$C$3</f>
        <v>24840</v>
      </c>
      <c r="J36" s="137">
        <f>(F36+G36+H36)/L36</f>
        <v>8536.5</v>
      </c>
      <c r="K36" s="158">
        <f t="shared" ref="K36:K38" si="10">+J36/I36</f>
        <v>0.34365942028985508</v>
      </c>
      <c r="L36" s="140">
        <v>2</v>
      </c>
      <c r="M36" s="155">
        <f>+L36*F15</f>
        <v>3000</v>
      </c>
      <c r="N36" s="159">
        <f t="shared" ref="N36:N38" si="11">K36</f>
        <v>0.34365942028985508</v>
      </c>
    </row>
    <row r="37" spans="2:14" ht="17" x14ac:dyDescent="0.2">
      <c r="B37" s="152" t="s">
        <v>368</v>
      </c>
      <c r="C37" s="137">
        <f>+(D8*G14)+(E8*G14)</f>
        <v>9</v>
      </c>
      <c r="D37" s="137">
        <f>+(D9*G14)+(E9*G14)</f>
        <v>12</v>
      </c>
      <c r="E37" s="137">
        <f>+(D10*G14)+(E10*G14)</f>
        <v>18</v>
      </c>
      <c r="F37" s="137">
        <f t="shared" si="6"/>
        <v>13968</v>
      </c>
      <c r="G37" s="137">
        <f t="shared" si="7"/>
        <v>12420</v>
      </c>
      <c r="H37" s="137">
        <f t="shared" si="8"/>
        <v>9306</v>
      </c>
      <c r="I37" s="137">
        <f t="shared" si="9"/>
        <v>24840</v>
      </c>
      <c r="J37" s="137">
        <f>(F37+G37+H37)/2</f>
        <v>17847</v>
      </c>
      <c r="K37" s="158">
        <f t="shared" si="10"/>
        <v>0.71847826086956523</v>
      </c>
      <c r="L37" s="140">
        <v>2</v>
      </c>
      <c r="M37" s="155">
        <f>+L37*G15</f>
        <v>2400</v>
      </c>
      <c r="N37" s="159">
        <f t="shared" si="11"/>
        <v>0.71847826086956523</v>
      </c>
    </row>
    <row r="38" spans="2:14" ht="17" x14ac:dyDescent="0.2">
      <c r="B38" s="152" t="s">
        <v>369</v>
      </c>
      <c r="C38" s="137">
        <f>+D8*D14</f>
        <v>16</v>
      </c>
      <c r="D38" s="137">
        <f>+D9*D14</f>
        <v>8</v>
      </c>
      <c r="E38" s="137">
        <f>+D10*D14</f>
        <v>32</v>
      </c>
      <c r="F38" s="137">
        <f t="shared" si="6"/>
        <v>24832</v>
      </c>
      <c r="G38" s="137">
        <f t="shared" si="7"/>
        <v>8280</v>
      </c>
      <c r="H38" s="137">
        <f t="shared" si="8"/>
        <v>16544</v>
      </c>
      <c r="I38" s="137">
        <f t="shared" si="9"/>
        <v>24840</v>
      </c>
      <c r="J38" s="137">
        <f>(F38+G38+H38)/2</f>
        <v>24828</v>
      </c>
      <c r="K38" s="158">
        <f t="shared" si="10"/>
        <v>0.99951690821256034</v>
      </c>
      <c r="L38" s="140">
        <v>2</v>
      </c>
      <c r="M38" s="155">
        <f>+L38*D15</f>
        <v>2000</v>
      </c>
      <c r="N38" s="159">
        <f t="shared" si="11"/>
        <v>0.99951690821256034</v>
      </c>
    </row>
    <row r="39" spans="2:14" ht="19" thickBot="1" x14ac:dyDescent="0.25">
      <c r="M39" s="157">
        <f>SUM(M35:M38)</f>
        <v>9600</v>
      </c>
    </row>
    <row r="40" spans="2:14" x14ac:dyDescent="0.2">
      <c r="B40" s="241" t="s">
        <v>383</v>
      </c>
      <c r="C40" s="160" t="s">
        <v>180</v>
      </c>
      <c r="D40" s="160" t="s">
        <v>182</v>
      </c>
      <c r="E40" s="160" t="s">
        <v>183</v>
      </c>
      <c r="F40" s="161" t="s">
        <v>384</v>
      </c>
      <c r="M40" s="133"/>
    </row>
    <row r="41" spans="2:14" x14ac:dyDescent="0.2">
      <c r="B41" s="242"/>
      <c r="C41" s="138">
        <v>3</v>
      </c>
      <c r="D41" s="138">
        <v>2</v>
      </c>
      <c r="E41" s="138">
        <v>1</v>
      </c>
      <c r="F41" s="163">
        <f>C3*2</f>
        <v>49680</v>
      </c>
    </row>
    <row r="42" spans="2:14" x14ac:dyDescent="0.2">
      <c r="B42" s="162"/>
      <c r="C42" s="138">
        <f>C38</f>
        <v>16</v>
      </c>
      <c r="D42" s="138">
        <f>D38</f>
        <v>8</v>
      </c>
      <c r="E42" s="138">
        <f>E38</f>
        <v>32</v>
      </c>
      <c r="F42" s="163"/>
    </row>
    <row r="43" spans="2:14" x14ac:dyDescent="0.2">
      <c r="B43" s="162"/>
      <c r="C43" s="138"/>
      <c r="D43" s="138"/>
      <c r="E43" s="138">
        <f>(C41*C42)+(D41*D42)+(E41*E42)</f>
        <v>96</v>
      </c>
      <c r="F43" s="163">
        <f>F41</f>
        <v>49680</v>
      </c>
    </row>
    <row r="44" spans="2:14" x14ac:dyDescent="0.2">
      <c r="B44" s="162"/>
      <c r="C44" s="138"/>
      <c r="D44" s="138"/>
      <c r="E44" s="138">
        <f>F43/E43</f>
        <v>517.5</v>
      </c>
      <c r="F44" s="163"/>
    </row>
    <row r="45" spans="2:14" x14ac:dyDescent="0.2">
      <c r="B45" s="162"/>
      <c r="C45" s="138" t="s">
        <v>180</v>
      </c>
      <c r="D45" s="138" t="s">
        <v>182</v>
      </c>
      <c r="E45" s="138" t="s">
        <v>183</v>
      </c>
      <c r="F45" s="163"/>
    </row>
    <row r="46" spans="2:14" x14ac:dyDescent="0.2">
      <c r="B46" s="162"/>
      <c r="C46" s="164">
        <f>ROUNDDOWN(E44*C41,0)</f>
        <v>1552</v>
      </c>
      <c r="D46" s="164">
        <f>ROUNDDOWN(E44*D41,0)</f>
        <v>1035</v>
      </c>
      <c r="E46" s="138">
        <f>ROUNDDOWN(E44*E41,0)</f>
        <v>517</v>
      </c>
      <c r="F46" s="163"/>
    </row>
    <row r="47" spans="2:14" x14ac:dyDescent="0.2">
      <c r="B47" s="165"/>
      <c r="C47" s="138"/>
      <c r="D47" s="138"/>
      <c r="E47" s="138"/>
      <c r="F47" s="166"/>
    </row>
    <row r="48" spans="2:14" x14ac:dyDescent="0.2">
      <c r="B48" s="167"/>
      <c r="D48" s="150" t="s">
        <v>385</v>
      </c>
      <c r="E48" s="138" t="s">
        <v>386</v>
      </c>
      <c r="F48" s="163">
        <f>C46</f>
        <v>1552</v>
      </c>
    </row>
    <row r="49" spans="2:8" x14ac:dyDescent="0.2">
      <c r="B49" s="167"/>
      <c r="D49" s="150"/>
      <c r="E49" s="138" t="s">
        <v>387</v>
      </c>
      <c r="F49" s="163">
        <f>D46</f>
        <v>1035</v>
      </c>
    </row>
    <row r="50" spans="2:8" ht="17" thickBot="1" x14ac:dyDescent="0.25">
      <c r="B50" s="168"/>
      <c r="C50" s="169"/>
      <c r="D50" s="169"/>
      <c r="E50" s="170" t="s">
        <v>388</v>
      </c>
      <c r="F50" s="171">
        <f>E46</f>
        <v>517</v>
      </c>
    </row>
    <row r="52" spans="2:8" x14ac:dyDescent="0.2">
      <c r="B52" s="133"/>
      <c r="C52" s="133"/>
      <c r="D52" s="133"/>
      <c r="E52" s="133"/>
      <c r="F52" s="133"/>
      <c r="G52" s="133"/>
      <c r="H52" s="133"/>
    </row>
    <row r="53" spans="2:8" x14ac:dyDescent="0.2">
      <c r="B53" s="133"/>
      <c r="C53" s="133"/>
      <c r="D53" s="133"/>
      <c r="E53" s="133"/>
      <c r="F53" s="133"/>
      <c r="G53" s="133"/>
      <c r="H53" s="133"/>
    </row>
    <row r="54" spans="2:8" x14ac:dyDescent="0.2">
      <c r="B54" s="131" t="s">
        <v>389</v>
      </c>
      <c r="C54" s="172">
        <f>M39</f>
        <v>9600</v>
      </c>
      <c r="D54" s="133"/>
      <c r="E54" s="133"/>
      <c r="F54" s="133"/>
      <c r="G54" s="133"/>
      <c r="H54" s="133"/>
    </row>
    <row r="55" spans="2:8" x14ac:dyDescent="0.2">
      <c r="B55" s="131" t="s">
        <v>390</v>
      </c>
      <c r="C55" s="141" t="s">
        <v>391</v>
      </c>
      <c r="D55" s="133"/>
      <c r="E55" s="133"/>
      <c r="F55" s="133"/>
      <c r="G55" s="133"/>
      <c r="H55" s="133"/>
    </row>
    <row r="56" spans="2:8" x14ac:dyDescent="0.2">
      <c r="B56" s="131" t="s">
        <v>392</v>
      </c>
      <c r="C56" s="131"/>
      <c r="D56" s="133"/>
      <c r="E56" s="133"/>
      <c r="F56" s="133"/>
      <c r="G56" s="133"/>
      <c r="H56" s="133"/>
    </row>
    <row r="57" spans="2:8" ht="17" x14ac:dyDescent="0.2">
      <c r="B57" s="152" t="s">
        <v>371</v>
      </c>
      <c r="C57" s="173">
        <f>N35</f>
        <v>0.43735909822866342</v>
      </c>
      <c r="D57" s="133"/>
      <c r="E57" s="133"/>
      <c r="F57" s="133"/>
      <c r="G57" s="133"/>
      <c r="H57" s="133"/>
    </row>
    <row r="58" spans="2:8" ht="17" x14ac:dyDescent="0.2">
      <c r="B58" s="152" t="s">
        <v>366</v>
      </c>
      <c r="C58" s="173">
        <f t="shared" ref="C58:C60" si="12">N36</f>
        <v>0.34365942028985508</v>
      </c>
      <c r="D58" s="133"/>
      <c r="E58" s="133"/>
      <c r="F58" s="133"/>
      <c r="G58" s="133"/>
      <c r="H58" s="133"/>
    </row>
    <row r="59" spans="2:8" ht="17" x14ac:dyDescent="0.2">
      <c r="B59" s="152" t="s">
        <v>368</v>
      </c>
      <c r="C59" s="173">
        <f t="shared" si="12"/>
        <v>0.71847826086956523</v>
      </c>
      <c r="D59" s="133"/>
      <c r="E59" s="133"/>
      <c r="F59" s="133"/>
      <c r="G59" s="133"/>
      <c r="H59" s="133"/>
    </row>
    <row r="60" spans="2:8" ht="17" x14ac:dyDescent="0.2">
      <c r="B60" s="152" t="s">
        <v>369</v>
      </c>
      <c r="C60" s="173">
        <f t="shared" si="12"/>
        <v>0.99951690821256034</v>
      </c>
      <c r="D60" s="133"/>
      <c r="E60" s="133"/>
      <c r="F60" s="133"/>
      <c r="G60" s="133"/>
      <c r="H60" s="133"/>
    </row>
    <row r="61" spans="2:8" x14ac:dyDescent="0.2">
      <c r="B61" s="174" t="s">
        <v>393</v>
      </c>
      <c r="C61" s="243" t="s">
        <v>394</v>
      </c>
      <c r="D61" s="243"/>
      <c r="E61" s="243"/>
      <c r="F61" s="243"/>
      <c r="G61" s="133"/>
      <c r="H61" s="133"/>
    </row>
    <row r="62" spans="2:8" x14ac:dyDescent="0.2">
      <c r="B62" s="131" t="s">
        <v>395</v>
      </c>
      <c r="C62" s="244" t="s">
        <v>396</v>
      </c>
      <c r="D62" s="244"/>
      <c r="E62" s="244"/>
      <c r="F62" s="244"/>
      <c r="G62" s="244"/>
      <c r="H62" s="133"/>
    </row>
    <row r="63" spans="2:8" x14ac:dyDescent="0.2">
      <c r="B63" s="133"/>
      <c r="C63" s="133"/>
      <c r="D63" s="133"/>
      <c r="E63" s="133"/>
      <c r="F63" s="133"/>
      <c r="G63" s="133"/>
      <c r="H63" s="133"/>
    </row>
    <row r="64" spans="2:8" x14ac:dyDescent="0.2">
      <c r="B64" s="133"/>
      <c r="C64" s="133"/>
      <c r="D64" s="133"/>
      <c r="E64" s="133"/>
      <c r="F64" s="133"/>
      <c r="G64" s="133"/>
      <c r="H64" s="133"/>
    </row>
  </sheetData>
  <mergeCells count="27">
    <mergeCell ref="L8:M8"/>
    <mergeCell ref="N4:N6"/>
    <mergeCell ref="B6:B7"/>
    <mergeCell ref="C6:C7"/>
    <mergeCell ref="D6:E6"/>
    <mergeCell ref="L7:M7"/>
    <mergeCell ref="L9:M9"/>
    <mergeCell ref="L10:M10"/>
    <mergeCell ref="L11:M11"/>
    <mergeCell ref="B12:E12"/>
    <mergeCell ref="F12:I12"/>
    <mergeCell ref="L12:M12"/>
    <mergeCell ref="N31:V31"/>
    <mergeCell ref="B32:E32"/>
    <mergeCell ref="F32:H32"/>
    <mergeCell ref="C33:E33"/>
    <mergeCell ref="L13:M13"/>
    <mergeCell ref="L14:M14"/>
    <mergeCell ref="L15:M15"/>
    <mergeCell ref="L16:N18"/>
    <mergeCell ref="H21:H22"/>
    <mergeCell ref="H23:H24"/>
    <mergeCell ref="B40:B41"/>
    <mergeCell ref="C61:F61"/>
    <mergeCell ref="C62:G62"/>
    <mergeCell ref="H25:H26"/>
    <mergeCell ref="H27:H2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17661-32D3-E346-82CB-9AA84467D6EB}">
  <dimension ref="A1:L43"/>
  <sheetViews>
    <sheetView zoomScaleNormal="100" workbookViewId="0">
      <selection activeCell="B17" sqref="B17"/>
    </sheetView>
  </sheetViews>
  <sheetFormatPr baseColWidth="10" defaultRowHeight="13" x14ac:dyDescent="0.15"/>
  <cols>
    <col min="1" max="7" width="10.83203125" style="177"/>
    <col min="8" max="8" width="14.1640625" style="177" customWidth="1"/>
    <col min="9" max="10" width="10.83203125" style="177"/>
    <col min="11" max="11" width="12" style="177" customWidth="1"/>
    <col min="12" max="12" width="12.6640625" style="177" customWidth="1"/>
    <col min="13" max="255" width="10.83203125" style="177"/>
    <col min="256" max="256" width="14.1640625" style="177" customWidth="1"/>
    <col min="257" max="258" width="10.83203125" style="177"/>
    <col min="259" max="259" width="12" style="177" customWidth="1"/>
    <col min="260" max="260" width="12.6640625" style="177" customWidth="1"/>
    <col min="261" max="261" width="10.83203125" style="177"/>
    <col min="262" max="262" width="13.5" style="177" customWidth="1"/>
    <col min="263" max="265" width="10.83203125" style="177"/>
    <col min="266" max="266" width="12.33203125" style="177" bestFit="1" customWidth="1"/>
    <col min="267" max="267" width="4.83203125" style="177" customWidth="1"/>
    <col min="268" max="511" width="10.83203125" style="177"/>
    <col min="512" max="512" width="14.1640625" style="177" customWidth="1"/>
    <col min="513" max="514" width="10.83203125" style="177"/>
    <col min="515" max="515" width="12" style="177" customWidth="1"/>
    <col min="516" max="516" width="12.6640625" style="177" customWidth="1"/>
    <col min="517" max="517" width="10.83203125" style="177"/>
    <col min="518" max="518" width="13.5" style="177" customWidth="1"/>
    <col min="519" max="521" width="10.83203125" style="177"/>
    <col min="522" max="522" width="12.33203125" style="177" bestFit="1" customWidth="1"/>
    <col min="523" max="523" width="4.83203125" style="177" customWidth="1"/>
    <col min="524" max="767" width="10.83203125" style="177"/>
    <col min="768" max="768" width="14.1640625" style="177" customWidth="1"/>
    <col min="769" max="770" width="10.83203125" style="177"/>
    <col min="771" max="771" width="12" style="177" customWidth="1"/>
    <col min="772" max="772" width="12.6640625" style="177" customWidth="1"/>
    <col min="773" max="773" width="10.83203125" style="177"/>
    <col min="774" max="774" width="13.5" style="177" customWidth="1"/>
    <col min="775" max="777" width="10.83203125" style="177"/>
    <col min="778" max="778" width="12.33203125" style="177" bestFit="1" customWidth="1"/>
    <col min="779" max="779" width="4.83203125" style="177" customWidth="1"/>
    <col min="780" max="1023" width="10.83203125" style="177"/>
    <col min="1024" max="1024" width="14.1640625" style="177" customWidth="1"/>
    <col min="1025" max="1026" width="10.83203125" style="177"/>
    <col min="1027" max="1027" width="12" style="177" customWidth="1"/>
    <col min="1028" max="1028" width="12.6640625" style="177" customWidth="1"/>
    <col min="1029" max="1029" width="10.83203125" style="177"/>
    <col min="1030" max="1030" width="13.5" style="177" customWidth="1"/>
    <col min="1031" max="1033" width="10.83203125" style="177"/>
    <col min="1034" max="1034" width="12.33203125" style="177" bestFit="1" customWidth="1"/>
    <col min="1035" max="1035" width="4.83203125" style="177" customWidth="1"/>
    <col min="1036" max="1279" width="10.83203125" style="177"/>
    <col min="1280" max="1280" width="14.1640625" style="177" customWidth="1"/>
    <col min="1281" max="1282" width="10.83203125" style="177"/>
    <col min="1283" max="1283" width="12" style="177" customWidth="1"/>
    <col min="1284" max="1284" width="12.6640625" style="177" customWidth="1"/>
    <col min="1285" max="1285" width="10.83203125" style="177"/>
    <col min="1286" max="1286" width="13.5" style="177" customWidth="1"/>
    <col min="1287" max="1289" width="10.83203125" style="177"/>
    <col min="1290" max="1290" width="12.33203125" style="177" bestFit="1" customWidth="1"/>
    <col min="1291" max="1291" width="4.83203125" style="177" customWidth="1"/>
    <col min="1292" max="1535" width="10.83203125" style="177"/>
    <col min="1536" max="1536" width="14.1640625" style="177" customWidth="1"/>
    <col min="1537" max="1538" width="10.83203125" style="177"/>
    <col min="1539" max="1539" width="12" style="177" customWidth="1"/>
    <col min="1540" max="1540" width="12.6640625" style="177" customWidth="1"/>
    <col min="1541" max="1541" width="10.83203125" style="177"/>
    <col min="1542" max="1542" width="13.5" style="177" customWidth="1"/>
    <col min="1543" max="1545" width="10.83203125" style="177"/>
    <col min="1546" max="1546" width="12.33203125" style="177" bestFit="1" customWidth="1"/>
    <col min="1547" max="1547" width="4.83203125" style="177" customWidth="1"/>
    <col min="1548" max="1791" width="10.83203125" style="177"/>
    <col min="1792" max="1792" width="14.1640625" style="177" customWidth="1"/>
    <col min="1793" max="1794" width="10.83203125" style="177"/>
    <col min="1795" max="1795" width="12" style="177" customWidth="1"/>
    <col min="1796" max="1796" width="12.6640625" style="177" customWidth="1"/>
    <col min="1797" max="1797" width="10.83203125" style="177"/>
    <col min="1798" max="1798" width="13.5" style="177" customWidth="1"/>
    <col min="1799" max="1801" width="10.83203125" style="177"/>
    <col min="1802" max="1802" width="12.33203125" style="177" bestFit="1" customWidth="1"/>
    <col min="1803" max="1803" width="4.83203125" style="177" customWidth="1"/>
    <col min="1804" max="2047" width="10.83203125" style="177"/>
    <col min="2048" max="2048" width="14.1640625" style="177" customWidth="1"/>
    <col min="2049" max="2050" width="10.83203125" style="177"/>
    <col min="2051" max="2051" width="12" style="177" customWidth="1"/>
    <col min="2052" max="2052" width="12.6640625" style="177" customWidth="1"/>
    <col min="2053" max="2053" width="10.83203125" style="177"/>
    <col min="2054" max="2054" width="13.5" style="177" customWidth="1"/>
    <col min="2055" max="2057" width="10.83203125" style="177"/>
    <col min="2058" max="2058" width="12.33203125" style="177" bestFit="1" customWidth="1"/>
    <col min="2059" max="2059" width="4.83203125" style="177" customWidth="1"/>
    <col min="2060" max="2303" width="10.83203125" style="177"/>
    <col min="2304" max="2304" width="14.1640625" style="177" customWidth="1"/>
    <col min="2305" max="2306" width="10.83203125" style="177"/>
    <col min="2307" max="2307" width="12" style="177" customWidth="1"/>
    <col min="2308" max="2308" width="12.6640625" style="177" customWidth="1"/>
    <col min="2309" max="2309" width="10.83203125" style="177"/>
    <col min="2310" max="2310" width="13.5" style="177" customWidth="1"/>
    <col min="2311" max="2313" width="10.83203125" style="177"/>
    <col min="2314" max="2314" width="12.33203125" style="177" bestFit="1" customWidth="1"/>
    <col min="2315" max="2315" width="4.83203125" style="177" customWidth="1"/>
    <col min="2316" max="2559" width="10.83203125" style="177"/>
    <col min="2560" max="2560" width="14.1640625" style="177" customWidth="1"/>
    <col min="2561" max="2562" width="10.83203125" style="177"/>
    <col min="2563" max="2563" width="12" style="177" customWidth="1"/>
    <col min="2564" max="2564" width="12.6640625" style="177" customWidth="1"/>
    <col min="2565" max="2565" width="10.83203125" style="177"/>
    <col min="2566" max="2566" width="13.5" style="177" customWidth="1"/>
    <col min="2567" max="2569" width="10.83203125" style="177"/>
    <col min="2570" max="2570" width="12.33203125" style="177" bestFit="1" customWidth="1"/>
    <col min="2571" max="2571" width="4.83203125" style="177" customWidth="1"/>
    <col min="2572" max="2815" width="10.83203125" style="177"/>
    <col min="2816" max="2816" width="14.1640625" style="177" customWidth="1"/>
    <col min="2817" max="2818" width="10.83203125" style="177"/>
    <col min="2819" max="2819" width="12" style="177" customWidth="1"/>
    <col min="2820" max="2820" width="12.6640625" style="177" customWidth="1"/>
    <col min="2821" max="2821" width="10.83203125" style="177"/>
    <col min="2822" max="2822" width="13.5" style="177" customWidth="1"/>
    <col min="2823" max="2825" width="10.83203125" style="177"/>
    <col min="2826" max="2826" width="12.33203125" style="177" bestFit="1" customWidth="1"/>
    <col min="2827" max="2827" width="4.83203125" style="177" customWidth="1"/>
    <col min="2828" max="3071" width="10.83203125" style="177"/>
    <col min="3072" max="3072" width="14.1640625" style="177" customWidth="1"/>
    <col min="3073" max="3074" width="10.83203125" style="177"/>
    <col min="3075" max="3075" width="12" style="177" customWidth="1"/>
    <col min="3076" max="3076" width="12.6640625" style="177" customWidth="1"/>
    <col min="3077" max="3077" width="10.83203125" style="177"/>
    <col min="3078" max="3078" width="13.5" style="177" customWidth="1"/>
    <col min="3079" max="3081" width="10.83203125" style="177"/>
    <col min="3082" max="3082" width="12.33203125" style="177" bestFit="1" customWidth="1"/>
    <col min="3083" max="3083" width="4.83203125" style="177" customWidth="1"/>
    <col min="3084" max="3327" width="10.83203125" style="177"/>
    <col min="3328" max="3328" width="14.1640625" style="177" customWidth="1"/>
    <col min="3329" max="3330" width="10.83203125" style="177"/>
    <col min="3331" max="3331" width="12" style="177" customWidth="1"/>
    <col min="3332" max="3332" width="12.6640625" style="177" customWidth="1"/>
    <col min="3333" max="3333" width="10.83203125" style="177"/>
    <col min="3334" max="3334" width="13.5" style="177" customWidth="1"/>
    <col min="3335" max="3337" width="10.83203125" style="177"/>
    <col min="3338" max="3338" width="12.33203125" style="177" bestFit="1" customWidth="1"/>
    <col min="3339" max="3339" width="4.83203125" style="177" customWidth="1"/>
    <col min="3340" max="3583" width="10.83203125" style="177"/>
    <col min="3584" max="3584" width="14.1640625" style="177" customWidth="1"/>
    <col min="3585" max="3586" width="10.83203125" style="177"/>
    <col min="3587" max="3587" width="12" style="177" customWidth="1"/>
    <col min="3588" max="3588" width="12.6640625" style="177" customWidth="1"/>
    <col min="3589" max="3589" width="10.83203125" style="177"/>
    <col min="3590" max="3590" width="13.5" style="177" customWidth="1"/>
    <col min="3591" max="3593" width="10.83203125" style="177"/>
    <col min="3594" max="3594" width="12.33203125" style="177" bestFit="1" customWidth="1"/>
    <col min="3595" max="3595" width="4.83203125" style="177" customWidth="1"/>
    <col min="3596" max="3839" width="10.83203125" style="177"/>
    <col min="3840" max="3840" width="14.1640625" style="177" customWidth="1"/>
    <col min="3841" max="3842" width="10.83203125" style="177"/>
    <col min="3843" max="3843" width="12" style="177" customWidth="1"/>
    <col min="3844" max="3844" width="12.6640625" style="177" customWidth="1"/>
    <col min="3845" max="3845" width="10.83203125" style="177"/>
    <col min="3846" max="3846" width="13.5" style="177" customWidth="1"/>
    <col min="3847" max="3849" width="10.83203125" style="177"/>
    <col min="3850" max="3850" width="12.33203125" style="177" bestFit="1" customWidth="1"/>
    <col min="3851" max="3851" width="4.83203125" style="177" customWidth="1"/>
    <col min="3852" max="4095" width="10.83203125" style="177"/>
    <col min="4096" max="4096" width="14.1640625" style="177" customWidth="1"/>
    <col min="4097" max="4098" width="10.83203125" style="177"/>
    <col min="4099" max="4099" width="12" style="177" customWidth="1"/>
    <col min="4100" max="4100" width="12.6640625" style="177" customWidth="1"/>
    <col min="4101" max="4101" width="10.83203125" style="177"/>
    <col min="4102" max="4102" width="13.5" style="177" customWidth="1"/>
    <col min="4103" max="4105" width="10.83203125" style="177"/>
    <col min="4106" max="4106" width="12.33203125" style="177" bestFit="1" customWidth="1"/>
    <col min="4107" max="4107" width="4.83203125" style="177" customWidth="1"/>
    <col min="4108" max="4351" width="10.83203125" style="177"/>
    <col min="4352" max="4352" width="14.1640625" style="177" customWidth="1"/>
    <col min="4353" max="4354" width="10.83203125" style="177"/>
    <col min="4355" max="4355" width="12" style="177" customWidth="1"/>
    <col min="4356" max="4356" width="12.6640625" style="177" customWidth="1"/>
    <col min="4357" max="4357" width="10.83203125" style="177"/>
    <col min="4358" max="4358" width="13.5" style="177" customWidth="1"/>
    <col min="4359" max="4361" width="10.83203125" style="177"/>
    <col min="4362" max="4362" width="12.33203125" style="177" bestFit="1" customWidth="1"/>
    <col min="4363" max="4363" width="4.83203125" style="177" customWidth="1"/>
    <col min="4364" max="4607" width="10.83203125" style="177"/>
    <col min="4608" max="4608" width="14.1640625" style="177" customWidth="1"/>
    <col min="4609" max="4610" width="10.83203125" style="177"/>
    <col min="4611" max="4611" width="12" style="177" customWidth="1"/>
    <col min="4612" max="4612" width="12.6640625" style="177" customWidth="1"/>
    <col min="4613" max="4613" width="10.83203125" style="177"/>
    <col min="4614" max="4614" width="13.5" style="177" customWidth="1"/>
    <col min="4615" max="4617" width="10.83203125" style="177"/>
    <col min="4618" max="4618" width="12.33203125" style="177" bestFit="1" customWidth="1"/>
    <col min="4619" max="4619" width="4.83203125" style="177" customWidth="1"/>
    <col min="4620" max="4863" width="10.83203125" style="177"/>
    <col min="4864" max="4864" width="14.1640625" style="177" customWidth="1"/>
    <col min="4865" max="4866" width="10.83203125" style="177"/>
    <col min="4867" max="4867" width="12" style="177" customWidth="1"/>
    <col min="4868" max="4868" width="12.6640625" style="177" customWidth="1"/>
    <col min="4869" max="4869" width="10.83203125" style="177"/>
    <col min="4870" max="4870" width="13.5" style="177" customWidth="1"/>
    <col min="4871" max="4873" width="10.83203125" style="177"/>
    <col min="4874" max="4874" width="12.33203125" style="177" bestFit="1" customWidth="1"/>
    <col min="4875" max="4875" width="4.83203125" style="177" customWidth="1"/>
    <col min="4876" max="5119" width="10.83203125" style="177"/>
    <col min="5120" max="5120" width="14.1640625" style="177" customWidth="1"/>
    <col min="5121" max="5122" width="10.83203125" style="177"/>
    <col min="5123" max="5123" width="12" style="177" customWidth="1"/>
    <col min="5124" max="5124" width="12.6640625" style="177" customWidth="1"/>
    <col min="5125" max="5125" width="10.83203125" style="177"/>
    <col min="5126" max="5126" width="13.5" style="177" customWidth="1"/>
    <col min="5127" max="5129" width="10.83203125" style="177"/>
    <col min="5130" max="5130" width="12.33203125" style="177" bestFit="1" customWidth="1"/>
    <col min="5131" max="5131" width="4.83203125" style="177" customWidth="1"/>
    <col min="5132" max="5375" width="10.83203125" style="177"/>
    <col min="5376" max="5376" width="14.1640625" style="177" customWidth="1"/>
    <col min="5377" max="5378" width="10.83203125" style="177"/>
    <col min="5379" max="5379" width="12" style="177" customWidth="1"/>
    <col min="5380" max="5380" width="12.6640625" style="177" customWidth="1"/>
    <col min="5381" max="5381" width="10.83203125" style="177"/>
    <col min="5382" max="5382" width="13.5" style="177" customWidth="1"/>
    <col min="5383" max="5385" width="10.83203125" style="177"/>
    <col min="5386" max="5386" width="12.33203125" style="177" bestFit="1" customWidth="1"/>
    <col min="5387" max="5387" width="4.83203125" style="177" customWidth="1"/>
    <col min="5388" max="5631" width="10.83203125" style="177"/>
    <col min="5632" max="5632" width="14.1640625" style="177" customWidth="1"/>
    <col min="5633" max="5634" width="10.83203125" style="177"/>
    <col min="5635" max="5635" width="12" style="177" customWidth="1"/>
    <col min="5636" max="5636" width="12.6640625" style="177" customWidth="1"/>
    <col min="5637" max="5637" width="10.83203125" style="177"/>
    <col min="5638" max="5638" width="13.5" style="177" customWidth="1"/>
    <col min="5639" max="5641" width="10.83203125" style="177"/>
    <col min="5642" max="5642" width="12.33203125" style="177" bestFit="1" customWidth="1"/>
    <col min="5643" max="5643" width="4.83203125" style="177" customWidth="1"/>
    <col min="5644" max="5887" width="10.83203125" style="177"/>
    <col min="5888" max="5888" width="14.1640625" style="177" customWidth="1"/>
    <col min="5889" max="5890" width="10.83203125" style="177"/>
    <col min="5891" max="5891" width="12" style="177" customWidth="1"/>
    <col min="5892" max="5892" width="12.6640625" style="177" customWidth="1"/>
    <col min="5893" max="5893" width="10.83203125" style="177"/>
    <col min="5894" max="5894" width="13.5" style="177" customWidth="1"/>
    <col min="5895" max="5897" width="10.83203125" style="177"/>
    <col min="5898" max="5898" width="12.33203125" style="177" bestFit="1" customWidth="1"/>
    <col min="5899" max="5899" width="4.83203125" style="177" customWidth="1"/>
    <col min="5900" max="6143" width="10.83203125" style="177"/>
    <col min="6144" max="6144" width="14.1640625" style="177" customWidth="1"/>
    <col min="6145" max="6146" width="10.83203125" style="177"/>
    <col min="6147" max="6147" width="12" style="177" customWidth="1"/>
    <col min="6148" max="6148" width="12.6640625" style="177" customWidth="1"/>
    <col min="6149" max="6149" width="10.83203125" style="177"/>
    <col min="6150" max="6150" width="13.5" style="177" customWidth="1"/>
    <col min="6151" max="6153" width="10.83203125" style="177"/>
    <col min="6154" max="6154" width="12.33203125" style="177" bestFit="1" customWidth="1"/>
    <col min="6155" max="6155" width="4.83203125" style="177" customWidth="1"/>
    <col min="6156" max="6399" width="10.83203125" style="177"/>
    <col min="6400" max="6400" width="14.1640625" style="177" customWidth="1"/>
    <col min="6401" max="6402" width="10.83203125" style="177"/>
    <col min="6403" max="6403" width="12" style="177" customWidth="1"/>
    <col min="6404" max="6404" width="12.6640625" style="177" customWidth="1"/>
    <col min="6405" max="6405" width="10.83203125" style="177"/>
    <col min="6406" max="6406" width="13.5" style="177" customWidth="1"/>
    <col min="6407" max="6409" width="10.83203125" style="177"/>
    <col min="6410" max="6410" width="12.33203125" style="177" bestFit="1" customWidth="1"/>
    <col min="6411" max="6411" width="4.83203125" style="177" customWidth="1"/>
    <col min="6412" max="6655" width="10.83203125" style="177"/>
    <col min="6656" max="6656" width="14.1640625" style="177" customWidth="1"/>
    <col min="6657" max="6658" width="10.83203125" style="177"/>
    <col min="6659" max="6659" width="12" style="177" customWidth="1"/>
    <col min="6660" max="6660" width="12.6640625" style="177" customWidth="1"/>
    <col min="6661" max="6661" width="10.83203125" style="177"/>
    <col min="6662" max="6662" width="13.5" style="177" customWidth="1"/>
    <col min="6663" max="6665" width="10.83203125" style="177"/>
    <col min="6666" max="6666" width="12.33203125" style="177" bestFit="1" customWidth="1"/>
    <col min="6667" max="6667" width="4.83203125" style="177" customWidth="1"/>
    <col min="6668" max="6911" width="10.83203125" style="177"/>
    <col min="6912" max="6912" width="14.1640625" style="177" customWidth="1"/>
    <col min="6913" max="6914" width="10.83203125" style="177"/>
    <col min="6915" max="6915" width="12" style="177" customWidth="1"/>
    <col min="6916" max="6916" width="12.6640625" style="177" customWidth="1"/>
    <col min="6917" max="6917" width="10.83203125" style="177"/>
    <col min="6918" max="6918" width="13.5" style="177" customWidth="1"/>
    <col min="6919" max="6921" width="10.83203125" style="177"/>
    <col min="6922" max="6922" width="12.33203125" style="177" bestFit="1" customWidth="1"/>
    <col min="6923" max="6923" width="4.83203125" style="177" customWidth="1"/>
    <col min="6924" max="7167" width="10.83203125" style="177"/>
    <col min="7168" max="7168" width="14.1640625" style="177" customWidth="1"/>
    <col min="7169" max="7170" width="10.83203125" style="177"/>
    <col min="7171" max="7171" width="12" style="177" customWidth="1"/>
    <col min="7172" max="7172" width="12.6640625" style="177" customWidth="1"/>
    <col min="7173" max="7173" width="10.83203125" style="177"/>
    <col min="7174" max="7174" width="13.5" style="177" customWidth="1"/>
    <col min="7175" max="7177" width="10.83203125" style="177"/>
    <col min="7178" max="7178" width="12.33203125" style="177" bestFit="1" customWidth="1"/>
    <col min="7179" max="7179" width="4.83203125" style="177" customWidth="1"/>
    <col min="7180" max="7423" width="10.83203125" style="177"/>
    <col min="7424" max="7424" width="14.1640625" style="177" customWidth="1"/>
    <col min="7425" max="7426" width="10.83203125" style="177"/>
    <col min="7427" max="7427" width="12" style="177" customWidth="1"/>
    <col min="7428" max="7428" width="12.6640625" style="177" customWidth="1"/>
    <col min="7429" max="7429" width="10.83203125" style="177"/>
    <col min="7430" max="7430" width="13.5" style="177" customWidth="1"/>
    <col min="7431" max="7433" width="10.83203125" style="177"/>
    <col min="7434" max="7434" width="12.33203125" style="177" bestFit="1" customWidth="1"/>
    <col min="7435" max="7435" width="4.83203125" style="177" customWidth="1"/>
    <col min="7436" max="7679" width="10.83203125" style="177"/>
    <col min="7680" max="7680" width="14.1640625" style="177" customWidth="1"/>
    <col min="7681" max="7682" width="10.83203125" style="177"/>
    <col min="7683" max="7683" width="12" style="177" customWidth="1"/>
    <col min="7684" max="7684" width="12.6640625" style="177" customWidth="1"/>
    <col min="7685" max="7685" width="10.83203125" style="177"/>
    <col min="7686" max="7686" width="13.5" style="177" customWidth="1"/>
    <col min="7687" max="7689" width="10.83203125" style="177"/>
    <col min="7690" max="7690" width="12.33203125" style="177" bestFit="1" customWidth="1"/>
    <col min="7691" max="7691" width="4.83203125" style="177" customWidth="1"/>
    <col min="7692" max="7935" width="10.83203125" style="177"/>
    <col min="7936" max="7936" width="14.1640625" style="177" customWidth="1"/>
    <col min="7937" max="7938" width="10.83203125" style="177"/>
    <col min="7939" max="7939" width="12" style="177" customWidth="1"/>
    <col min="7940" max="7940" width="12.6640625" style="177" customWidth="1"/>
    <col min="7941" max="7941" width="10.83203125" style="177"/>
    <col min="7942" max="7942" width="13.5" style="177" customWidth="1"/>
    <col min="7943" max="7945" width="10.83203125" style="177"/>
    <col min="7946" max="7946" width="12.33203125" style="177" bestFit="1" customWidth="1"/>
    <col min="7947" max="7947" width="4.83203125" style="177" customWidth="1"/>
    <col min="7948" max="8191" width="10.83203125" style="177"/>
    <col min="8192" max="8192" width="14.1640625" style="177" customWidth="1"/>
    <col min="8193" max="8194" width="10.83203125" style="177"/>
    <col min="8195" max="8195" width="12" style="177" customWidth="1"/>
    <col min="8196" max="8196" width="12.6640625" style="177" customWidth="1"/>
    <col min="8197" max="8197" width="10.83203125" style="177"/>
    <col min="8198" max="8198" width="13.5" style="177" customWidth="1"/>
    <col min="8199" max="8201" width="10.83203125" style="177"/>
    <col min="8202" max="8202" width="12.33203125" style="177" bestFit="1" customWidth="1"/>
    <col min="8203" max="8203" width="4.83203125" style="177" customWidth="1"/>
    <col min="8204" max="8447" width="10.83203125" style="177"/>
    <col min="8448" max="8448" width="14.1640625" style="177" customWidth="1"/>
    <col min="8449" max="8450" width="10.83203125" style="177"/>
    <col min="8451" max="8451" width="12" style="177" customWidth="1"/>
    <col min="8452" max="8452" width="12.6640625" style="177" customWidth="1"/>
    <col min="8453" max="8453" width="10.83203125" style="177"/>
    <col min="8454" max="8454" width="13.5" style="177" customWidth="1"/>
    <col min="8455" max="8457" width="10.83203125" style="177"/>
    <col min="8458" max="8458" width="12.33203125" style="177" bestFit="1" customWidth="1"/>
    <col min="8459" max="8459" width="4.83203125" style="177" customWidth="1"/>
    <col min="8460" max="8703" width="10.83203125" style="177"/>
    <col min="8704" max="8704" width="14.1640625" style="177" customWidth="1"/>
    <col min="8705" max="8706" width="10.83203125" style="177"/>
    <col min="8707" max="8707" width="12" style="177" customWidth="1"/>
    <col min="8708" max="8708" width="12.6640625" style="177" customWidth="1"/>
    <col min="8709" max="8709" width="10.83203125" style="177"/>
    <col min="8710" max="8710" width="13.5" style="177" customWidth="1"/>
    <col min="8711" max="8713" width="10.83203125" style="177"/>
    <col min="8714" max="8714" width="12.33203125" style="177" bestFit="1" customWidth="1"/>
    <col min="8715" max="8715" width="4.83203125" style="177" customWidth="1"/>
    <col min="8716" max="8959" width="10.83203125" style="177"/>
    <col min="8960" max="8960" width="14.1640625" style="177" customWidth="1"/>
    <col min="8961" max="8962" width="10.83203125" style="177"/>
    <col min="8963" max="8963" width="12" style="177" customWidth="1"/>
    <col min="8964" max="8964" width="12.6640625" style="177" customWidth="1"/>
    <col min="8965" max="8965" width="10.83203125" style="177"/>
    <col min="8966" max="8966" width="13.5" style="177" customWidth="1"/>
    <col min="8967" max="8969" width="10.83203125" style="177"/>
    <col min="8970" max="8970" width="12.33203125" style="177" bestFit="1" customWidth="1"/>
    <col min="8971" max="8971" width="4.83203125" style="177" customWidth="1"/>
    <col min="8972" max="9215" width="10.83203125" style="177"/>
    <col min="9216" max="9216" width="14.1640625" style="177" customWidth="1"/>
    <col min="9217" max="9218" width="10.83203125" style="177"/>
    <col min="9219" max="9219" width="12" style="177" customWidth="1"/>
    <col min="9220" max="9220" width="12.6640625" style="177" customWidth="1"/>
    <col min="9221" max="9221" width="10.83203125" style="177"/>
    <col min="9222" max="9222" width="13.5" style="177" customWidth="1"/>
    <col min="9223" max="9225" width="10.83203125" style="177"/>
    <col min="9226" max="9226" width="12.33203125" style="177" bestFit="1" customWidth="1"/>
    <col min="9227" max="9227" width="4.83203125" style="177" customWidth="1"/>
    <col min="9228" max="9471" width="10.83203125" style="177"/>
    <col min="9472" max="9472" width="14.1640625" style="177" customWidth="1"/>
    <col min="9473" max="9474" width="10.83203125" style="177"/>
    <col min="9475" max="9475" width="12" style="177" customWidth="1"/>
    <col min="9476" max="9476" width="12.6640625" style="177" customWidth="1"/>
    <col min="9477" max="9477" width="10.83203125" style="177"/>
    <col min="9478" max="9478" width="13.5" style="177" customWidth="1"/>
    <col min="9479" max="9481" width="10.83203125" style="177"/>
    <col min="9482" max="9482" width="12.33203125" style="177" bestFit="1" customWidth="1"/>
    <col min="9483" max="9483" width="4.83203125" style="177" customWidth="1"/>
    <col min="9484" max="9727" width="10.83203125" style="177"/>
    <col min="9728" max="9728" width="14.1640625" style="177" customWidth="1"/>
    <col min="9729" max="9730" width="10.83203125" style="177"/>
    <col min="9731" max="9731" width="12" style="177" customWidth="1"/>
    <col min="9732" max="9732" width="12.6640625" style="177" customWidth="1"/>
    <col min="9733" max="9733" width="10.83203125" style="177"/>
    <col min="9734" max="9734" width="13.5" style="177" customWidth="1"/>
    <col min="9735" max="9737" width="10.83203125" style="177"/>
    <col min="9738" max="9738" width="12.33203125" style="177" bestFit="1" customWidth="1"/>
    <col min="9739" max="9739" width="4.83203125" style="177" customWidth="1"/>
    <col min="9740" max="9983" width="10.83203125" style="177"/>
    <col min="9984" max="9984" width="14.1640625" style="177" customWidth="1"/>
    <col min="9985" max="9986" width="10.83203125" style="177"/>
    <col min="9987" max="9987" width="12" style="177" customWidth="1"/>
    <col min="9988" max="9988" width="12.6640625" style="177" customWidth="1"/>
    <col min="9989" max="9989" width="10.83203125" style="177"/>
    <col min="9990" max="9990" width="13.5" style="177" customWidth="1"/>
    <col min="9991" max="9993" width="10.83203125" style="177"/>
    <col min="9994" max="9994" width="12.33203125" style="177" bestFit="1" customWidth="1"/>
    <col min="9995" max="9995" width="4.83203125" style="177" customWidth="1"/>
    <col min="9996" max="10239" width="10.83203125" style="177"/>
    <col min="10240" max="10240" width="14.1640625" style="177" customWidth="1"/>
    <col min="10241" max="10242" width="10.83203125" style="177"/>
    <col min="10243" max="10243" width="12" style="177" customWidth="1"/>
    <col min="10244" max="10244" width="12.6640625" style="177" customWidth="1"/>
    <col min="10245" max="10245" width="10.83203125" style="177"/>
    <col min="10246" max="10246" width="13.5" style="177" customWidth="1"/>
    <col min="10247" max="10249" width="10.83203125" style="177"/>
    <col min="10250" max="10250" width="12.33203125" style="177" bestFit="1" customWidth="1"/>
    <col min="10251" max="10251" width="4.83203125" style="177" customWidth="1"/>
    <col min="10252" max="10495" width="10.83203125" style="177"/>
    <col min="10496" max="10496" width="14.1640625" style="177" customWidth="1"/>
    <col min="10497" max="10498" width="10.83203125" style="177"/>
    <col min="10499" max="10499" width="12" style="177" customWidth="1"/>
    <col min="10500" max="10500" width="12.6640625" style="177" customWidth="1"/>
    <col min="10501" max="10501" width="10.83203125" style="177"/>
    <col min="10502" max="10502" width="13.5" style="177" customWidth="1"/>
    <col min="10503" max="10505" width="10.83203125" style="177"/>
    <col min="10506" max="10506" width="12.33203125" style="177" bestFit="1" customWidth="1"/>
    <col min="10507" max="10507" width="4.83203125" style="177" customWidth="1"/>
    <col min="10508" max="10751" width="10.83203125" style="177"/>
    <col min="10752" max="10752" width="14.1640625" style="177" customWidth="1"/>
    <col min="10753" max="10754" width="10.83203125" style="177"/>
    <col min="10755" max="10755" width="12" style="177" customWidth="1"/>
    <col min="10756" max="10756" width="12.6640625" style="177" customWidth="1"/>
    <col min="10757" max="10757" width="10.83203125" style="177"/>
    <col min="10758" max="10758" width="13.5" style="177" customWidth="1"/>
    <col min="10759" max="10761" width="10.83203125" style="177"/>
    <col min="10762" max="10762" width="12.33203125" style="177" bestFit="1" customWidth="1"/>
    <col min="10763" max="10763" width="4.83203125" style="177" customWidth="1"/>
    <col min="10764" max="11007" width="10.83203125" style="177"/>
    <col min="11008" max="11008" width="14.1640625" style="177" customWidth="1"/>
    <col min="11009" max="11010" width="10.83203125" style="177"/>
    <col min="11011" max="11011" width="12" style="177" customWidth="1"/>
    <col min="11012" max="11012" width="12.6640625" style="177" customWidth="1"/>
    <col min="11013" max="11013" width="10.83203125" style="177"/>
    <col min="11014" max="11014" width="13.5" style="177" customWidth="1"/>
    <col min="11015" max="11017" width="10.83203125" style="177"/>
    <col min="11018" max="11018" width="12.33203125" style="177" bestFit="1" customWidth="1"/>
    <col min="11019" max="11019" width="4.83203125" style="177" customWidth="1"/>
    <col min="11020" max="11263" width="10.83203125" style="177"/>
    <col min="11264" max="11264" width="14.1640625" style="177" customWidth="1"/>
    <col min="11265" max="11266" width="10.83203125" style="177"/>
    <col min="11267" max="11267" width="12" style="177" customWidth="1"/>
    <col min="11268" max="11268" width="12.6640625" style="177" customWidth="1"/>
    <col min="11269" max="11269" width="10.83203125" style="177"/>
    <col min="11270" max="11270" width="13.5" style="177" customWidth="1"/>
    <col min="11271" max="11273" width="10.83203125" style="177"/>
    <col min="11274" max="11274" width="12.33203125" style="177" bestFit="1" customWidth="1"/>
    <col min="11275" max="11275" width="4.83203125" style="177" customWidth="1"/>
    <col min="11276" max="11519" width="10.83203125" style="177"/>
    <col min="11520" max="11520" width="14.1640625" style="177" customWidth="1"/>
    <col min="11521" max="11522" width="10.83203125" style="177"/>
    <col min="11523" max="11523" width="12" style="177" customWidth="1"/>
    <col min="11524" max="11524" width="12.6640625" style="177" customWidth="1"/>
    <col min="11525" max="11525" width="10.83203125" style="177"/>
    <col min="11526" max="11526" width="13.5" style="177" customWidth="1"/>
    <col min="11527" max="11529" width="10.83203125" style="177"/>
    <col min="11530" max="11530" width="12.33203125" style="177" bestFit="1" customWidth="1"/>
    <col min="11531" max="11531" width="4.83203125" style="177" customWidth="1"/>
    <col min="11532" max="11775" width="10.83203125" style="177"/>
    <col min="11776" max="11776" width="14.1640625" style="177" customWidth="1"/>
    <col min="11777" max="11778" width="10.83203125" style="177"/>
    <col min="11779" max="11779" width="12" style="177" customWidth="1"/>
    <col min="11780" max="11780" width="12.6640625" style="177" customWidth="1"/>
    <col min="11781" max="11781" width="10.83203125" style="177"/>
    <col min="11782" max="11782" width="13.5" style="177" customWidth="1"/>
    <col min="11783" max="11785" width="10.83203125" style="177"/>
    <col min="11786" max="11786" width="12.33203125" style="177" bestFit="1" customWidth="1"/>
    <col min="11787" max="11787" width="4.83203125" style="177" customWidth="1"/>
    <col min="11788" max="12031" width="10.83203125" style="177"/>
    <col min="12032" max="12032" width="14.1640625" style="177" customWidth="1"/>
    <col min="12033" max="12034" width="10.83203125" style="177"/>
    <col min="12035" max="12035" width="12" style="177" customWidth="1"/>
    <col min="12036" max="12036" width="12.6640625" style="177" customWidth="1"/>
    <col min="12037" max="12037" width="10.83203125" style="177"/>
    <col min="12038" max="12038" width="13.5" style="177" customWidth="1"/>
    <col min="12039" max="12041" width="10.83203125" style="177"/>
    <col min="12042" max="12042" width="12.33203125" style="177" bestFit="1" customWidth="1"/>
    <col min="12043" max="12043" width="4.83203125" style="177" customWidth="1"/>
    <col min="12044" max="12287" width="10.83203125" style="177"/>
    <col min="12288" max="12288" width="14.1640625" style="177" customWidth="1"/>
    <col min="12289" max="12290" width="10.83203125" style="177"/>
    <col min="12291" max="12291" width="12" style="177" customWidth="1"/>
    <col min="12292" max="12292" width="12.6640625" style="177" customWidth="1"/>
    <col min="12293" max="12293" width="10.83203125" style="177"/>
    <col min="12294" max="12294" width="13.5" style="177" customWidth="1"/>
    <col min="12295" max="12297" width="10.83203125" style="177"/>
    <col min="12298" max="12298" width="12.33203125" style="177" bestFit="1" customWidth="1"/>
    <col min="12299" max="12299" width="4.83203125" style="177" customWidth="1"/>
    <col min="12300" max="12543" width="10.83203125" style="177"/>
    <col min="12544" max="12544" width="14.1640625" style="177" customWidth="1"/>
    <col min="12545" max="12546" width="10.83203125" style="177"/>
    <col min="12547" max="12547" width="12" style="177" customWidth="1"/>
    <col min="12548" max="12548" width="12.6640625" style="177" customWidth="1"/>
    <col min="12549" max="12549" width="10.83203125" style="177"/>
    <col min="12550" max="12550" width="13.5" style="177" customWidth="1"/>
    <col min="12551" max="12553" width="10.83203125" style="177"/>
    <col min="12554" max="12554" width="12.33203125" style="177" bestFit="1" customWidth="1"/>
    <col min="12555" max="12555" width="4.83203125" style="177" customWidth="1"/>
    <col min="12556" max="12799" width="10.83203125" style="177"/>
    <col min="12800" max="12800" width="14.1640625" style="177" customWidth="1"/>
    <col min="12801" max="12802" width="10.83203125" style="177"/>
    <col min="12803" max="12803" width="12" style="177" customWidth="1"/>
    <col min="12804" max="12804" width="12.6640625" style="177" customWidth="1"/>
    <col min="12805" max="12805" width="10.83203125" style="177"/>
    <col min="12806" max="12806" width="13.5" style="177" customWidth="1"/>
    <col min="12807" max="12809" width="10.83203125" style="177"/>
    <col min="12810" max="12810" width="12.33203125" style="177" bestFit="1" customWidth="1"/>
    <col min="12811" max="12811" width="4.83203125" style="177" customWidth="1"/>
    <col min="12812" max="13055" width="10.83203125" style="177"/>
    <col min="13056" max="13056" width="14.1640625" style="177" customWidth="1"/>
    <col min="13057" max="13058" width="10.83203125" style="177"/>
    <col min="13059" max="13059" width="12" style="177" customWidth="1"/>
    <col min="13060" max="13060" width="12.6640625" style="177" customWidth="1"/>
    <col min="13061" max="13061" width="10.83203125" style="177"/>
    <col min="13062" max="13062" width="13.5" style="177" customWidth="1"/>
    <col min="13063" max="13065" width="10.83203125" style="177"/>
    <col min="13066" max="13066" width="12.33203125" style="177" bestFit="1" customWidth="1"/>
    <col min="13067" max="13067" width="4.83203125" style="177" customWidth="1"/>
    <col min="13068" max="13311" width="10.83203125" style="177"/>
    <col min="13312" max="13312" width="14.1640625" style="177" customWidth="1"/>
    <col min="13313" max="13314" width="10.83203125" style="177"/>
    <col min="13315" max="13315" width="12" style="177" customWidth="1"/>
    <col min="13316" max="13316" width="12.6640625" style="177" customWidth="1"/>
    <col min="13317" max="13317" width="10.83203125" style="177"/>
    <col min="13318" max="13318" width="13.5" style="177" customWidth="1"/>
    <col min="13319" max="13321" width="10.83203125" style="177"/>
    <col min="13322" max="13322" width="12.33203125" style="177" bestFit="1" customWidth="1"/>
    <col min="13323" max="13323" width="4.83203125" style="177" customWidth="1"/>
    <col min="13324" max="13567" width="10.83203125" style="177"/>
    <col min="13568" max="13568" width="14.1640625" style="177" customWidth="1"/>
    <col min="13569" max="13570" width="10.83203125" style="177"/>
    <col min="13571" max="13571" width="12" style="177" customWidth="1"/>
    <col min="13572" max="13572" width="12.6640625" style="177" customWidth="1"/>
    <col min="13573" max="13573" width="10.83203125" style="177"/>
    <col min="13574" max="13574" width="13.5" style="177" customWidth="1"/>
    <col min="13575" max="13577" width="10.83203125" style="177"/>
    <col min="13578" max="13578" width="12.33203125" style="177" bestFit="1" customWidth="1"/>
    <col min="13579" max="13579" width="4.83203125" style="177" customWidth="1"/>
    <col min="13580" max="13823" width="10.83203125" style="177"/>
    <col min="13824" max="13824" width="14.1640625" style="177" customWidth="1"/>
    <col min="13825" max="13826" width="10.83203125" style="177"/>
    <col min="13827" max="13827" width="12" style="177" customWidth="1"/>
    <col min="13828" max="13828" width="12.6640625" style="177" customWidth="1"/>
    <col min="13829" max="13829" width="10.83203125" style="177"/>
    <col min="13830" max="13830" width="13.5" style="177" customWidth="1"/>
    <col min="13831" max="13833" width="10.83203125" style="177"/>
    <col min="13834" max="13834" width="12.33203125" style="177" bestFit="1" customWidth="1"/>
    <col min="13835" max="13835" width="4.83203125" style="177" customWidth="1"/>
    <col min="13836" max="14079" width="10.83203125" style="177"/>
    <col min="14080" max="14080" width="14.1640625" style="177" customWidth="1"/>
    <col min="14081" max="14082" width="10.83203125" style="177"/>
    <col min="14083" max="14083" width="12" style="177" customWidth="1"/>
    <col min="14084" max="14084" width="12.6640625" style="177" customWidth="1"/>
    <col min="14085" max="14085" width="10.83203125" style="177"/>
    <col min="14086" max="14086" width="13.5" style="177" customWidth="1"/>
    <col min="14087" max="14089" width="10.83203125" style="177"/>
    <col min="14090" max="14090" width="12.33203125" style="177" bestFit="1" customWidth="1"/>
    <col min="14091" max="14091" width="4.83203125" style="177" customWidth="1"/>
    <col min="14092" max="14335" width="10.83203125" style="177"/>
    <col min="14336" max="14336" width="14.1640625" style="177" customWidth="1"/>
    <col min="14337" max="14338" width="10.83203125" style="177"/>
    <col min="14339" max="14339" width="12" style="177" customWidth="1"/>
    <col min="14340" max="14340" width="12.6640625" style="177" customWidth="1"/>
    <col min="14341" max="14341" width="10.83203125" style="177"/>
    <col min="14342" max="14342" width="13.5" style="177" customWidth="1"/>
    <col min="14343" max="14345" width="10.83203125" style="177"/>
    <col min="14346" max="14346" width="12.33203125" style="177" bestFit="1" customWidth="1"/>
    <col min="14347" max="14347" width="4.83203125" style="177" customWidth="1"/>
    <col min="14348" max="14591" width="10.83203125" style="177"/>
    <col min="14592" max="14592" width="14.1640625" style="177" customWidth="1"/>
    <col min="14593" max="14594" width="10.83203125" style="177"/>
    <col min="14595" max="14595" width="12" style="177" customWidth="1"/>
    <col min="14596" max="14596" width="12.6640625" style="177" customWidth="1"/>
    <col min="14597" max="14597" width="10.83203125" style="177"/>
    <col min="14598" max="14598" width="13.5" style="177" customWidth="1"/>
    <col min="14599" max="14601" width="10.83203125" style="177"/>
    <col min="14602" max="14602" width="12.33203125" style="177" bestFit="1" customWidth="1"/>
    <col min="14603" max="14603" width="4.83203125" style="177" customWidth="1"/>
    <col min="14604" max="14847" width="10.83203125" style="177"/>
    <col min="14848" max="14848" width="14.1640625" style="177" customWidth="1"/>
    <col min="14849" max="14850" width="10.83203125" style="177"/>
    <col min="14851" max="14851" width="12" style="177" customWidth="1"/>
    <col min="14852" max="14852" width="12.6640625" style="177" customWidth="1"/>
    <col min="14853" max="14853" width="10.83203125" style="177"/>
    <col min="14854" max="14854" width="13.5" style="177" customWidth="1"/>
    <col min="14855" max="14857" width="10.83203125" style="177"/>
    <col min="14858" max="14858" width="12.33203125" style="177" bestFit="1" customWidth="1"/>
    <col min="14859" max="14859" width="4.83203125" style="177" customWidth="1"/>
    <col min="14860" max="15103" width="10.83203125" style="177"/>
    <col min="15104" max="15104" width="14.1640625" style="177" customWidth="1"/>
    <col min="15105" max="15106" width="10.83203125" style="177"/>
    <col min="15107" max="15107" width="12" style="177" customWidth="1"/>
    <col min="15108" max="15108" width="12.6640625" style="177" customWidth="1"/>
    <col min="15109" max="15109" width="10.83203125" style="177"/>
    <col min="15110" max="15110" width="13.5" style="177" customWidth="1"/>
    <col min="15111" max="15113" width="10.83203125" style="177"/>
    <col min="15114" max="15114" width="12.33203125" style="177" bestFit="1" customWidth="1"/>
    <col min="15115" max="15115" width="4.83203125" style="177" customWidth="1"/>
    <col min="15116" max="15359" width="10.83203125" style="177"/>
    <col min="15360" max="15360" width="14.1640625" style="177" customWidth="1"/>
    <col min="15361" max="15362" width="10.83203125" style="177"/>
    <col min="15363" max="15363" width="12" style="177" customWidth="1"/>
    <col min="15364" max="15364" width="12.6640625" style="177" customWidth="1"/>
    <col min="15365" max="15365" width="10.83203125" style="177"/>
    <col min="15366" max="15366" width="13.5" style="177" customWidth="1"/>
    <col min="15367" max="15369" width="10.83203125" style="177"/>
    <col min="15370" max="15370" width="12.33203125" style="177" bestFit="1" customWidth="1"/>
    <col min="15371" max="15371" width="4.83203125" style="177" customWidth="1"/>
    <col min="15372" max="15615" width="10.83203125" style="177"/>
    <col min="15616" max="15616" width="14.1640625" style="177" customWidth="1"/>
    <col min="15617" max="15618" width="10.83203125" style="177"/>
    <col min="15619" max="15619" width="12" style="177" customWidth="1"/>
    <col min="15620" max="15620" width="12.6640625" style="177" customWidth="1"/>
    <col min="15621" max="15621" width="10.83203125" style="177"/>
    <col min="15622" max="15622" width="13.5" style="177" customWidth="1"/>
    <col min="15623" max="15625" width="10.83203125" style="177"/>
    <col min="15626" max="15626" width="12.33203125" style="177" bestFit="1" customWidth="1"/>
    <col min="15627" max="15627" width="4.83203125" style="177" customWidth="1"/>
    <col min="15628" max="15871" width="10.83203125" style="177"/>
    <col min="15872" max="15872" width="14.1640625" style="177" customWidth="1"/>
    <col min="15873" max="15874" width="10.83203125" style="177"/>
    <col min="15875" max="15875" width="12" style="177" customWidth="1"/>
    <col min="15876" max="15876" width="12.6640625" style="177" customWidth="1"/>
    <col min="15877" max="15877" width="10.83203125" style="177"/>
    <col min="15878" max="15878" width="13.5" style="177" customWidth="1"/>
    <col min="15879" max="15881" width="10.83203125" style="177"/>
    <col min="15882" max="15882" width="12.33203125" style="177" bestFit="1" customWidth="1"/>
    <col min="15883" max="15883" width="4.83203125" style="177" customWidth="1"/>
    <col min="15884" max="16127" width="10.83203125" style="177"/>
    <col min="16128" max="16128" width="14.1640625" style="177" customWidth="1"/>
    <col min="16129" max="16130" width="10.83203125" style="177"/>
    <col min="16131" max="16131" width="12" style="177" customWidth="1"/>
    <col min="16132" max="16132" width="12.6640625" style="177" customWidth="1"/>
    <col min="16133" max="16133" width="10.83203125" style="177"/>
    <col min="16134" max="16134" width="13.5" style="177" customWidth="1"/>
    <col min="16135" max="16137" width="10.83203125" style="177"/>
    <col min="16138" max="16138" width="12.33203125" style="177" bestFit="1" customWidth="1"/>
    <col min="16139" max="16139" width="4.83203125" style="177" customWidth="1"/>
    <col min="16140" max="16384" width="10.83203125" style="177"/>
  </cols>
  <sheetData>
    <row r="1" spans="1:12" x14ac:dyDescent="0.15">
      <c r="A1" s="175" t="s">
        <v>397</v>
      </c>
      <c r="B1" s="175">
        <v>1000</v>
      </c>
      <c r="C1" s="175">
        <v>1200</v>
      </c>
      <c r="D1" s="175">
        <v>1500</v>
      </c>
      <c r="E1" s="176"/>
      <c r="F1" s="175" t="s">
        <v>398</v>
      </c>
      <c r="G1" s="175" t="s">
        <v>399</v>
      </c>
      <c r="I1" s="175" t="s">
        <v>400</v>
      </c>
      <c r="J1" s="175" t="s">
        <v>401</v>
      </c>
      <c r="K1" s="175" t="s">
        <v>402</v>
      </c>
    </row>
    <row r="2" spans="1:12" x14ac:dyDescent="0.15">
      <c r="A2" s="175" t="s">
        <v>403</v>
      </c>
      <c r="B2" s="175" t="s">
        <v>400</v>
      </c>
      <c r="C2" s="175" t="s">
        <v>401</v>
      </c>
      <c r="D2" s="175" t="s">
        <v>402</v>
      </c>
      <c r="E2" s="175" t="s">
        <v>404</v>
      </c>
      <c r="F2" s="175" t="s">
        <v>405</v>
      </c>
      <c r="G2" s="175" t="s">
        <v>404</v>
      </c>
      <c r="H2" s="176" t="s">
        <v>406</v>
      </c>
      <c r="I2" s="177">
        <v>120</v>
      </c>
      <c r="J2" s="177">
        <v>180</v>
      </c>
      <c r="K2" s="177">
        <v>200</v>
      </c>
    </row>
    <row r="3" spans="1:12" x14ac:dyDescent="0.15">
      <c r="A3" s="175" t="s">
        <v>407</v>
      </c>
      <c r="B3" s="178">
        <v>0.3</v>
      </c>
      <c r="C3" s="178">
        <v>0.2</v>
      </c>
      <c r="D3" s="178">
        <v>1.5</v>
      </c>
      <c r="E3" s="179">
        <f>($B$1*B3)+($C$1*C3)+($D$1*D3)</f>
        <v>2790</v>
      </c>
      <c r="F3" s="180">
        <v>2700</v>
      </c>
      <c r="G3" s="178">
        <f>E3/F3</f>
        <v>1.0333333333333334</v>
      </c>
      <c r="H3" s="176" t="s">
        <v>408</v>
      </c>
      <c r="I3" s="181">
        <f>B4</f>
        <v>0.4</v>
      </c>
      <c r="J3" s="181">
        <f>C4</f>
        <v>1.1000000000000001</v>
      </c>
      <c r="K3" s="181">
        <f>D4</f>
        <v>0.9</v>
      </c>
    </row>
    <row r="4" spans="1:12" x14ac:dyDescent="0.15">
      <c r="A4" s="182" t="s">
        <v>409</v>
      </c>
      <c r="B4" s="183">
        <v>0.4</v>
      </c>
      <c r="C4" s="183">
        <v>1.1000000000000001</v>
      </c>
      <c r="D4" s="183">
        <v>0.9</v>
      </c>
      <c r="E4" s="184">
        <f>($B$1*B4)+($C$1*C4)+($D$1*D4)</f>
        <v>3070</v>
      </c>
      <c r="F4" s="185">
        <v>2700</v>
      </c>
      <c r="G4" s="183">
        <f>E4/F4</f>
        <v>1.1370370370370371</v>
      </c>
      <c r="H4" s="176" t="s">
        <v>410</v>
      </c>
      <c r="I4" s="186">
        <f>I2/I3</f>
        <v>300</v>
      </c>
      <c r="J4" s="186">
        <f>J2/J3</f>
        <v>163.63636363636363</v>
      </c>
      <c r="K4" s="186">
        <f>K2/K3</f>
        <v>222.22222222222223</v>
      </c>
    </row>
    <row r="5" spans="1:12" x14ac:dyDescent="0.15">
      <c r="A5" s="175" t="s">
        <v>411</v>
      </c>
      <c r="B5" s="178">
        <v>0.9</v>
      </c>
      <c r="C5" s="178">
        <v>0.5</v>
      </c>
      <c r="D5" s="178">
        <v>0.8</v>
      </c>
      <c r="E5" s="179">
        <f>($B$1*B5)+($C$1*C5)+($D$1*D5)</f>
        <v>2700</v>
      </c>
      <c r="F5" s="180">
        <v>2700</v>
      </c>
      <c r="G5" s="178">
        <f>E5/F5</f>
        <v>1</v>
      </c>
      <c r="H5" s="176" t="s">
        <v>412</v>
      </c>
      <c r="I5" s="187">
        <f>I2/B5</f>
        <v>133.33333333333334</v>
      </c>
      <c r="J5" s="187">
        <f>J2/C5</f>
        <v>360</v>
      </c>
      <c r="K5" s="187">
        <f>K2/D5</f>
        <v>250</v>
      </c>
    </row>
    <row r="6" spans="1:12" x14ac:dyDescent="0.15">
      <c r="A6" s="175" t="s">
        <v>413</v>
      </c>
      <c r="B6" s="178">
        <v>0.3</v>
      </c>
      <c r="C6" s="178">
        <v>1.1000000000000001</v>
      </c>
      <c r="D6" s="178">
        <v>0.5</v>
      </c>
      <c r="E6" s="179">
        <f>($B$1*B6)+($C$1*C6)+($D$1*D6)</f>
        <v>2370</v>
      </c>
      <c r="F6" s="180">
        <v>2700</v>
      </c>
      <c r="G6" s="178">
        <f>E6/F6</f>
        <v>0.87777777777777777</v>
      </c>
      <c r="H6" s="176" t="s">
        <v>414</v>
      </c>
      <c r="I6" s="187">
        <f>I2/B3</f>
        <v>400</v>
      </c>
      <c r="J6" s="187">
        <f>J2/C3</f>
        <v>900</v>
      </c>
      <c r="K6" s="187">
        <f>K2/D3</f>
        <v>133.33333333333334</v>
      </c>
    </row>
    <row r="7" spans="1:12" x14ac:dyDescent="0.15">
      <c r="A7" s="175" t="s">
        <v>415</v>
      </c>
      <c r="B7" s="178">
        <v>0.5</v>
      </c>
      <c r="C7" s="178">
        <v>0.4</v>
      </c>
      <c r="D7" s="178">
        <v>0.02</v>
      </c>
      <c r="E7" s="179">
        <f>($B$1*B7)+($C$1*C7)+($D$1*D7)</f>
        <v>1010</v>
      </c>
      <c r="F7" s="180">
        <v>2700</v>
      </c>
      <c r="G7" s="178">
        <f>E7/F7</f>
        <v>0.37407407407407406</v>
      </c>
    </row>
    <row r="9" spans="1:12" x14ac:dyDescent="0.15">
      <c r="D9" s="179" t="s">
        <v>400</v>
      </c>
      <c r="E9" s="179" t="s">
        <v>401</v>
      </c>
      <c r="F9" s="179" t="s">
        <v>402</v>
      </c>
      <c r="I9" s="179" t="s">
        <v>416</v>
      </c>
    </row>
    <row r="10" spans="1:12" x14ac:dyDescent="0.15">
      <c r="D10" s="178">
        <v>3</v>
      </c>
      <c r="E10" s="179">
        <v>1</v>
      </c>
      <c r="F10" s="180">
        <v>1</v>
      </c>
      <c r="I10" s="179" t="s">
        <v>400</v>
      </c>
      <c r="J10" s="179" t="s">
        <v>401</v>
      </c>
      <c r="K10" s="179" t="s">
        <v>402</v>
      </c>
      <c r="L10" s="179"/>
    </row>
    <row r="11" spans="1:12" x14ac:dyDescent="0.15">
      <c r="D11" s="178">
        <f>B4</f>
        <v>0.4</v>
      </c>
      <c r="E11" s="178">
        <f>C4</f>
        <v>1.1000000000000001</v>
      </c>
      <c r="F11" s="178">
        <f>D4</f>
        <v>0.9</v>
      </c>
      <c r="G11" s="179" t="s">
        <v>405</v>
      </c>
      <c r="I11" s="178">
        <f>B5</f>
        <v>0.9</v>
      </c>
      <c r="J11" s="178">
        <f>C5</f>
        <v>0.5</v>
      </c>
      <c r="K11" s="178">
        <f>D5</f>
        <v>0.8</v>
      </c>
      <c r="L11" s="179"/>
    </row>
    <row r="12" spans="1:12" x14ac:dyDescent="0.15">
      <c r="D12" s="179">
        <f>D10*D11</f>
        <v>1.2000000000000002</v>
      </c>
      <c r="E12" s="179">
        <f>E10*E11</f>
        <v>1.1000000000000001</v>
      </c>
      <c r="F12" s="179">
        <f>F10*F11</f>
        <v>0.9</v>
      </c>
      <c r="G12" s="180">
        <f>F3</f>
        <v>2700</v>
      </c>
      <c r="I12" s="179">
        <f>F32</f>
        <v>1000</v>
      </c>
      <c r="J12" s="179">
        <f>F33</f>
        <v>864</v>
      </c>
      <c r="K12" s="179">
        <f>F34</f>
        <v>1500</v>
      </c>
      <c r="L12" s="179" t="s">
        <v>405</v>
      </c>
    </row>
    <row r="13" spans="1:12" x14ac:dyDescent="0.15">
      <c r="E13" s="188" t="s">
        <v>417</v>
      </c>
      <c r="F13" s="189">
        <f>G12/(D12+E12+F12)</f>
        <v>843.75</v>
      </c>
      <c r="I13" s="179"/>
      <c r="J13" s="179"/>
      <c r="K13" s="179">
        <f>(I11*I12)+(J11*J12)+(K11*K12)</f>
        <v>2532</v>
      </c>
      <c r="L13" s="180">
        <f>G12</f>
        <v>2700</v>
      </c>
    </row>
    <row r="14" spans="1:12" x14ac:dyDescent="0.15">
      <c r="E14" s="188" t="s">
        <v>418</v>
      </c>
      <c r="F14" s="190">
        <f>F13*D10</f>
        <v>2531.25</v>
      </c>
      <c r="G14" s="177" t="s">
        <v>419</v>
      </c>
      <c r="I14" s="179"/>
      <c r="J14" s="179"/>
      <c r="K14" s="180" t="s">
        <v>420</v>
      </c>
      <c r="L14" s="180">
        <f>K13-L13</f>
        <v>-168</v>
      </c>
    </row>
    <row r="15" spans="1:12" x14ac:dyDescent="0.15">
      <c r="E15" s="188" t="s">
        <v>421</v>
      </c>
      <c r="F15" s="189">
        <f>F13</f>
        <v>843.75</v>
      </c>
    </row>
    <row r="16" spans="1:12" x14ac:dyDescent="0.15">
      <c r="E16" s="188" t="s">
        <v>422</v>
      </c>
      <c r="F16" s="189">
        <f>F13</f>
        <v>843.75</v>
      </c>
      <c r="I16" s="177" t="s">
        <v>423</v>
      </c>
    </row>
    <row r="17" spans="4:12" x14ac:dyDescent="0.15">
      <c r="D17" s="179" t="s">
        <v>424</v>
      </c>
      <c r="E17" s="179"/>
      <c r="F17" s="179"/>
      <c r="G17" s="179"/>
      <c r="H17" s="179"/>
      <c r="I17" s="179" t="s">
        <v>400</v>
      </c>
      <c r="J17" s="179" t="s">
        <v>401</v>
      </c>
      <c r="K17" s="179" t="s">
        <v>402</v>
      </c>
      <c r="L17" s="179"/>
    </row>
    <row r="18" spans="4:12" x14ac:dyDescent="0.15">
      <c r="D18" s="179"/>
      <c r="E18" s="179" t="s">
        <v>401</v>
      </c>
      <c r="F18" s="179" t="s">
        <v>402</v>
      </c>
      <c r="G18" s="179"/>
      <c r="H18" s="179"/>
      <c r="I18" s="178">
        <f>B5</f>
        <v>0.9</v>
      </c>
      <c r="J18" s="178">
        <f>C5</f>
        <v>0.5</v>
      </c>
      <c r="K18" s="178">
        <f>D5</f>
        <v>0.8</v>
      </c>
      <c r="L18" s="179"/>
    </row>
    <row r="19" spans="4:12" x14ac:dyDescent="0.15">
      <c r="D19" s="179"/>
      <c r="E19" s="179">
        <v>1</v>
      </c>
      <c r="F19" s="179">
        <v>3</v>
      </c>
      <c r="G19" s="179" t="s">
        <v>405</v>
      </c>
      <c r="H19" s="179"/>
      <c r="I19" s="179">
        <v>3</v>
      </c>
      <c r="J19" s="179">
        <v>1</v>
      </c>
      <c r="K19" s="179">
        <v>1</v>
      </c>
      <c r="L19" s="179" t="s">
        <v>425</v>
      </c>
    </row>
    <row r="20" spans="4:12" x14ac:dyDescent="0.15">
      <c r="D20" s="179"/>
      <c r="E20" s="178">
        <f>E11</f>
        <v>1.1000000000000001</v>
      </c>
      <c r="F20" s="178">
        <f>F11</f>
        <v>0.9</v>
      </c>
      <c r="H20" s="179"/>
      <c r="I20" s="179"/>
      <c r="J20" s="179"/>
      <c r="K20" s="179">
        <f>(I18*I19)+(J18*J19)+(K18*K19)</f>
        <v>4</v>
      </c>
      <c r="L20" s="180">
        <v>168</v>
      </c>
    </row>
    <row r="21" spans="4:12" x14ac:dyDescent="0.15">
      <c r="D21" s="179"/>
      <c r="E21" s="179">
        <f>E19*E20</f>
        <v>1.1000000000000001</v>
      </c>
      <c r="F21" s="179">
        <f>F19*F20</f>
        <v>2.7</v>
      </c>
      <c r="G21" s="179">
        <f>G12-(B1*B4)</f>
        <v>2300</v>
      </c>
      <c r="H21" s="179"/>
      <c r="K21" s="188" t="s">
        <v>426</v>
      </c>
      <c r="L21" s="180">
        <f>L20/K20</f>
        <v>42</v>
      </c>
    </row>
    <row r="22" spans="4:12" x14ac:dyDescent="0.15">
      <c r="D22" s="179"/>
      <c r="E22" s="188" t="s">
        <v>417</v>
      </c>
      <c r="F22" s="180">
        <f>G21/(E21+F21)</f>
        <v>605.26315789473676</v>
      </c>
      <c r="G22" s="179"/>
      <c r="H22" s="179"/>
    </row>
    <row r="23" spans="4:12" x14ac:dyDescent="0.15">
      <c r="D23" s="179"/>
      <c r="E23" s="188" t="s">
        <v>418</v>
      </c>
      <c r="F23" s="179">
        <v>1000</v>
      </c>
      <c r="G23" s="179"/>
      <c r="H23" s="179"/>
    </row>
    <row r="24" spans="4:12" x14ac:dyDescent="0.15">
      <c r="D24" s="179"/>
      <c r="E24" s="188" t="s">
        <v>421</v>
      </c>
      <c r="F24" s="180">
        <f>F22</f>
        <v>605.26315789473676</v>
      </c>
      <c r="G24" s="179"/>
      <c r="H24" s="179"/>
      <c r="I24" s="179" t="s">
        <v>427</v>
      </c>
    </row>
    <row r="25" spans="4:12" x14ac:dyDescent="0.15">
      <c r="D25" s="179"/>
      <c r="E25" s="188" t="s">
        <v>422</v>
      </c>
      <c r="F25" s="191">
        <f>F24*F19</f>
        <v>1815.7894736842104</v>
      </c>
      <c r="G25" s="192" t="s">
        <v>428</v>
      </c>
      <c r="H25" s="179"/>
      <c r="I25" s="179" t="s">
        <v>400</v>
      </c>
      <c r="J25" s="179" t="s">
        <v>401</v>
      </c>
      <c r="K25" s="179" t="s">
        <v>402</v>
      </c>
      <c r="L25" s="179"/>
    </row>
    <row r="26" spans="4:12" x14ac:dyDescent="0.15">
      <c r="D26" s="179"/>
      <c r="E26" s="179"/>
      <c r="F26" s="179"/>
      <c r="G26" s="179"/>
      <c r="H26" s="179"/>
      <c r="I26" s="178">
        <f>B3</f>
        <v>0.3</v>
      </c>
      <c r="J26" s="178">
        <f>C3</f>
        <v>0.2</v>
      </c>
      <c r="K26" s="178">
        <f>D3</f>
        <v>1.5</v>
      </c>
      <c r="L26" s="179"/>
    </row>
    <row r="27" spans="4:12" x14ac:dyDescent="0.15">
      <c r="D27" s="179" t="s">
        <v>424</v>
      </c>
      <c r="E27" s="179"/>
      <c r="F27" s="179"/>
      <c r="G27" s="179"/>
      <c r="H27" s="179"/>
      <c r="I27" s="180">
        <f>F32</f>
        <v>1000</v>
      </c>
      <c r="J27" s="180">
        <f>F33</f>
        <v>864</v>
      </c>
      <c r="K27" s="180">
        <f>F34</f>
        <v>1500</v>
      </c>
      <c r="L27" s="179" t="s">
        <v>405</v>
      </c>
    </row>
    <row r="28" spans="4:12" x14ac:dyDescent="0.15">
      <c r="D28" s="179"/>
      <c r="E28" s="179" t="s">
        <v>421</v>
      </c>
      <c r="F28" s="180">
        <f>(G12-((B1*B4)+(D1*D4)))/C4</f>
        <v>863.63636363636351</v>
      </c>
      <c r="G28" s="179"/>
      <c r="H28" s="179"/>
      <c r="I28" s="179"/>
      <c r="J28" s="179"/>
      <c r="K28" s="179">
        <f>(I26*I27)+(J26*J27)+(K26*K27)</f>
        <v>2722.8</v>
      </c>
      <c r="L28" s="180">
        <f>F3</f>
        <v>2700</v>
      </c>
    </row>
    <row r="29" spans="4:12" x14ac:dyDescent="0.15">
      <c r="I29" s="179"/>
      <c r="J29" s="179"/>
      <c r="K29" s="180" t="s">
        <v>420</v>
      </c>
      <c r="L29" s="180">
        <f>L28-K28</f>
        <v>-22.800000000000182</v>
      </c>
    </row>
    <row r="30" spans="4:12" x14ac:dyDescent="0.15">
      <c r="D30" s="177" t="s">
        <v>429</v>
      </c>
    </row>
    <row r="31" spans="4:12" x14ac:dyDescent="0.15">
      <c r="I31" s="177" t="s">
        <v>423</v>
      </c>
    </row>
    <row r="32" spans="4:12" x14ac:dyDescent="0.15">
      <c r="E32" s="179" t="s">
        <v>418</v>
      </c>
      <c r="F32" s="179">
        <v>1000</v>
      </c>
      <c r="I32" s="179" t="s">
        <v>400</v>
      </c>
      <c r="J32" s="179" t="s">
        <v>401</v>
      </c>
      <c r="K32" s="179" t="s">
        <v>402</v>
      </c>
      <c r="L32" s="179"/>
    </row>
    <row r="33" spans="1:12" x14ac:dyDescent="0.15">
      <c r="E33" s="179" t="s">
        <v>421</v>
      </c>
      <c r="F33" s="179">
        <v>864</v>
      </c>
      <c r="I33" s="178">
        <f>B3</f>
        <v>0.3</v>
      </c>
      <c r="J33" s="178">
        <f>C3</f>
        <v>0.2</v>
      </c>
      <c r="K33" s="178">
        <f>D3</f>
        <v>1.5</v>
      </c>
      <c r="L33" s="179"/>
    </row>
    <row r="34" spans="1:12" x14ac:dyDescent="0.15">
      <c r="E34" s="179" t="s">
        <v>422</v>
      </c>
      <c r="F34" s="179">
        <v>1500</v>
      </c>
      <c r="I34" s="179">
        <v>1</v>
      </c>
      <c r="J34" s="179">
        <v>1</v>
      </c>
      <c r="K34" s="179">
        <v>3</v>
      </c>
      <c r="L34" s="179" t="s">
        <v>425</v>
      </c>
    </row>
    <row r="35" spans="1:12" x14ac:dyDescent="0.15">
      <c r="I35" s="179"/>
      <c r="J35" s="179"/>
      <c r="K35" s="179">
        <f>(I33*I34)+(J33*J34)+(K33*K34)</f>
        <v>5</v>
      </c>
      <c r="L35" s="180">
        <v>23</v>
      </c>
    </row>
    <row r="36" spans="1:12" x14ac:dyDescent="0.15">
      <c r="A36" s="175" t="s">
        <v>397</v>
      </c>
      <c r="B36" s="193">
        <f>K38</f>
        <v>995.4</v>
      </c>
      <c r="C36" s="193">
        <f>K39</f>
        <v>859.4</v>
      </c>
      <c r="D36" s="193">
        <f>K40</f>
        <v>1486.2</v>
      </c>
      <c r="E36" s="176"/>
      <c r="F36" s="175" t="s">
        <v>398</v>
      </c>
      <c r="K36" s="188" t="s">
        <v>426</v>
      </c>
      <c r="L36" s="180">
        <f>L35/K35</f>
        <v>4.5999999999999996</v>
      </c>
    </row>
    <row r="37" spans="1:12" x14ac:dyDescent="0.15">
      <c r="A37" s="175" t="s">
        <v>403</v>
      </c>
      <c r="B37" s="175" t="s">
        <v>400</v>
      </c>
      <c r="C37" s="175" t="s">
        <v>401</v>
      </c>
      <c r="D37" s="175" t="s">
        <v>402</v>
      </c>
      <c r="E37" s="175" t="s">
        <v>404</v>
      </c>
      <c r="F37" s="175" t="s">
        <v>405</v>
      </c>
      <c r="J37" s="194" t="s">
        <v>430</v>
      </c>
    </row>
    <row r="38" spans="1:12" x14ac:dyDescent="0.15">
      <c r="A38" s="175" t="s">
        <v>407</v>
      </c>
      <c r="B38" s="178">
        <v>0.3</v>
      </c>
      <c r="C38" s="178">
        <v>0.2</v>
      </c>
      <c r="D38" s="178">
        <v>1.5</v>
      </c>
      <c r="E38" s="180">
        <f>($B$36*B38)+($C$36*C38)+($D$36*D38)</f>
        <v>2699.8</v>
      </c>
      <c r="F38" s="180">
        <v>2700</v>
      </c>
      <c r="J38" s="188" t="s">
        <v>418</v>
      </c>
      <c r="K38" s="180">
        <f>I27-(I34*L36)</f>
        <v>995.4</v>
      </c>
      <c r="L38" s="177">
        <f>K38*I2</f>
        <v>119448</v>
      </c>
    </row>
    <row r="39" spans="1:12" x14ac:dyDescent="0.15">
      <c r="A39" s="175" t="s">
        <v>409</v>
      </c>
      <c r="B39" s="178">
        <v>0.4</v>
      </c>
      <c r="C39" s="178">
        <v>1.1000000000000001</v>
      </c>
      <c r="D39" s="178">
        <v>0.9</v>
      </c>
      <c r="E39" s="180">
        <f>($B$36*B39)+($C$36*C39)+($D$36*D39)</f>
        <v>2681.08</v>
      </c>
      <c r="F39" s="180">
        <v>2700</v>
      </c>
      <c r="J39" s="188" t="s">
        <v>421</v>
      </c>
      <c r="K39" s="180">
        <f>J27-(J34*L36)</f>
        <v>859.4</v>
      </c>
      <c r="L39" s="177">
        <f>K39*J2</f>
        <v>154692</v>
      </c>
    </row>
    <row r="40" spans="1:12" x14ac:dyDescent="0.15">
      <c r="A40" s="175" t="s">
        <v>411</v>
      </c>
      <c r="B40" s="178">
        <v>0.9</v>
      </c>
      <c r="C40" s="178">
        <v>0.5</v>
      </c>
      <c r="D40" s="178">
        <v>0.8</v>
      </c>
      <c r="E40" s="180">
        <f>($B$36*B40)+($C$36*C40)+($D$36*D40)</f>
        <v>2514.52</v>
      </c>
      <c r="F40" s="180">
        <v>2700</v>
      </c>
      <c r="J40" s="188" t="s">
        <v>422</v>
      </c>
      <c r="K40" s="180">
        <f>K27-(K34*L36)</f>
        <v>1486.2</v>
      </c>
      <c r="L40" s="177">
        <f>K40*K2</f>
        <v>297240</v>
      </c>
    </row>
    <row r="41" spans="1:12" x14ac:dyDescent="0.15">
      <c r="K41" s="177" t="s">
        <v>431</v>
      </c>
      <c r="L41" s="177">
        <f>SUM(L38:L40)</f>
        <v>571380</v>
      </c>
    </row>
    <row r="42" spans="1:12" x14ac:dyDescent="0.15">
      <c r="K42" s="177" t="s">
        <v>432</v>
      </c>
      <c r="L42" s="177">
        <v>300000</v>
      </c>
    </row>
    <row r="43" spans="1:12" x14ac:dyDescent="0.15">
      <c r="K43" s="177" t="s">
        <v>433</v>
      </c>
      <c r="L43" s="195">
        <f>L41-L42</f>
        <v>271380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39EA-9230-A240-B257-5A09ABB3F3D3}">
  <sheetPr>
    <pageSetUpPr fitToPage="1"/>
  </sheetPr>
  <dimension ref="A1:Q51"/>
  <sheetViews>
    <sheetView zoomScale="90" zoomScaleNormal="90" zoomScaleSheetLayoutView="125" zoomScalePageLayoutView="125" workbookViewId="0">
      <selection activeCell="N35" sqref="N35"/>
    </sheetView>
  </sheetViews>
  <sheetFormatPr baseColWidth="10" defaultRowHeight="13" x14ac:dyDescent="0.15"/>
  <cols>
    <col min="1" max="2" width="10.83203125" style="177"/>
    <col min="3" max="6" width="6.6640625" style="177" customWidth="1"/>
    <col min="7" max="13" width="10.83203125" style="177"/>
    <col min="14" max="14" width="11" style="177" customWidth="1"/>
    <col min="15" max="15" width="11" style="177" bestFit="1" customWidth="1"/>
    <col min="16" max="16" width="11.1640625" style="177" bestFit="1" customWidth="1"/>
    <col min="17" max="16384" width="10.83203125" style="177"/>
  </cols>
  <sheetData>
    <row r="1" spans="1:12" x14ac:dyDescent="0.15">
      <c r="A1" s="176" t="s">
        <v>434</v>
      </c>
    </row>
    <row r="2" spans="1:12" x14ac:dyDescent="0.15">
      <c r="A2" s="177" t="s">
        <v>435</v>
      </c>
    </row>
    <row r="3" spans="1:12" x14ac:dyDescent="0.15">
      <c r="A3" s="177" t="s">
        <v>436</v>
      </c>
    </row>
    <row r="4" spans="1:12" x14ac:dyDescent="0.15">
      <c r="A4" s="177" t="s">
        <v>437</v>
      </c>
    </row>
    <row r="5" spans="1:12" x14ac:dyDescent="0.15">
      <c r="A5" s="176"/>
    </row>
    <row r="6" spans="1:12" x14ac:dyDescent="0.15">
      <c r="G6" s="179" t="s">
        <v>438</v>
      </c>
      <c r="H6" s="179" t="s">
        <v>439</v>
      </c>
    </row>
    <row r="7" spans="1:12" ht="16" x14ac:dyDescent="0.2">
      <c r="B7" s="175" t="s">
        <v>440</v>
      </c>
      <c r="C7" s="175" t="s">
        <v>441</v>
      </c>
      <c r="D7" s="175" t="s">
        <v>347</v>
      </c>
      <c r="E7" s="175" t="s">
        <v>442</v>
      </c>
      <c r="F7" s="175" t="s">
        <v>202</v>
      </c>
      <c r="G7" s="175" t="s">
        <v>443</v>
      </c>
      <c r="H7" s="175" t="s">
        <v>444</v>
      </c>
      <c r="J7"/>
      <c r="K7"/>
      <c r="L7"/>
    </row>
    <row r="8" spans="1:12" ht="16" x14ac:dyDescent="0.2">
      <c r="B8" s="179" t="s">
        <v>190</v>
      </c>
      <c r="C8" s="179">
        <v>1.5</v>
      </c>
      <c r="D8" s="179">
        <v>0</v>
      </c>
      <c r="E8" s="179">
        <v>0</v>
      </c>
      <c r="F8" s="179">
        <v>0</v>
      </c>
      <c r="G8" s="178">
        <f>C8*2+D8*3+E8</f>
        <v>3</v>
      </c>
      <c r="H8" s="178">
        <f>C8*2+D8*1+F8</f>
        <v>3</v>
      </c>
      <c r="J8"/>
      <c r="K8"/>
      <c r="L8"/>
    </row>
    <row r="9" spans="1:12" ht="16" x14ac:dyDescent="0.2">
      <c r="B9" s="179" t="s">
        <v>68</v>
      </c>
      <c r="C9" s="179">
        <v>0</v>
      </c>
      <c r="D9" s="179">
        <v>0</v>
      </c>
      <c r="E9" s="179">
        <v>3.5</v>
      </c>
      <c r="F9" s="179">
        <v>3.5</v>
      </c>
      <c r="G9" s="178">
        <f t="shared" ref="G9:G16" si="0">C9*2+D9*3+E9</f>
        <v>3.5</v>
      </c>
      <c r="H9" s="178">
        <f t="shared" ref="H9:H16" si="1">C9*2+D9*1+F9</f>
        <v>3.5</v>
      </c>
      <c r="J9"/>
      <c r="K9"/>
      <c r="L9"/>
    </row>
    <row r="10" spans="1:12" ht="16" x14ac:dyDescent="0.2">
      <c r="B10" s="179" t="s">
        <v>194</v>
      </c>
      <c r="C10" s="179">
        <v>0</v>
      </c>
      <c r="D10" s="179">
        <v>2.5</v>
      </c>
      <c r="E10" s="179">
        <v>0</v>
      </c>
      <c r="F10" s="179">
        <v>0</v>
      </c>
      <c r="G10" s="178">
        <f t="shared" si="0"/>
        <v>7.5</v>
      </c>
      <c r="H10" s="178">
        <f t="shared" si="1"/>
        <v>2.5</v>
      </c>
      <c r="J10"/>
      <c r="K10"/>
      <c r="L10"/>
    </row>
    <row r="11" spans="1:12" ht="16" x14ac:dyDescent="0.2">
      <c r="B11" s="179" t="s">
        <v>445</v>
      </c>
      <c r="C11" s="179">
        <v>0</v>
      </c>
      <c r="D11" s="179">
        <v>7.25</v>
      </c>
      <c r="E11" s="179">
        <v>7.25</v>
      </c>
      <c r="F11" s="179">
        <v>0</v>
      </c>
      <c r="G11" s="196">
        <f>C11*2+D11*3+E11</f>
        <v>29</v>
      </c>
      <c r="H11" s="178">
        <f t="shared" si="1"/>
        <v>7.25</v>
      </c>
      <c r="I11" s="176" t="s">
        <v>446</v>
      </c>
      <c r="J11"/>
      <c r="K11"/>
      <c r="L11"/>
    </row>
    <row r="12" spans="1:12" x14ac:dyDescent="0.15">
      <c r="B12" s="179" t="s">
        <v>447</v>
      </c>
      <c r="C12" s="179">
        <v>0</v>
      </c>
      <c r="D12" s="179">
        <v>0</v>
      </c>
      <c r="E12" s="179">
        <v>0</v>
      </c>
      <c r="F12" s="179">
        <v>3.5</v>
      </c>
      <c r="G12" s="178">
        <f t="shared" si="0"/>
        <v>0</v>
      </c>
      <c r="H12" s="178">
        <f t="shared" si="1"/>
        <v>3.5</v>
      </c>
    </row>
    <row r="13" spans="1:12" x14ac:dyDescent="0.15">
      <c r="B13" s="179" t="s">
        <v>448</v>
      </c>
      <c r="C13" s="179">
        <v>0</v>
      </c>
      <c r="D13" s="179">
        <v>0</v>
      </c>
      <c r="E13" s="179">
        <v>7.75</v>
      </c>
      <c r="F13" s="179">
        <v>7.75</v>
      </c>
      <c r="G13" s="178">
        <f t="shared" si="0"/>
        <v>7.75</v>
      </c>
      <c r="H13" s="196">
        <f t="shared" si="1"/>
        <v>7.75</v>
      </c>
      <c r="I13" s="176" t="s">
        <v>449</v>
      </c>
    </row>
    <row r="14" spans="1:12" x14ac:dyDescent="0.15">
      <c r="B14" s="179" t="s">
        <v>450</v>
      </c>
      <c r="C14" s="179">
        <v>0</v>
      </c>
      <c r="D14" s="179">
        <v>3.5</v>
      </c>
      <c r="E14" s="179">
        <v>0</v>
      </c>
      <c r="F14" s="179">
        <v>0</v>
      </c>
      <c r="G14" s="178">
        <f t="shared" si="0"/>
        <v>10.5</v>
      </c>
      <c r="H14" s="178">
        <f t="shared" si="1"/>
        <v>3.5</v>
      </c>
    </row>
    <row r="15" spans="1:12" x14ac:dyDescent="0.15">
      <c r="B15" s="179" t="s">
        <v>451</v>
      </c>
      <c r="C15" s="179">
        <v>0</v>
      </c>
      <c r="D15" s="179">
        <v>3</v>
      </c>
      <c r="E15" s="179">
        <v>0</v>
      </c>
      <c r="F15" s="179">
        <v>0</v>
      </c>
      <c r="G15" s="178">
        <f t="shared" si="0"/>
        <v>9</v>
      </c>
      <c r="H15" s="178">
        <f t="shared" si="1"/>
        <v>3</v>
      </c>
    </row>
    <row r="16" spans="1:12" x14ac:dyDescent="0.15">
      <c r="B16" s="179" t="s">
        <v>452</v>
      </c>
      <c r="C16" s="179">
        <v>0</v>
      </c>
      <c r="D16" s="179">
        <v>3.25</v>
      </c>
      <c r="E16" s="179">
        <v>0</v>
      </c>
      <c r="F16" s="179">
        <v>0</v>
      </c>
      <c r="G16" s="178">
        <f t="shared" si="0"/>
        <v>9.75</v>
      </c>
      <c r="H16" s="178">
        <f t="shared" si="1"/>
        <v>3.25</v>
      </c>
    </row>
    <row r="17" spans="1:17" x14ac:dyDescent="0.15">
      <c r="B17" s="179"/>
      <c r="C17" s="179"/>
      <c r="D17" s="179"/>
      <c r="E17" s="179"/>
      <c r="F17" s="179"/>
      <c r="G17" s="178"/>
      <c r="H17" s="178"/>
    </row>
    <row r="18" spans="1:17" x14ac:dyDescent="0.15">
      <c r="A18" s="177" t="s">
        <v>453</v>
      </c>
      <c r="B18" s="179"/>
      <c r="C18" s="179"/>
      <c r="D18" s="179"/>
      <c r="E18" s="179"/>
      <c r="F18" s="179"/>
      <c r="G18" s="178"/>
      <c r="H18" s="178"/>
      <c r="K18" s="176" t="s">
        <v>454</v>
      </c>
      <c r="L18" s="197">
        <f>N18*2+O18*2</f>
        <v>103510</v>
      </c>
      <c r="M18" s="197">
        <f>N18*3+O18</f>
        <v>77633</v>
      </c>
      <c r="N18" s="197">
        <v>12939</v>
      </c>
      <c r="O18" s="197">
        <v>38816</v>
      </c>
    </row>
    <row r="19" spans="1:17" x14ac:dyDescent="0.15">
      <c r="B19" s="179"/>
      <c r="C19" s="179"/>
      <c r="D19" s="179"/>
      <c r="E19" s="179"/>
      <c r="F19" s="179"/>
      <c r="G19" s="178"/>
      <c r="H19" s="178"/>
      <c r="K19" s="175" t="s">
        <v>440</v>
      </c>
      <c r="L19" s="175" t="s">
        <v>441</v>
      </c>
      <c r="M19" s="175" t="s">
        <v>347</v>
      </c>
      <c r="N19" s="175" t="s">
        <v>442</v>
      </c>
      <c r="O19" s="175" t="s">
        <v>202</v>
      </c>
      <c r="P19" s="175" t="s">
        <v>376</v>
      </c>
      <c r="Q19" s="176" t="s">
        <v>455</v>
      </c>
    </row>
    <row r="20" spans="1:17" x14ac:dyDescent="0.15">
      <c r="K20" s="179" t="s">
        <v>190</v>
      </c>
      <c r="L20" s="179">
        <v>1.5</v>
      </c>
      <c r="M20" s="179">
        <v>0</v>
      </c>
      <c r="N20" s="179">
        <v>0</v>
      </c>
      <c r="O20" s="179">
        <v>0</v>
      </c>
      <c r="P20" s="197">
        <f t="shared" ref="P20:P28" si="2">SUMPRODUCT($L$18:$O$18,L20:O20)/60</f>
        <v>2587.75</v>
      </c>
      <c r="Q20" s="198">
        <f>C24</f>
        <v>10944</v>
      </c>
    </row>
    <row r="21" spans="1:17" x14ac:dyDescent="0.15">
      <c r="A21" s="176" t="s">
        <v>456</v>
      </c>
      <c r="K21" s="179" t="s">
        <v>68</v>
      </c>
      <c r="L21" s="179">
        <v>0</v>
      </c>
      <c r="M21" s="179">
        <v>0</v>
      </c>
      <c r="N21" s="179">
        <v>3.5</v>
      </c>
      <c r="O21" s="179">
        <v>3.5</v>
      </c>
      <c r="P21" s="197">
        <f t="shared" si="2"/>
        <v>3019.0416666666665</v>
      </c>
      <c r="Q21" s="198"/>
    </row>
    <row r="22" spans="1:17" x14ac:dyDescent="0.15">
      <c r="A22" s="177" t="s">
        <v>457</v>
      </c>
      <c r="K22" s="179" t="s">
        <v>194</v>
      </c>
      <c r="L22" s="179">
        <v>0</v>
      </c>
      <c r="M22" s="179">
        <v>2.5</v>
      </c>
      <c r="N22" s="179">
        <v>0</v>
      </c>
      <c r="O22" s="179">
        <v>0</v>
      </c>
      <c r="P22" s="197">
        <f t="shared" si="2"/>
        <v>3234.7083333333335</v>
      </c>
      <c r="Q22" s="198"/>
    </row>
    <row r="23" spans="1:17" x14ac:dyDescent="0.15">
      <c r="K23" s="179" t="s">
        <v>445</v>
      </c>
      <c r="L23" s="179">
        <v>0</v>
      </c>
      <c r="M23" s="179">
        <v>7.25</v>
      </c>
      <c r="N23" s="179">
        <v>7.25</v>
      </c>
      <c r="O23" s="179">
        <v>0</v>
      </c>
      <c r="P23" s="197">
        <f t="shared" si="2"/>
        <v>10944.116666666667</v>
      </c>
      <c r="Q23" s="198"/>
    </row>
    <row r="24" spans="1:17" x14ac:dyDescent="0.15">
      <c r="B24" s="177" t="s">
        <v>455</v>
      </c>
      <c r="C24" s="177">
        <f>240*60*0.95*0.8</f>
        <v>10944</v>
      </c>
      <c r="D24" s="177" t="s">
        <v>458</v>
      </c>
      <c r="K24" s="179" t="s">
        <v>447</v>
      </c>
      <c r="L24" s="179">
        <v>0</v>
      </c>
      <c r="M24" s="179">
        <v>0</v>
      </c>
      <c r="N24" s="179">
        <v>0</v>
      </c>
      <c r="O24" s="179">
        <v>3.5</v>
      </c>
      <c r="P24" s="197">
        <f t="shared" si="2"/>
        <v>2264.2666666666669</v>
      </c>
      <c r="Q24" s="198"/>
    </row>
    <row r="25" spans="1:17" x14ac:dyDescent="0.15">
      <c r="B25" s="176" t="s">
        <v>211</v>
      </c>
      <c r="C25" s="176">
        <f>C24*60/H13</f>
        <v>84727.741935483864</v>
      </c>
      <c r="D25" s="177" t="s">
        <v>459</v>
      </c>
      <c r="K25" s="179" t="s">
        <v>448</v>
      </c>
      <c r="L25" s="179">
        <v>0</v>
      </c>
      <c r="M25" s="179">
        <v>0</v>
      </c>
      <c r="N25" s="179">
        <v>7.75</v>
      </c>
      <c r="O25" s="179">
        <v>7.75</v>
      </c>
      <c r="P25" s="197">
        <f t="shared" si="2"/>
        <v>6685.020833333333</v>
      </c>
      <c r="Q25" s="198"/>
    </row>
    <row r="26" spans="1:17" x14ac:dyDescent="0.15">
      <c r="B26" s="177" t="s">
        <v>460</v>
      </c>
      <c r="C26" s="272">
        <f>C25*G39</f>
        <v>559203.09677419346</v>
      </c>
      <c r="D26" s="272"/>
      <c r="K26" s="179" t="s">
        <v>450</v>
      </c>
      <c r="L26" s="179">
        <v>0</v>
      </c>
      <c r="M26" s="179">
        <v>3.5</v>
      </c>
      <c r="N26" s="179">
        <v>0</v>
      </c>
      <c r="O26" s="179">
        <v>0</v>
      </c>
      <c r="P26" s="197">
        <f t="shared" si="2"/>
        <v>4528.5916666666662</v>
      </c>
      <c r="Q26" s="198"/>
    </row>
    <row r="27" spans="1:17" x14ac:dyDescent="0.15">
      <c r="B27" s="177" t="s">
        <v>461</v>
      </c>
      <c r="C27" s="272">
        <v>7500</v>
      </c>
      <c r="D27" s="272"/>
      <c r="K27" s="179" t="s">
        <v>451</v>
      </c>
      <c r="L27" s="179">
        <v>0</v>
      </c>
      <c r="M27" s="179">
        <v>3</v>
      </c>
      <c r="N27" s="179">
        <v>0</v>
      </c>
      <c r="O27" s="179">
        <v>0</v>
      </c>
      <c r="P27" s="197">
        <f t="shared" si="2"/>
        <v>3881.65</v>
      </c>
      <c r="Q27" s="198"/>
    </row>
    <row r="28" spans="1:17" x14ac:dyDescent="0.15">
      <c r="B28" s="176" t="s">
        <v>462</v>
      </c>
      <c r="C28" s="273">
        <f>C26-C27</f>
        <v>551703.09677419346</v>
      </c>
      <c r="D28" s="273"/>
      <c r="H28" s="176"/>
      <c r="K28" s="179" t="s">
        <v>452</v>
      </c>
      <c r="L28" s="179">
        <v>0</v>
      </c>
      <c r="M28" s="179">
        <v>3.25</v>
      </c>
      <c r="N28" s="179">
        <v>0</v>
      </c>
      <c r="O28" s="179">
        <v>0</v>
      </c>
      <c r="P28" s="197">
        <f t="shared" si="2"/>
        <v>4205.1208333333334</v>
      </c>
      <c r="Q28" s="198"/>
    </row>
    <row r="30" spans="1:17" x14ac:dyDescent="0.15">
      <c r="A30" s="176" t="s">
        <v>463</v>
      </c>
    </row>
    <row r="31" spans="1:17" x14ac:dyDescent="0.15">
      <c r="A31" s="177" t="s">
        <v>464</v>
      </c>
    </row>
    <row r="32" spans="1:17" x14ac:dyDescent="0.15">
      <c r="A32" s="177" t="s">
        <v>465</v>
      </c>
    </row>
    <row r="33" spans="1:11" x14ac:dyDescent="0.15">
      <c r="A33" s="177" t="s">
        <v>466</v>
      </c>
    </row>
    <row r="34" spans="1:11" x14ac:dyDescent="0.15">
      <c r="J34" s="175" t="s">
        <v>467</v>
      </c>
      <c r="K34" s="175" t="s">
        <v>468</v>
      </c>
    </row>
    <row r="35" spans="1:11" x14ac:dyDescent="0.15">
      <c r="A35" s="175" t="s">
        <v>440</v>
      </c>
      <c r="B35" s="175" t="s">
        <v>467</v>
      </c>
      <c r="C35" s="175" t="s">
        <v>468</v>
      </c>
      <c r="I35" s="177" t="s">
        <v>455</v>
      </c>
      <c r="J35" s="177">
        <v>10944</v>
      </c>
      <c r="K35" s="177">
        <v>10944</v>
      </c>
    </row>
    <row r="36" spans="1:11" x14ac:dyDescent="0.15">
      <c r="A36" s="179" t="s">
        <v>190</v>
      </c>
      <c r="B36" s="179">
        <f>3*G8+1*H8</f>
        <v>12</v>
      </c>
      <c r="C36" s="179">
        <f>1*G8+3*H8</f>
        <v>12</v>
      </c>
      <c r="E36" s="179"/>
      <c r="F36" s="175" t="s">
        <v>442</v>
      </c>
      <c r="G36" s="175" t="s">
        <v>202</v>
      </c>
      <c r="I36" s="177" t="s">
        <v>347</v>
      </c>
      <c r="J36" s="187">
        <f>J35*60/(3*F40+G40)</f>
        <v>6967.0026525198937</v>
      </c>
      <c r="K36" s="187">
        <f>K35*60/(F40+3*G40)</f>
        <v>12938.719211822659</v>
      </c>
    </row>
    <row r="37" spans="1:11" x14ac:dyDescent="0.15">
      <c r="A37" s="179" t="s">
        <v>68</v>
      </c>
      <c r="B37" s="179">
        <f t="shared" ref="B37:B44" si="3">3*G9+1*H9</f>
        <v>14</v>
      </c>
      <c r="C37" s="179">
        <f t="shared" ref="C37:C44" si="4">1*G9+3*H9</f>
        <v>14</v>
      </c>
      <c r="E37" s="175" t="s">
        <v>469</v>
      </c>
      <c r="F37" s="179">
        <v>12.5</v>
      </c>
      <c r="G37" s="179">
        <v>14.6</v>
      </c>
      <c r="I37" s="177" t="s">
        <v>442</v>
      </c>
      <c r="J37" s="187">
        <f>J36*3</f>
        <v>20901.007957559683</v>
      </c>
      <c r="K37" s="187">
        <f>K36</f>
        <v>12938.719211822659</v>
      </c>
    </row>
    <row r="38" spans="1:11" x14ac:dyDescent="0.15">
      <c r="A38" s="179" t="s">
        <v>194</v>
      </c>
      <c r="B38" s="179">
        <f t="shared" si="3"/>
        <v>25</v>
      </c>
      <c r="C38" s="179">
        <f t="shared" si="4"/>
        <v>15</v>
      </c>
      <c r="E38" s="175" t="s">
        <v>470</v>
      </c>
      <c r="F38" s="199">
        <v>12</v>
      </c>
      <c r="G38" s="199">
        <v>8</v>
      </c>
      <c r="I38" s="177" t="s">
        <v>202</v>
      </c>
      <c r="J38" s="187">
        <f>J36</f>
        <v>6967.0026525198937</v>
      </c>
      <c r="K38" s="187">
        <f>K36*3</f>
        <v>38816.157635467978</v>
      </c>
    </row>
    <row r="39" spans="1:11" x14ac:dyDescent="0.15">
      <c r="A39" s="175" t="s">
        <v>445</v>
      </c>
      <c r="B39" s="175">
        <f t="shared" si="3"/>
        <v>94.25</v>
      </c>
      <c r="C39" s="175">
        <f t="shared" si="4"/>
        <v>50.75</v>
      </c>
      <c r="D39" s="176" t="s">
        <v>471</v>
      </c>
      <c r="E39" s="175" t="s">
        <v>472</v>
      </c>
      <c r="F39" s="179">
        <f>F37-F38</f>
        <v>0.5</v>
      </c>
      <c r="G39" s="179">
        <f>G37-G38</f>
        <v>6.6</v>
      </c>
    </row>
    <row r="40" spans="1:11" x14ac:dyDescent="0.15">
      <c r="A40" s="179" t="s">
        <v>447</v>
      </c>
      <c r="B40" s="179">
        <f t="shared" si="3"/>
        <v>3.5</v>
      </c>
      <c r="C40" s="179">
        <f t="shared" si="4"/>
        <v>10.5</v>
      </c>
      <c r="E40" s="175" t="s">
        <v>473</v>
      </c>
      <c r="F40" s="178">
        <f>3*D11+E11</f>
        <v>29</v>
      </c>
      <c r="G40" s="178">
        <f>D11</f>
        <v>7.25</v>
      </c>
      <c r="I40" s="177" t="s">
        <v>460</v>
      </c>
      <c r="J40" s="187">
        <f>J37*F39+J38*G39</f>
        <v>56432.721485411137</v>
      </c>
      <c r="K40" s="187">
        <f>K37*F39+K38*G39</f>
        <v>262655.99999999994</v>
      </c>
    </row>
    <row r="41" spans="1:11" x14ac:dyDescent="0.15">
      <c r="A41" s="179" t="s">
        <v>448</v>
      </c>
      <c r="B41" s="179">
        <f t="shared" si="3"/>
        <v>31</v>
      </c>
      <c r="C41" s="179">
        <f t="shared" si="4"/>
        <v>31</v>
      </c>
      <c r="D41" s="176"/>
      <c r="E41" s="175" t="s">
        <v>474</v>
      </c>
      <c r="F41" s="178">
        <f>F39/F40</f>
        <v>1.7241379310344827E-2</v>
      </c>
      <c r="G41" s="178">
        <f>G39/G40</f>
        <v>0.91034482758620683</v>
      </c>
      <c r="I41" s="177" t="s">
        <v>461</v>
      </c>
      <c r="J41" s="187">
        <v>7500</v>
      </c>
      <c r="K41" s="187">
        <v>7500</v>
      </c>
    </row>
    <row r="42" spans="1:11" x14ac:dyDescent="0.15">
      <c r="A42" s="179" t="s">
        <v>450</v>
      </c>
      <c r="B42" s="179">
        <f t="shared" si="3"/>
        <v>35</v>
      </c>
      <c r="C42" s="179">
        <f t="shared" si="4"/>
        <v>21</v>
      </c>
      <c r="I42" s="176" t="s">
        <v>462</v>
      </c>
      <c r="J42" s="200">
        <f>J40-J41</f>
        <v>48932.721485411137</v>
      </c>
      <c r="K42" s="200">
        <f>K40-K41</f>
        <v>255155.99999999994</v>
      </c>
    </row>
    <row r="43" spans="1:11" x14ac:dyDescent="0.15">
      <c r="A43" s="179" t="s">
        <v>451</v>
      </c>
      <c r="B43" s="179">
        <f t="shared" si="3"/>
        <v>30</v>
      </c>
      <c r="C43" s="179">
        <f t="shared" si="4"/>
        <v>18</v>
      </c>
      <c r="E43" s="201"/>
    </row>
    <row r="44" spans="1:11" x14ac:dyDescent="0.15">
      <c r="A44" s="179" t="s">
        <v>452</v>
      </c>
      <c r="B44" s="179">
        <f t="shared" si="3"/>
        <v>32.5</v>
      </c>
      <c r="C44" s="179">
        <f t="shared" si="4"/>
        <v>19.5</v>
      </c>
    </row>
    <row r="46" spans="1:11" x14ac:dyDescent="0.15">
      <c r="A46" s="192"/>
    </row>
    <row r="47" spans="1:11" x14ac:dyDescent="0.15">
      <c r="A47" s="192"/>
    </row>
    <row r="49" spans="1:1" x14ac:dyDescent="0.15">
      <c r="A49" s="201" t="s">
        <v>475</v>
      </c>
    </row>
    <row r="50" spans="1:1" x14ac:dyDescent="0.15">
      <c r="A50" s="177" t="s">
        <v>476</v>
      </c>
    </row>
    <row r="51" spans="1:1" x14ac:dyDescent="0.15">
      <c r="A51" s="177" t="s">
        <v>477</v>
      </c>
    </row>
  </sheetData>
  <mergeCells count="3">
    <mergeCell ref="C26:D26"/>
    <mergeCell ref="C27:D27"/>
    <mergeCell ref="C28:D28"/>
  </mergeCells>
  <pageMargins left="0.65" right="0.56000000000000005" top="0.65" bottom="0.62" header="0.5" footer="0.5"/>
  <pageSetup paperSize="0" scale="77" orientation="landscape" horizontalDpi="4294967292" verticalDpi="429496729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926F0-F5FC-4046-9909-7EEAB7ED7FB9}">
  <dimension ref="B2:H33"/>
  <sheetViews>
    <sheetView zoomScale="110" zoomScaleNormal="110" zoomScalePageLayoutView="125" workbookViewId="0">
      <selection activeCell="I27" sqref="I27"/>
    </sheetView>
  </sheetViews>
  <sheetFormatPr baseColWidth="10" defaultColWidth="11" defaultRowHeight="16" x14ac:dyDescent="0.2"/>
  <sheetData>
    <row r="2" spans="2:8" x14ac:dyDescent="0.2">
      <c r="B2" s="10"/>
      <c r="C2" s="23" t="s">
        <v>342</v>
      </c>
      <c r="D2" s="23" t="s">
        <v>469</v>
      </c>
      <c r="E2" s="23" t="s">
        <v>470</v>
      </c>
      <c r="F2" s="23" t="s">
        <v>472</v>
      </c>
      <c r="G2" s="23" t="s">
        <v>473</v>
      </c>
      <c r="H2" s="23" t="s">
        <v>474</v>
      </c>
    </row>
    <row r="3" spans="2:8" x14ac:dyDescent="0.2">
      <c r="B3" s="23" t="s">
        <v>442</v>
      </c>
      <c r="C3" s="10">
        <v>100</v>
      </c>
      <c r="D3" s="10">
        <v>90</v>
      </c>
      <c r="E3" s="10">
        <v>45</v>
      </c>
      <c r="F3" s="10">
        <f>D3-E3</f>
        <v>45</v>
      </c>
      <c r="G3" s="10">
        <v>15</v>
      </c>
      <c r="H3" s="10">
        <f>F3/G3</f>
        <v>3</v>
      </c>
    </row>
    <row r="4" spans="2:8" x14ac:dyDescent="0.2">
      <c r="B4" s="23" t="s">
        <v>202</v>
      </c>
      <c r="C4" s="10">
        <v>50</v>
      </c>
      <c r="D4" s="10">
        <v>100</v>
      </c>
      <c r="E4" s="10">
        <v>40</v>
      </c>
      <c r="F4" s="10">
        <f>D4-E4</f>
        <v>60</v>
      </c>
      <c r="G4" s="10">
        <v>30</v>
      </c>
      <c r="H4" s="10">
        <f>F4/G4</f>
        <v>2</v>
      </c>
    </row>
    <row r="6" spans="2:8" x14ac:dyDescent="0.2">
      <c r="B6" s="107" t="s">
        <v>455</v>
      </c>
      <c r="C6">
        <v>2400</v>
      </c>
    </row>
    <row r="7" spans="2:8" x14ac:dyDescent="0.2">
      <c r="B7" s="107" t="s">
        <v>478</v>
      </c>
    </row>
    <row r="9" spans="2:8" x14ac:dyDescent="0.2">
      <c r="B9" s="10"/>
      <c r="C9" s="23" t="s">
        <v>442</v>
      </c>
      <c r="D9" s="23" t="s">
        <v>202</v>
      </c>
      <c r="E9" s="23" t="s">
        <v>479</v>
      </c>
    </row>
    <row r="10" spans="2:8" x14ac:dyDescent="0.2">
      <c r="B10" s="23" t="s">
        <v>180</v>
      </c>
      <c r="C10" s="10">
        <v>15</v>
      </c>
      <c r="D10" s="10">
        <v>10</v>
      </c>
      <c r="E10" s="10">
        <f>C10+D10</f>
        <v>25</v>
      </c>
    </row>
    <row r="11" spans="2:8" x14ac:dyDescent="0.2">
      <c r="B11" s="23" t="s">
        <v>182</v>
      </c>
      <c r="C11" s="10">
        <v>15</v>
      </c>
      <c r="D11" s="10">
        <v>30</v>
      </c>
      <c r="E11" s="10">
        <f t="shared" ref="E11:E13" si="0">C11+D11</f>
        <v>45</v>
      </c>
      <c r="F11" t="s">
        <v>471</v>
      </c>
    </row>
    <row r="12" spans="2:8" x14ac:dyDescent="0.2">
      <c r="B12" s="23" t="s">
        <v>183</v>
      </c>
      <c r="C12" s="10">
        <v>15</v>
      </c>
      <c r="D12" s="10">
        <v>5</v>
      </c>
      <c r="E12" s="10">
        <f t="shared" si="0"/>
        <v>20</v>
      </c>
    </row>
    <row r="13" spans="2:8" x14ac:dyDescent="0.2">
      <c r="B13" s="23" t="s">
        <v>184</v>
      </c>
      <c r="C13" s="10">
        <v>15</v>
      </c>
      <c r="D13" s="10">
        <v>5</v>
      </c>
      <c r="E13" s="10">
        <f t="shared" si="0"/>
        <v>20</v>
      </c>
    </row>
    <row r="15" spans="2:8" x14ac:dyDescent="0.2">
      <c r="B15" s="23" t="s">
        <v>480</v>
      </c>
    </row>
    <row r="16" spans="2:8" x14ac:dyDescent="0.2">
      <c r="B16" s="23" t="s">
        <v>442</v>
      </c>
      <c r="C16" s="10">
        <f>C6/C13</f>
        <v>160</v>
      </c>
      <c r="D16" t="s">
        <v>481</v>
      </c>
    </row>
    <row r="17" spans="2:4" x14ac:dyDescent="0.2">
      <c r="B17" s="23" t="s">
        <v>202</v>
      </c>
      <c r="C17" s="43">
        <f>+C6/D11</f>
        <v>80</v>
      </c>
      <c r="D17" t="s">
        <v>482</v>
      </c>
    </row>
    <row r="19" spans="2:4" x14ac:dyDescent="0.2">
      <c r="B19" s="95" t="s">
        <v>483</v>
      </c>
    </row>
    <row r="20" spans="2:4" x14ac:dyDescent="0.2">
      <c r="B20" s="23" t="s">
        <v>442</v>
      </c>
      <c r="C20" s="10">
        <v>100</v>
      </c>
      <c r="D20" t="s">
        <v>484</v>
      </c>
    </row>
    <row r="21" spans="2:4" x14ac:dyDescent="0.2">
      <c r="B21" s="23" t="s">
        <v>202</v>
      </c>
      <c r="C21" s="10">
        <f>(C6-(C20*C11))/D11</f>
        <v>30</v>
      </c>
    </row>
    <row r="23" spans="2:4" x14ac:dyDescent="0.2">
      <c r="B23" s="107" t="s">
        <v>485</v>
      </c>
    </row>
    <row r="24" spans="2:4" x14ac:dyDescent="0.2">
      <c r="C24" t="s">
        <v>486</v>
      </c>
    </row>
    <row r="25" spans="2:4" x14ac:dyDescent="0.2">
      <c r="C25" t="s">
        <v>487</v>
      </c>
      <c r="D25">
        <f>TRUNC(2400/75,0)</f>
        <v>32</v>
      </c>
    </row>
    <row r="26" spans="2:4" x14ac:dyDescent="0.2">
      <c r="B26" s="23" t="s">
        <v>442</v>
      </c>
      <c r="C26" s="10">
        <v>64</v>
      </c>
    </row>
    <row r="27" spans="2:4" x14ac:dyDescent="0.2">
      <c r="B27" s="23" t="s">
        <v>202</v>
      </c>
      <c r="C27" s="10">
        <v>32</v>
      </c>
    </row>
    <row r="29" spans="2:4" x14ac:dyDescent="0.2">
      <c r="B29" s="107" t="s">
        <v>488</v>
      </c>
    </row>
    <row r="30" spans="2:4" x14ac:dyDescent="0.2">
      <c r="C30" t="s">
        <v>489</v>
      </c>
    </row>
    <row r="32" spans="2:4" x14ac:dyDescent="0.2">
      <c r="C32" t="s">
        <v>490</v>
      </c>
      <c r="D32" s="24">
        <f>(C20*D3+C21*D4)/(C6/60*70+(1500/60*10)+(900/60*15))</f>
        <v>3.66412213740458</v>
      </c>
    </row>
    <row r="33" spans="3:4" x14ac:dyDescent="0.2">
      <c r="C33" t="s">
        <v>491</v>
      </c>
      <c r="D33" s="24">
        <f>(C26*D3+C27*D4)/(C6/60*70+(1200/60*10)+(1200/60*15))</f>
        <v>2.7151515151515153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72"/>
  <sheetViews>
    <sheetView zoomScale="80" zoomScaleNormal="80" zoomScalePageLayoutView="80" workbookViewId="0">
      <selection activeCell="F27" sqref="F27"/>
    </sheetView>
  </sheetViews>
  <sheetFormatPr baseColWidth="10" defaultRowHeight="16" x14ac:dyDescent="0.2"/>
  <cols>
    <col min="1" max="1" width="21.6640625" customWidth="1"/>
    <col min="2" max="2" width="18.6640625" customWidth="1"/>
    <col min="3" max="3" width="17.83203125" customWidth="1"/>
    <col min="4" max="4" width="16.33203125" customWidth="1"/>
    <col min="5" max="5" width="24.5" customWidth="1"/>
    <col min="6" max="6" width="19.1640625" customWidth="1"/>
    <col min="7" max="7" width="13.5" customWidth="1"/>
    <col min="19" max="33" width="4.6640625" customWidth="1"/>
  </cols>
  <sheetData>
    <row r="1" spans="2:33" x14ac:dyDescent="0.2">
      <c r="B1" s="3">
        <v>4.97</v>
      </c>
      <c r="C1" s="4">
        <v>5.0256935331278418</v>
      </c>
    </row>
    <row r="2" spans="2:33" x14ac:dyDescent="0.2">
      <c r="B2" s="5">
        <v>5.0514206366161076</v>
      </c>
      <c r="C2" s="5">
        <v>5.0620227668080693</v>
      </c>
    </row>
    <row r="3" spans="2:33" x14ac:dyDescent="0.2">
      <c r="B3" s="4">
        <v>5.0207739494003114</v>
      </c>
      <c r="C3" s="4">
        <v>5.03</v>
      </c>
      <c r="S3" s="205" t="s">
        <v>10</v>
      </c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</row>
    <row r="4" spans="2:33" x14ac:dyDescent="0.2">
      <c r="B4" s="6">
        <v>5.0118259224219486</v>
      </c>
      <c r="C4" s="6">
        <v>5.0096224860377818</v>
      </c>
      <c r="D4" t="s">
        <v>11</v>
      </c>
      <c r="E4" s="7">
        <f>MAX(B1:C30)</f>
        <v>5.0994628742332218</v>
      </c>
      <c r="S4" s="8">
        <v>4.97</v>
      </c>
      <c r="T4" s="8">
        <v>5.0514206366161076</v>
      </c>
      <c r="U4" s="8">
        <v>5.0207739494003114</v>
      </c>
      <c r="V4" s="8">
        <v>5.0118259224219486</v>
      </c>
      <c r="W4" s="8">
        <v>5.0044953764458144</v>
      </c>
      <c r="X4" s="8">
        <v>5.0394451734977261</v>
      </c>
      <c r="Y4" s="8">
        <v>5.0643910031434061</v>
      </c>
      <c r="Z4" s="8">
        <v>4.9800000000000004</v>
      </c>
      <c r="AA4" s="8">
        <v>4.9086062196722313</v>
      </c>
      <c r="AB4" s="8">
        <v>5.000180059205908</v>
      </c>
      <c r="AC4" s="8">
        <v>4.97</v>
      </c>
      <c r="AD4" s="8">
        <v>5</v>
      </c>
      <c r="AE4" s="8">
        <v>5.01</v>
      </c>
      <c r="AF4" s="8">
        <v>4.9310129093295085</v>
      </c>
      <c r="AG4" s="8">
        <v>4.9821436201055942</v>
      </c>
    </row>
    <row r="5" spans="2:33" x14ac:dyDescent="0.2">
      <c r="B5" s="6">
        <v>5.0044953764458144</v>
      </c>
      <c r="C5" s="9">
        <v>4.952247688222907</v>
      </c>
      <c r="D5" t="s">
        <v>12</v>
      </c>
      <c r="E5" s="7">
        <f>MIN(B1:C30)</f>
        <v>4.9086062196722313</v>
      </c>
      <c r="S5" s="8">
        <v>5.0256935331278418</v>
      </c>
      <c r="T5" s="8">
        <v>5.0620227668080693</v>
      </c>
      <c r="U5" s="8">
        <v>5.03</v>
      </c>
      <c r="V5" s="8">
        <v>5.0096224860377818</v>
      </c>
      <c r="W5" s="8">
        <v>4.952247688222907</v>
      </c>
      <c r="X5" s="8">
        <v>4.983419293801691</v>
      </c>
      <c r="Y5" s="8">
        <v>4.9387951292458876</v>
      </c>
      <c r="Z5" s="8">
        <v>4.9477736747337264</v>
      </c>
      <c r="AA5" s="8">
        <v>4.9302133243812376</v>
      </c>
      <c r="AB5" s="8">
        <v>4.9507400738547931</v>
      </c>
      <c r="AC5" s="8">
        <v>5.03</v>
      </c>
      <c r="AD5" s="8">
        <v>4.9956938383129366</v>
      </c>
      <c r="AE5" s="8">
        <v>5.0935117648854025</v>
      </c>
      <c r="AF5" s="8">
        <v>5.0994628742332218</v>
      </c>
      <c r="AG5" s="8">
        <v>5.056382946256905</v>
      </c>
    </row>
    <row r="6" spans="2:33" x14ac:dyDescent="0.2">
      <c r="B6" s="4">
        <v>5.0394451734977261</v>
      </c>
      <c r="C6" s="3">
        <v>4.983419293801691</v>
      </c>
      <c r="D6" t="s">
        <v>13</v>
      </c>
      <c r="E6" s="7">
        <f>E4-E5</f>
        <v>0.19085665456099044</v>
      </c>
      <c r="S6" s="8">
        <v>4.9549821466719566</v>
      </c>
      <c r="T6" s="8">
        <v>5.0100131229590747</v>
      </c>
      <c r="U6" s="8">
        <v>4.967525254066592</v>
      </c>
      <c r="V6" s="8">
        <v>5.09740592669454</v>
      </c>
      <c r="W6" s="8">
        <v>5</v>
      </c>
      <c r="X6" s="8">
        <v>5.0981505783257539</v>
      </c>
      <c r="Y6" s="8">
        <v>5.0205359050263985</v>
      </c>
      <c r="Z6" s="8">
        <v>4.9990203558458202</v>
      </c>
      <c r="AA6" s="8">
        <v>4.9643940549943544</v>
      </c>
      <c r="AB6" s="8">
        <v>5.0524277474288155</v>
      </c>
      <c r="AC6" s="8">
        <v>5.0760246589556566</v>
      </c>
      <c r="AD6" s="8">
        <v>4.9217291787469106</v>
      </c>
      <c r="AE6" s="8">
        <v>4.9963286233100375</v>
      </c>
      <c r="AF6" s="8">
        <v>4.9536942655720697</v>
      </c>
      <c r="AG6" s="8">
        <v>4.9800000000000004</v>
      </c>
    </row>
    <row r="7" spans="2:33" x14ac:dyDescent="0.2">
      <c r="B7" s="5">
        <v>5.0643910031434061</v>
      </c>
      <c r="C7" s="9">
        <v>4.9387951292458876</v>
      </c>
      <c r="D7" t="s">
        <v>14</v>
      </c>
      <c r="E7" s="10">
        <f>1+(3.3*1.78)</f>
        <v>6.8739999999999997</v>
      </c>
      <c r="F7" s="10">
        <v>7</v>
      </c>
      <c r="S7" s="8">
        <v>4.9424268318735312</v>
      </c>
      <c r="T7" s="8">
        <v>5.0704153569139683</v>
      </c>
      <c r="U7" s="8">
        <v>5.0584643086031678</v>
      </c>
      <c r="V7" s="8">
        <v>5.0871883297219762</v>
      </c>
      <c r="W7" s="8">
        <v>4.9957609790337836</v>
      </c>
      <c r="X7" s="8">
        <v>5.0657704397717209</v>
      </c>
      <c r="Y7" s="8">
        <v>5.0285683767204805</v>
      </c>
      <c r="Z7" s="8">
        <v>5.0415326395458848</v>
      </c>
      <c r="AA7" s="8">
        <v>4.9391125217444385</v>
      </c>
      <c r="AB7" s="8">
        <v>5.0153721732230601</v>
      </c>
      <c r="AC7" s="8">
        <v>5.0442976165044096</v>
      </c>
      <c r="AD7" s="8">
        <v>4.9800000000000004</v>
      </c>
      <c r="AE7" s="8">
        <v>4.9372020630512408</v>
      </c>
      <c r="AF7" s="8">
        <v>4.9800000000000004</v>
      </c>
      <c r="AG7" s="8">
        <v>5.01</v>
      </c>
    </row>
    <row r="8" spans="2:33" x14ac:dyDescent="0.2">
      <c r="B8" s="3">
        <v>4.9800000000000004</v>
      </c>
      <c r="C8" s="9">
        <v>4.9477736747337264</v>
      </c>
      <c r="D8" t="s">
        <v>15</v>
      </c>
      <c r="E8" s="11">
        <f>E6/F7</f>
        <v>2.7265236365855778E-2</v>
      </c>
      <c r="F8" s="10">
        <v>2.7E-2</v>
      </c>
    </row>
    <row r="9" spans="2:33" x14ac:dyDescent="0.2">
      <c r="B9" s="12">
        <v>4.9086062196722313</v>
      </c>
      <c r="C9" s="12">
        <v>4.9302133243812376</v>
      </c>
      <c r="D9" t="s">
        <v>16</v>
      </c>
      <c r="E9" s="10">
        <f>F7*F8</f>
        <v>0.189</v>
      </c>
      <c r="F9" s="10">
        <v>0.189</v>
      </c>
    </row>
    <row r="10" spans="2:33" x14ac:dyDescent="0.2">
      <c r="B10" s="6">
        <v>5.000180059205908</v>
      </c>
      <c r="C10" s="9">
        <v>4.9507400738547931</v>
      </c>
      <c r="D10" t="s">
        <v>9</v>
      </c>
      <c r="E10" s="13">
        <f>E6-F9</f>
        <v>1.8566545609904339E-3</v>
      </c>
    </row>
    <row r="11" spans="2:33" x14ac:dyDescent="0.2">
      <c r="B11" s="3">
        <v>4.97</v>
      </c>
      <c r="C11" s="4">
        <v>5.03</v>
      </c>
      <c r="D11" t="s">
        <v>17</v>
      </c>
      <c r="E11" s="11">
        <f>E10/2</f>
        <v>9.2832728049521696E-4</v>
      </c>
    </row>
    <row r="12" spans="2:33" x14ac:dyDescent="0.2">
      <c r="B12" s="6">
        <v>5</v>
      </c>
      <c r="C12" s="6">
        <v>4.9956938383129366</v>
      </c>
      <c r="E12" s="26" t="s">
        <v>18</v>
      </c>
      <c r="F12" s="26" t="s">
        <v>19</v>
      </c>
      <c r="G12" s="26"/>
      <c r="H12" s="26" t="s">
        <v>20</v>
      </c>
    </row>
    <row r="13" spans="2:33" x14ac:dyDescent="0.2">
      <c r="B13" s="6">
        <v>5.01</v>
      </c>
      <c r="C13" s="7">
        <v>5.0935117648854025</v>
      </c>
      <c r="E13" s="41">
        <f>E5-E11</f>
        <v>4.9076778923917361</v>
      </c>
      <c r="F13" s="41">
        <f>E13+F8</f>
        <v>4.9346778923917363</v>
      </c>
      <c r="G13" s="26" t="s">
        <v>21</v>
      </c>
      <c r="H13" s="26">
        <v>4</v>
      </c>
    </row>
    <row r="14" spans="2:33" x14ac:dyDescent="0.2">
      <c r="B14" s="12">
        <v>4.9310129093295085</v>
      </c>
      <c r="C14" s="7">
        <v>5.0994628742332218</v>
      </c>
      <c r="E14" s="41">
        <f t="shared" ref="E14:E19" si="0">F13</f>
        <v>4.9346778923917363</v>
      </c>
      <c r="F14" s="41">
        <f>E14+F8</f>
        <v>4.9616778923917364</v>
      </c>
      <c r="G14" s="26" t="s">
        <v>22</v>
      </c>
      <c r="H14" s="26">
        <v>10</v>
      </c>
    </row>
    <row r="15" spans="2:33" x14ac:dyDescent="0.2">
      <c r="B15" s="3">
        <v>4.9821436201055942</v>
      </c>
      <c r="C15" s="5">
        <v>5.056382946256905</v>
      </c>
      <c r="E15" s="41">
        <f t="shared" si="0"/>
        <v>4.9616778923917364</v>
      </c>
      <c r="F15" s="41">
        <f>E15+F8</f>
        <v>4.9886778923917365</v>
      </c>
      <c r="G15" s="26" t="s">
        <v>23</v>
      </c>
      <c r="H15" s="26">
        <v>9</v>
      </c>
    </row>
    <row r="16" spans="2:33" x14ac:dyDescent="0.2">
      <c r="B16" s="9">
        <v>4.9549821466719566</v>
      </c>
      <c r="C16" s="9">
        <v>4.9424268318735312</v>
      </c>
      <c r="E16" s="41">
        <f t="shared" si="0"/>
        <v>4.9886778923917365</v>
      </c>
      <c r="F16" s="41">
        <f>E16+F8</f>
        <v>5.0156778923917367</v>
      </c>
      <c r="G16" s="26" t="s">
        <v>24</v>
      </c>
      <c r="H16" s="26">
        <v>13</v>
      </c>
    </row>
    <row r="17" spans="2:8" x14ac:dyDescent="0.2">
      <c r="B17" s="6">
        <v>5.0100131229590747</v>
      </c>
      <c r="C17" s="5">
        <v>5.0704153569139683</v>
      </c>
      <c r="E17" s="41">
        <f t="shared" si="0"/>
        <v>5.0156778923917367</v>
      </c>
      <c r="F17" s="41">
        <f>E17+F8</f>
        <v>5.0426778923917368</v>
      </c>
      <c r="G17" s="26" t="s">
        <v>25</v>
      </c>
      <c r="H17" s="26">
        <v>10</v>
      </c>
    </row>
    <row r="18" spans="2:8" x14ac:dyDescent="0.2">
      <c r="B18" s="3">
        <v>4.967525254066592</v>
      </c>
      <c r="C18" s="5">
        <v>5.0584643086031678</v>
      </c>
      <c r="E18" s="41">
        <f t="shared" si="0"/>
        <v>5.0426778923917368</v>
      </c>
      <c r="F18" s="41">
        <f>E18+F8</f>
        <v>5.0696778923917369</v>
      </c>
      <c r="G18" s="26" t="s">
        <v>26</v>
      </c>
      <c r="H18" s="26">
        <v>8</v>
      </c>
    </row>
    <row r="19" spans="2:8" x14ac:dyDescent="0.2">
      <c r="B19" s="7">
        <v>5.09740592669454</v>
      </c>
      <c r="C19" s="7">
        <v>5.0871883297219762</v>
      </c>
      <c r="E19" s="41">
        <f t="shared" si="0"/>
        <v>5.0696778923917369</v>
      </c>
      <c r="F19" s="41">
        <f>E19+F8</f>
        <v>5.0966778923917371</v>
      </c>
      <c r="G19" s="26" t="s">
        <v>27</v>
      </c>
      <c r="H19" s="26">
        <v>6</v>
      </c>
    </row>
    <row r="20" spans="2:8" x14ac:dyDescent="0.2">
      <c r="B20" s="6">
        <v>5</v>
      </c>
      <c r="C20" s="6">
        <v>4.9957609790337836</v>
      </c>
      <c r="H20" s="10">
        <f>SUM(H13:H19)</f>
        <v>60</v>
      </c>
    </row>
    <row r="21" spans="2:8" x14ac:dyDescent="0.2">
      <c r="B21" s="7">
        <v>5.0981505783257539</v>
      </c>
      <c r="C21" s="5">
        <v>5.0657704397717209</v>
      </c>
    </row>
    <row r="22" spans="2:8" x14ac:dyDescent="0.2">
      <c r="B22" s="4">
        <v>5.0205359050263985</v>
      </c>
      <c r="C22" s="4">
        <v>5.0285683767204805</v>
      </c>
    </row>
    <row r="23" spans="2:8" x14ac:dyDescent="0.2">
      <c r="B23" s="6">
        <v>4.9990203558458202</v>
      </c>
      <c r="C23" s="4">
        <v>5.0415326395458848</v>
      </c>
    </row>
    <row r="24" spans="2:8" x14ac:dyDescent="0.2">
      <c r="B24" s="9">
        <v>4.9643940549943544</v>
      </c>
      <c r="C24" s="9">
        <v>4.9391125217444385</v>
      </c>
    </row>
    <row r="25" spans="2:8" x14ac:dyDescent="0.2">
      <c r="B25" s="5">
        <v>5.0524277474288155</v>
      </c>
      <c r="C25" s="4">
        <v>5.0153721732230601</v>
      </c>
    </row>
    <row r="26" spans="2:8" ht="30" customHeight="1" x14ac:dyDescent="0.2">
      <c r="B26" s="7">
        <v>5.0760246589556566</v>
      </c>
      <c r="C26" s="4">
        <v>5.0442976165044096</v>
      </c>
    </row>
    <row r="27" spans="2:8" x14ac:dyDescent="0.2">
      <c r="B27" s="12">
        <v>4.9217291787469106</v>
      </c>
      <c r="C27" s="3">
        <v>4.9800000000000004</v>
      </c>
    </row>
    <row r="28" spans="2:8" x14ac:dyDescent="0.2">
      <c r="B28" s="6">
        <v>4.9963286233100375</v>
      </c>
      <c r="C28" s="9">
        <v>4.9372020630512408</v>
      </c>
    </row>
    <row r="29" spans="2:8" x14ac:dyDescent="0.2">
      <c r="B29" s="9">
        <v>4.9536942655720697</v>
      </c>
      <c r="C29" s="3">
        <v>4.9800000000000004</v>
      </c>
    </row>
    <row r="30" spans="2:8" x14ac:dyDescent="0.2">
      <c r="B30" s="3">
        <v>4.9800000000000004</v>
      </c>
      <c r="C30" s="6">
        <v>5.01</v>
      </c>
    </row>
    <row r="33" spans="1:4" ht="17" thickBot="1" x14ac:dyDescent="0.25"/>
    <row r="34" spans="1:4" ht="17" x14ac:dyDescent="0.2">
      <c r="A34" s="206" t="s">
        <v>28</v>
      </c>
      <c r="B34" s="206" t="s">
        <v>29</v>
      </c>
      <c r="C34" s="14" t="s">
        <v>30</v>
      </c>
      <c r="D34" s="206" t="s">
        <v>31</v>
      </c>
    </row>
    <row r="35" spans="1:4" ht="35" thickBot="1" x14ac:dyDescent="0.25">
      <c r="A35" s="207"/>
      <c r="B35" s="207"/>
      <c r="C35" s="15" t="s">
        <v>32</v>
      </c>
      <c r="D35" s="207"/>
    </row>
    <row r="36" spans="1:4" ht="35" thickBot="1" x14ac:dyDescent="0.25">
      <c r="A36" s="16" t="s">
        <v>33</v>
      </c>
      <c r="B36" s="17">
        <v>27</v>
      </c>
      <c r="C36" s="18">
        <f>B36/$B$44</f>
        <v>0.40298507462686567</v>
      </c>
      <c r="D36" s="19">
        <f>+C36</f>
        <v>0.40298507462686567</v>
      </c>
    </row>
    <row r="37" spans="1:4" ht="18" thickBot="1" x14ac:dyDescent="0.25">
      <c r="A37" s="16" t="s">
        <v>34</v>
      </c>
      <c r="B37" s="17">
        <v>18</v>
      </c>
      <c r="C37" s="18">
        <f t="shared" ref="C37:C43" si="1">B37/$B$44</f>
        <v>0.26865671641791045</v>
      </c>
      <c r="D37" s="19">
        <f>D36+C37</f>
        <v>0.67164179104477606</v>
      </c>
    </row>
    <row r="38" spans="1:4" ht="18" thickBot="1" x14ac:dyDescent="0.25">
      <c r="A38" s="16" t="s">
        <v>35</v>
      </c>
      <c r="B38" s="17">
        <v>8</v>
      </c>
      <c r="C38" s="18">
        <f t="shared" si="1"/>
        <v>0.11940298507462686</v>
      </c>
      <c r="D38" s="19">
        <f t="shared" ref="D38:D43" si="2">D37+C38</f>
        <v>0.79104477611940294</v>
      </c>
    </row>
    <row r="39" spans="1:4" ht="18" thickBot="1" x14ac:dyDescent="0.25">
      <c r="A39" s="16" t="s">
        <v>36</v>
      </c>
      <c r="B39" s="17">
        <v>4</v>
      </c>
      <c r="C39" s="18">
        <f t="shared" si="1"/>
        <v>5.9701492537313432E-2</v>
      </c>
      <c r="D39" s="19">
        <f t="shared" si="2"/>
        <v>0.85074626865671632</v>
      </c>
    </row>
    <row r="40" spans="1:4" ht="18" thickBot="1" x14ac:dyDescent="0.25">
      <c r="A40" s="16" t="s">
        <v>37</v>
      </c>
      <c r="B40" s="17">
        <v>4</v>
      </c>
      <c r="C40" s="18">
        <f t="shared" si="1"/>
        <v>5.9701492537313432E-2</v>
      </c>
      <c r="D40" s="19">
        <f t="shared" si="2"/>
        <v>0.9104477611940297</v>
      </c>
    </row>
    <row r="41" spans="1:4" ht="35" thickBot="1" x14ac:dyDescent="0.25">
      <c r="A41" s="16" t="s">
        <v>38</v>
      </c>
      <c r="B41" s="17">
        <v>2</v>
      </c>
      <c r="C41" s="18">
        <f t="shared" si="1"/>
        <v>2.9850746268656716E-2</v>
      </c>
      <c r="D41" s="19">
        <f t="shared" si="2"/>
        <v>0.94029850746268639</v>
      </c>
    </row>
    <row r="42" spans="1:4" ht="18" thickBot="1" x14ac:dyDescent="0.25">
      <c r="A42" s="16" t="s">
        <v>39</v>
      </c>
      <c r="B42" s="17">
        <v>2</v>
      </c>
      <c r="C42" s="18">
        <f t="shared" si="1"/>
        <v>2.9850746268656716E-2</v>
      </c>
      <c r="D42" s="19">
        <f t="shared" si="2"/>
        <v>0.97014925373134309</v>
      </c>
    </row>
    <row r="43" spans="1:4" ht="18" thickBot="1" x14ac:dyDescent="0.25">
      <c r="A43" s="16" t="s">
        <v>40</v>
      </c>
      <c r="B43" s="17">
        <v>2</v>
      </c>
      <c r="C43" s="18">
        <f t="shared" si="1"/>
        <v>2.9850746268656716E-2</v>
      </c>
      <c r="D43" s="19">
        <f t="shared" si="2"/>
        <v>0.99999999999999978</v>
      </c>
    </row>
    <row r="44" spans="1:4" ht="24" thickBot="1" x14ac:dyDescent="0.25">
      <c r="A44" s="20" t="s">
        <v>41</v>
      </c>
      <c r="B44" s="17">
        <v>67</v>
      </c>
      <c r="C44" s="21"/>
      <c r="D44" s="21"/>
    </row>
    <row r="45" spans="1:4" ht="17" thickBot="1" x14ac:dyDescent="0.25"/>
    <row r="46" spans="1:4" ht="15" customHeight="1" x14ac:dyDescent="0.2">
      <c r="A46" s="206" t="s">
        <v>28</v>
      </c>
      <c r="B46" s="14" t="s">
        <v>30</v>
      </c>
      <c r="C46" s="206" t="s">
        <v>31</v>
      </c>
    </row>
    <row r="47" spans="1:4" ht="18" thickBot="1" x14ac:dyDescent="0.25">
      <c r="A47" s="207"/>
      <c r="B47" s="15" t="s">
        <v>32</v>
      </c>
      <c r="C47" s="207"/>
    </row>
    <row r="48" spans="1:4" ht="35" thickBot="1" x14ac:dyDescent="0.25">
      <c r="A48" s="22" t="s">
        <v>33</v>
      </c>
      <c r="B48" s="18">
        <f>+B36/$B$44</f>
        <v>0.40298507462686567</v>
      </c>
      <c r="C48" s="19">
        <f>+B48</f>
        <v>0.40298507462686567</v>
      </c>
    </row>
    <row r="49" spans="1:3" ht="18" thickBot="1" x14ac:dyDescent="0.25">
      <c r="A49" s="22" t="s">
        <v>34</v>
      </c>
      <c r="B49" s="18">
        <f t="shared" ref="B49:B55" si="3">+B37/$B$44</f>
        <v>0.26865671641791045</v>
      </c>
      <c r="C49" s="19">
        <f>C48+B49</f>
        <v>0.67164179104477606</v>
      </c>
    </row>
    <row r="50" spans="1:3" ht="18" thickBot="1" x14ac:dyDescent="0.25">
      <c r="A50" s="22" t="s">
        <v>35</v>
      </c>
      <c r="B50" s="18">
        <f t="shared" si="3"/>
        <v>0.11940298507462686</v>
      </c>
      <c r="C50" s="19">
        <f t="shared" ref="C50:C55" si="4">C49+B50</f>
        <v>0.79104477611940294</v>
      </c>
    </row>
    <row r="51" spans="1:3" ht="18" thickBot="1" x14ac:dyDescent="0.25">
      <c r="A51" s="22" t="s">
        <v>36</v>
      </c>
      <c r="B51" s="18">
        <f t="shared" si="3"/>
        <v>5.9701492537313432E-2</v>
      </c>
      <c r="C51" s="19">
        <f t="shared" si="4"/>
        <v>0.85074626865671632</v>
      </c>
    </row>
    <row r="52" spans="1:3" ht="18" thickBot="1" x14ac:dyDescent="0.25">
      <c r="A52" s="22" t="s">
        <v>37</v>
      </c>
      <c r="B52" s="18">
        <f t="shared" si="3"/>
        <v>5.9701492537313432E-2</v>
      </c>
      <c r="C52" s="19">
        <f t="shared" si="4"/>
        <v>0.9104477611940297</v>
      </c>
    </row>
    <row r="53" spans="1:3" ht="35" thickBot="1" x14ac:dyDescent="0.25">
      <c r="A53" s="22" t="s">
        <v>38</v>
      </c>
      <c r="B53" s="18">
        <f t="shared" si="3"/>
        <v>2.9850746268656716E-2</v>
      </c>
      <c r="C53" s="19">
        <f t="shared" si="4"/>
        <v>0.94029850746268639</v>
      </c>
    </row>
    <row r="54" spans="1:3" ht="18" thickBot="1" x14ac:dyDescent="0.25">
      <c r="A54" s="22" t="s">
        <v>39</v>
      </c>
      <c r="B54" s="18">
        <f t="shared" si="3"/>
        <v>2.9850746268656716E-2</v>
      </c>
      <c r="C54" s="19">
        <f t="shared" si="4"/>
        <v>0.97014925373134309</v>
      </c>
    </row>
    <row r="55" spans="1:3" ht="18" thickBot="1" x14ac:dyDescent="0.25">
      <c r="A55" s="22" t="s">
        <v>40</v>
      </c>
      <c r="B55" s="18">
        <f t="shared" si="3"/>
        <v>2.9850746268656716E-2</v>
      </c>
      <c r="C55" s="19">
        <f t="shared" si="4"/>
        <v>0.99999999999999978</v>
      </c>
    </row>
    <row r="68" spans="1:6" ht="17" thickBot="1" x14ac:dyDescent="0.25"/>
    <row r="69" spans="1:6" ht="18" thickBot="1" x14ac:dyDescent="0.25">
      <c r="A69" s="16" t="s">
        <v>42</v>
      </c>
      <c r="B69" s="16" t="s">
        <v>43</v>
      </c>
      <c r="C69" s="16" t="s">
        <v>44</v>
      </c>
      <c r="D69" s="16" t="s">
        <v>45</v>
      </c>
      <c r="E69" s="16" t="s">
        <v>46</v>
      </c>
      <c r="F69" s="16" t="s">
        <v>47</v>
      </c>
    </row>
    <row r="70" spans="1:6" ht="18" thickBot="1" x14ac:dyDescent="0.25">
      <c r="A70" s="16" t="s">
        <v>48</v>
      </c>
      <c r="B70" s="16" t="s">
        <v>49</v>
      </c>
      <c r="C70" s="16" t="s">
        <v>50</v>
      </c>
      <c r="D70" s="16" t="s">
        <v>51</v>
      </c>
      <c r="E70" s="16" t="s">
        <v>52</v>
      </c>
      <c r="F70" s="16" t="s">
        <v>53</v>
      </c>
    </row>
    <row r="71" spans="1:6" ht="35" thickBot="1" x14ac:dyDescent="0.25">
      <c r="A71" s="16" t="s">
        <v>54</v>
      </c>
      <c r="B71" s="16" t="s">
        <v>55</v>
      </c>
      <c r="C71" s="16" t="s">
        <v>56</v>
      </c>
      <c r="D71" s="16" t="s">
        <v>57</v>
      </c>
      <c r="E71" s="16" t="s">
        <v>58</v>
      </c>
      <c r="F71" s="16" t="s">
        <v>59</v>
      </c>
    </row>
    <row r="72" spans="1:6" ht="52" thickBot="1" x14ac:dyDescent="0.25">
      <c r="A72" s="16" t="s">
        <v>60</v>
      </c>
      <c r="B72" s="16" t="s">
        <v>61</v>
      </c>
      <c r="C72" s="16" t="s">
        <v>62</v>
      </c>
      <c r="D72" s="16" t="s">
        <v>63</v>
      </c>
      <c r="E72" s="16" t="s">
        <v>64</v>
      </c>
      <c r="F72" s="16" t="s">
        <v>65</v>
      </c>
    </row>
  </sheetData>
  <mergeCells count="6">
    <mergeCell ref="S3:AG3"/>
    <mergeCell ref="A34:A35"/>
    <mergeCell ref="B34:B35"/>
    <mergeCell ref="D34:D35"/>
    <mergeCell ref="A46:A47"/>
    <mergeCell ref="C46:C47"/>
  </mergeCells>
  <pageMargins left="0.75" right="0.75" top="1" bottom="1" header="0.5" footer="0.5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K34" sqref="K34"/>
    </sheetView>
  </sheetViews>
  <sheetFormatPr baseColWidth="10" defaultRowHeight="16" x14ac:dyDescent="0.2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48B9B-6C8D-1044-B305-AE7299A076A6}">
  <dimension ref="B2:E8"/>
  <sheetViews>
    <sheetView workbookViewId="0">
      <selection activeCell="D21" sqref="D21"/>
    </sheetView>
  </sheetViews>
  <sheetFormatPr baseColWidth="10" defaultRowHeight="16" x14ac:dyDescent="0.2"/>
  <cols>
    <col min="2" max="2" width="12.33203125" bestFit="1" customWidth="1"/>
    <col min="4" max="4" width="11.1640625" customWidth="1"/>
    <col min="2000" max="2000" width="2.5" customWidth="1"/>
  </cols>
  <sheetData>
    <row r="2" spans="2:5" x14ac:dyDescent="0.2">
      <c r="B2">
        <v>1</v>
      </c>
      <c r="C2">
        <v>600</v>
      </c>
      <c r="D2">
        <v>10000</v>
      </c>
      <c r="E2">
        <f>1-(C2/D2)</f>
        <v>0.94</v>
      </c>
    </row>
    <row r="3" spans="2:5" x14ac:dyDescent="0.2">
      <c r="B3">
        <v>2</v>
      </c>
      <c r="C3">
        <v>350</v>
      </c>
      <c r="D3">
        <v>10000</v>
      </c>
      <c r="E3">
        <f t="shared" ref="E3:E5" si="0">1-(C3/D3)</f>
        <v>0.96499999999999997</v>
      </c>
    </row>
    <row r="4" spans="2:5" x14ac:dyDescent="0.2">
      <c r="B4">
        <v>3</v>
      </c>
      <c r="C4">
        <v>420</v>
      </c>
      <c r="D4">
        <v>10000</v>
      </c>
      <c r="E4">
        <f t="shared" si="0"/>
        <v>0.95799999999999996</v>
      </c>
    </row>
    <row r="5" spans="2:5" x14ac:dyDescent="0.2">
      <c r="B5">
        <v>4</v>
      </c>
      <c r="C5">
        <v>750</v>
      </c>
      <c r="D5">
        <v>10000</v>
      </c>
      <c r="E5">
        <f t="shared" si="0"/>
        <v>0.92500000000000004</v>
      </c>
    </row>
    <row r="6" spans="2:5" x14ac:dyDescent="0.2">
      <c r="D6" s="10" t="s">
        <v>114</v>
      </c>
      <c r="E6" s="42">
        <f>+E2*E3*E4*E5</f>
        <v>0.80382666499999988</v>
      </c>
    </row>
    <row r="7" spans="2:5" x14ac:dyDescent="0.2">
      <c r="B7" s="10" t="s">
        <v>115</v>
      </c>
      <c r="C7">
        <f>+C2+C3+C4+C5</f>
        <v>2120</v>
      </c>
      <c r="D7">
        <v>10000</v>
      </c>
      <c r="E7">
        <f>+(C7/D7)*1000000</f>
        <v>212000</v>
      </c>
    </row>
    <row r="8" spans="2:5" x14ac:dyDescent="0.2">
      <c r="B8" t="s">
        <v>116</v>
      </c>
      <c r="C8">
        <v>0.84060000000000001</v>
      </c>
      <c r="D8" s="24">
        <f>SQRT(29.37-(2.221*LN(E7)))</f>
        <v>1.4597593669280331</v>
      </c>
      <c r="E8" s="24">
        <f>+C8+D8</f>
        <v>2.3003593669280331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63A66-6E46-504F-924C-32F698149F56}">
  <dimension ref="B2:G17"/>
  <sheetViews>
    <sheetView workbookViewId="0">
      <selection activeCell="E10" sqref="E10"/>
    </sheetView>
  </sheetViews>
  <sheetFormatPr baseColWidth="10" defaultRowHeight="16" x14ac:dyDescent="0.2"/>
  <cols>
    <col min="2" max="2" width="12.33203125" bestFit="1" customWidth="1"/>
  </cols>
  <sheetData>
    <row r="2" spans="2:7" x14ac:dyDescent="0.2">
      <c r="B2" s="10" t="s">
        <v>117</v>
      </c>
      <c r="C2" s="10">
        <v>7</v>
      </c>
      <c r="D2" s="10"/>
      <c r="E2" s="10"/>
      <c r="F2" s="10"/>
      <c r="G2" s="10"/>
    </row>
    <row r="3" spans="2:7" x14ac:dyDescent="0.2">
      <c r="B3" s="10" t="s">
        <v>118</v>
      </c>
      <c r="C3" s="10">
        <f>20*C2</f>
        <v>140</v>
      </c>
      <c r="D3" s="10"/>
      <c r="E3" s="10"/>
      <c r="F3" s="10"/>
      <c r="G3" s="10"/>
    </row>
    <row r="4" spans="2:7" x14ac:dyDescent="0.2">
      <c r="B4" s="10" t="s">
        <v>119</v>
      </c>
      <c r="C4" s="10">
        <f>7+10</f>
        <v>17</v>
      </c>
      <c r="D4" s="10"/>
      <c r="E4" s="10"/>
      <c r="F4" s="10"/>
      <c r="G4" s="10"/>
    </row>
    <row r="5" spans="2:7" x14ac:dyDescent="0.2">
      <c r="B5" s="10" t="s">
        <v>115</v>
      </c>
      <c r="C5" s="43">
        <f>+(C4/C3)*1000000</f>
        <v>121428.57142857142</v>
      </c>
      <c r="D5" s="10"/>
      <c r="E5" s="10"/>
      <c r="F5" s="10"/>
      <c r="G5" s="10"/>
    </row>
    <row r="6" spans="2:7" x14ac:dyDescent="0.2">
      <c r="B6" s="10" t="s">
        <v>116</v>
      </c>
      <c r="C6" s="10">
        <v>0.84060000000000001</v>
      </c>
      <c r="D6" s="10">
        <f>SQRT(29.37-(2.221*LN(C5)))</f>
        <v>1.8353670025985966</v>
      </c>
      <c r="E6" s="11">
        <f>+C6+D6</f>
        <v>2.6759670025985969</v>
      </c>
      <c r="F6" s="10"/>
      <c r="G6" s="10"/>
    </row>
    <row r="7" spans="2:7" x14ac:dyDescent="0.2">
      <c r="B7" s="10"/>
      <c r="C7" s="10"/>
      <c r="D7" s="10"/>
      <c r="E7" s="10"/>
      <c r="F7" s="10"/>
      <c r="G7" s="10"/>
    </row>
    <row r="8" spans="2:7" x14ac:dyDescent="0.2">
      <c r="B8" s="10"/>
      <c r="C8" s="10"/>
      <c r="D8" s="10"/>
      <c r="E8" s="10"/>
      <c r="F8" s="10"/>
      <c r="G8" s="10"/>
    </row>
    <row r="9" spans="2:7" x14ac:dyDescent="0.2">
      <c r="B9" s="10"/>
      <c r="C9" s="10"/>
      <c r="D9" s="10"/>
      <c r="E9" s="10"/>
      <c r="F9" s="10"/>
      <c r="G9" s="10"/>
    </row>
    <row r="10" spans="2:7" x14ac:dyDescent="0.2">
      <c r="B10" s="10"/>
      <c r="C10" s="10"/>
      <c r="D10" s="10"/>
      <c r="E10" s="10"/>
      <c r="F10" s="10"/>
      <c r="G10" s="10"/>
    </row>
    <row r="11" spans="2:7" x14ac:dyDescent="0.2">
      <c r="B11" s="10"/>
      <c r="C11" s="10"/>
      <c r="D11" s="10"/>
      <c r="E11" s="10"/>
      <c r="F11" s="10"/>
      <c r="G11" s="10"/>
    </row>
    <row r="12" spans="2:7" x14ac:dyDescent="0.2">
      <c r="B12" s="10"/>
      <c r="C12" s="10"/>
      <c r="D12" s="10"/>
      <c r="E12" s="10"/>
      <c r="F12" s="10"/>
      <c r="G12" s="10"/>
    </row>
    <row r="13" spans="2:7" x14ac:dyDescent="0.2">
      <c r="B13" s="10"/>
      <c r="C13" s="10"/>
      <c r="D13" s="10"/>
      <c r="E13" s="10"/>
      <c r="F13" s="10"/>
      <c r="G13" s="10"/>
    </row>
    <row r="14" spans="2:7" x14ac:dyDescent="0.2">
      <c r="B14" s="10"/>
      <c r="C14" s="10"/>
      <c r="D14" s="10"/>
      <c r="E14" s="10"/>
      <c r="F14" s="10"/>
      <c r="G14" s="10"/>
    </row>
    <row r="15" spans="2:7" x14ac:dyDescent="0.2">
      <c r="B15" s="10"/>
      <c r="C15" s="10"/>
      <c r="D15" s="10"/>
      <c r="E15" s="10"/>
      <c r="F15" s="10"/>
      <c r="G15" s="10"/>
    </row>
    <row r="16" spans="2:7" x14ac:dyDescent="0.2">
      <c r="B16" s="10"/>
      <c r="C16" s="10"/>
      <c r="D16" s="10"/>
      <c r="E16" s="10"/>
      <c r="F16" s="10"/>
      <c r="G16" s="10"/>
    </row>
    <row r="17" spans="2:7" x14ac:dyDescent="0.2">
      <c r="B17" s="10"/>
      <c r="C17" s="10"/>
      <c r="D17" s="10"/>
      <c r="E17" s="10"/>
      <c r="F17" s="10"/>
      <c r="G17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C6BD2-01BE-ED47-B9C5-A6A7F9C6DC19}">
  <dimension ref="B2:E15"/>
  <sheetViews>
    <sheetView workbookViewId="0">
      <selection activeCell="E9" sqref="E9"/>
    </sheetView>
  </sheetViews>
  <sheetFormatPr baseColWidth="10" defaultRowHeight="16" x14ac:dyDescent="0.2"/>
  <cols>
    <col min="2" max="2" width="12.33203125" bestFit="1" customWidth="1"/>
  </cols>
  <sheetData>
    <row r="2" spans="2:5" x14ac:dyDescent="0.2">
      <c r="B2" s="44">
        <v>1</v>
      </c>
      <c r="C2" s="44">
        <v>0.98</v>
      </c>
      <c r="D2" s="44"/>
      <c r="E2" s="44"/>
    </row>
    <row r="3" spans="2:5" x14ac:dyDescent="0.2">
      <c r="B3" s="44">
        <v>2</v>
      </c>
      <c r="C3" s="44">
        <v>0.95</v>
      </c>
      <c r="D3" s="44"/>
      <c r="E3" s="44"/>
    </row>
    <row r="4" spans="2:5" x14ac:dyDescent="0.2">
      <c r="B4" s="44">
        <v>3</v>
      </c>
      <c r="C4" s="44">
        <v>0.97</v>
      </c>
      <c r="D4" s="44"/>
      <c r="E4" s="44"/>
    </row>
    <row r="5" spans="2:5" x14ac:dyDescent="0.2">
      <c r="B5" s="44">
        <v>4</v>
      </c>
      <c r="C5" s="44">
        <v>0.99</v>
      </c>
      <c r="D5" s="44"/>
      <c r="E5" s="44"/>
    </row>
    <row r="6" spans="2:5" x14ac:dyDescent="0.2">
      <c r="B6" s="44" t="s">
        <v>120</v>
      </c>
      <c r="C6" s="45">
        <f>C2*C3*C4*C5</f>
        <v>0.89403929999999987</v>
      </c>
      <c r="D6" s="44"/>
      <c r="E6" s="44"/>
    </row>
    <row r="7" spans="2:5" x14ac:dyDescent="0.2">
      <c r="B7" s="44" t="s">
        <v>115</v>
      </c>
      <c r="C7" s="46">
        <f>+(1-C6)*1000000</f>
        <v>105960.70000000013</v>
      </c>
      <c r="D7" s="44"/>
      <c r="E7" s="44"/>
    </row>
    <row r="8" spans="2:5" x14ac:dyDescent="0.2">
      <c r="B8" s="44" t="s">
        <v>116</v>
      </c>
      <c r="C8" s="44">
        <v>0.84060000000000001</v>
      </c>
      <c r="D8" s="45">
        <f>SQRT(29.37-(2.221*LN(C7)))</f>
        <v>1.9160378118059711</v>
      </c>
      <c r="E8" s="45">
        <f>+C8+D8</f>
        <v>2.7566378118059713</v>
      </c>
    </row>
    <row r="9" spans="2:5" x14ac:dyDescent="0.2">
      <c r="B9" s="44"/>
      <c r="C9" s="44"/>
      <c r="D9" s="44"/>
      <c r="E9" s="44"/>
    </row>
    <row r="10" spans="2:5" x14ac:dyDescent="0.2">
      <c r="B10" s="44"/>
      <c r="C10" s="44"/>
      <c r="D10" s="44"/>
      <c r="E10" s="44"/>
    </row>
    <row r="11" spans="2:5" x14ac:dyDescent="0.2">
      <c r="B11" s="44"/>
      <c r="C11" s="44"/>
      <c r="D11" s="44"/>
      <c r="E11" s="44"/>
    </row>
    <row r="12" spans="2:5" x14ac:dyDescent="0.2">
      <c r="B12" s="44"/>
      <c r="C12" s="44"/>
      <c r="D12" s="44"/>
      <c r="E12" s="44"/>
    </row>
    <row r="13" spans="2:5" x14ac:dyDescent="0.2">
      <c r="B13" s="44"/>
      <c r="C13" s="44"/>
      <c r="D13" s="44"/>
      <c r="E13" s="44"/>
    </row>
    <row r="14" spans="2:5" x14ac:dyDescent="0.2">
      <c r="B14" s="44"/>
      <c r="C14" s="44"/>
      <c r="D14" s="44"/>
      <c r="E14" s="44"/>
    </row>
    <row r="15" spans="2:5" x14ac:dyDescent="0.2">
      <c r="B15" s="44"/>
      <c r="C15" s="44"/>
      <c r="D15" s="44"/>
      <c r="E15" s="4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C865E-7F7F-7E47-8295-E6A021B9842B}">
  <dimension ref="B2:G20"/>
  <sheetViews>
    <sheetView workbookViewId="0">
      <selection activeCell="E11" sqref="E11"/>
    </sheetView>
  </sheetViews>
  <sheetFormatPr baseColWidth="10" defaultRowHeight="16" x14ac:dyDescent="0.2"/>
  <cols>
    <col min="2" max="2" width="12.33203125" bestFit="1" customWidth="1"/>
  </cols>
  <sheetData>
    <row r="2" spans="2:7" x14ac:dyDescent="0.2">
      <c r="B2" s="10">
        <v>10</v>
      </c>
      <c r="C2" s="10">
        <v>3</v>
      </c>
      <c r="D2" s="10">
        <v>24</v>
      </c>
      <c r="E2" s="10">
        <f>+C2*B2</f>
        <v>30</v>
      </c>
      <c r="F2" s="10">
        <f>+D2*B2</f>
        <v>240</v>
      </c>
      <c r="G2" s="10"/>
    </row>
    <row r="3" spans="2:7" x14ac:dyDescent="0.2">
      <c r="B3" s="10">
        <v>15</v>
      </c>
      <c r="C3" s="10">
        <v>5</v>
      </c>
      <c r="D3" s="10">
        <v>24</v>
      </c>
      <c r="E3" s="10">
        <f t="shared" ref="E3:E4" si="0">+C3*B3</f>
        <v>75</v>
      </c>
      <c r="F3" s="10">
        <f t="shared" ref="F3:F4" si="1">+D3*B3</f>
        <v>360</v>
      </c>
      <c r="G3" s="10"/>
    </row>
    <row r="4" spans="2:7" x14ac:dyDescent="0.2">
      <c r="B4" s="10">
        <v>5</v>
      </c>
      <c r="C4" s="10">
        <v>0</v>
      </c>
      <c r="D4" s="10">
        <v>24</v>
      </c>
      <c r="E4" s="10">
        <f t="shared" si="0"/>
        <v>0</v>
      </c>
      <c r="F4" s="10">
        <f t="shared" si="1"/>
        <v>120</v>
      </c>
      <c r="G4" s="10"/>
    </row>
    <row r="5" spans="2:7" x14ac:dyDescent="0.2">
      <c r="B5" s="10"/>
      <c r="C5" s="10"/>
      <c r="D5" s="10"/>
      <c r="E5" s="10">
        <f>+E2+E3+E4</f>
        <v>105</v>
      </c>
      <c r="F5" s="10">
        <f>+F2+F3+F4</f>
        <v>720</v>
      </c>
      <c r="G5" s="10"/>
    </row>
    <row r="6" spans="2:7" x14ac:dyDescent="0.2">
      <c r="B6" s="10" t="s">
        <v>121</v>
      </c>
      <c r="C6" s="43">
        <f>+(E5/F5)*1000000</f>
        <v>145833.33333333334</v>
      </c>
      <c r="D6" s="10"/>
      <c r="E6" s="10"/>
      <c r="F6" s="10"/>
      <c r="G6" s="10"/>
    </row>
    <row r="7" spans="2:7" x14ac:dyDescent="0.2">
      <c r="B7" s="10" t="s">
        <v>116</v>
      </c>
      <c r="C7" s="10">
        <v>0.84060000000000001</v>
      </c>
      <c r="D7" s="10">
        <f>SQRT(29.37-(2.221*LN(C6)))</f>
        <v>1.7209944959051793</v>
      </c>
      <c r="E7" s="11">
        <f>+C7+D7</f>
        <v>2.5615944959051795</v>
      </c>
      <c r="F7" s="10"/>
      <c r="G7" s="10"/>
    </row>
    <row r="8" spans="2:7" x14ac:dyDescent="0.2">
      <c r="B8" s="10"/>
      <c r="C8" s="10"/>
      <c r="D8" s="10"/>
      <c r="E8" s="10"/>
      <c r="F8" s="10"/>
      <c r="G8" s="10"/>
    </row>
    <row r="9" spans="2:7" x14ac:dyDescent="0.2">
      <c r="B9" s="10"/>
      <c r="C9" s="10"/>
      <c r="D9" s="10"/>
      <c r="E9" s="10"/>
      <c r="F9" s="10"/>
      <c r="G9" s="10"/>
    </row>
    <row r="10" spans="2:7" x14ac:dyDescent="0.2">
      <c r="B10" s="10"/>
      <c r="C10" s="10"/>
      <c r="D10" s="10"/>
      <c r="E10" s="10"/>
      <c r="F10" s="10"/>
      <c r="G10" s="10"/>
    </row>
    <row r="11" spans="2:7" x14ac:dyDescent="0.2">
      <c r="B11" s="10"/>
      <c r="C11" s="10"/>
      <c r="D11" s="10"/>
      <c r="E11" s="10"/>
      <c r="F11" s="10"/>
      <c r="G11" s="10"/>
    </row>
    <row r="12" spans="2:7" x14ac:dyDescent="0.2">
      <c r="B12" s="10"/>
      <c r="C12" s="10"/>
      <c r="D12" s="10"/>
      <c r="E12" s="10"/>
      <c r="F12" s="10"/>
      <c r="G12" s="10"/>
    </row>
    <row r="13" spans="2:7" x14ac:dyDescent="0.2">
      <c r="B13" s="10"/>
      <c r="C13" s="10"/>
      <c r="D13" s="10"/>
      <c r="E13" s="10"/>
      <c r="F13" s="10"/>
      <c r="G13" s="10"/>
    </row>
    <row r="14" spans="2:7" x14ac:dyDescent="0.2">
      <c r="B14" s="10"/>
      <c r="C14" s="10"/>
      <c r="D14" s="10"/>
      <c r="E14" s="10"/>
      <c r="F14" s="10"/>
      <c r="G14" s="10"/>
    </row>
    <row r="15" spans="2:7" x14ac:dyDescent="0.2">
      <c r="B15" s="10"/>
      <c r="C15" s="10"/>
      <c r="D15" s="10"/>
      <c r="E15" s="10"/>
      <c r="F15" s="10"/>
      <c r="G15" s="10"/>
    </row>
    <row r="16" spans="2:7" x14ac:dyDescent="0.2">
      <c r="B16" s="10"/>
      <c r="C16" s="10"/>
      <c r="D16" s="10"/>
      <c r="E16" s="10"/>
      <c r="F16" s="10"/>
      <c r="G16" s="10"/>
    </row>
    <row r="17" spans="2:7" x14ac:dyDescent="0.2">
      <c r="B17" s="10"/>
      <c r="C17" s="10"/>
      <c r="D17" s="10"/>
      <c r="E17" s="10"/>
      <c r="F17" s="10"/>
      <c r="G17" s="10"/>
    </row>
    <row r="18" spans="2:7" x14ac:dyDescent="0.2">
      <c r="B18" s="10"/>
      <c r="C18" s="10"/>
      <c r="D18" s="10"/>
      <c r="E18" s="10"/>
      <c r="F18" s="10"/>
      <c r="G18" s="10"/>
    </row>
    <row r="19" spans="2:7" x14ac:dyDescent="0.2">
      <c r="B19" s="10"/>
      <c r="C19" s="10"/>
      <c r="D19" s="10"/>
      <c r="E19" s="10"/>
      <c r="F19" s="10"/>
      <c r="G19" s="10"/>
    </row>
    <row r="20" spans="2:7" x14ac:dyDescent="0.2">
      <c r="B20" s="10"/>
      <c r="C20" s="10"/>
      <c r="D20" s="10"/>
      <c r="E20" s="10"/>
      <c r="F20" s="10"/>
      <c r="G2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'32'!cuatrob</vt:lpstr>
      <vt:lpstr>'32'!dosb</vt:lpstr>
      <vt:lpstr>'3'!Print_Area</vt:lpstr>
      <vt:lpstr>'32'!tresb</vt:lpstr>
      <vt:lpstr>'32'!unob</vt:lpstr>
    </vt:vector>
  </TitlesOfParts>
  <Company>Leon y Parra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Leon</dc:creator>
  <cp:lastModifiedBy>Edgar Hernandez</cp:lastModifiedBy>
  <dcterms:created xsi:type="dcterms:W3CDTF">2019-09-21T21:16:08Z</dcterms:created>
  <dcterms:modified xsi:type="dcterms:W3CDTF">2022-09-08T22:52:44Z</dcterms:modified>
</cp:coreProperties>
</file>