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6060" activeTab="1"/>
  </bookViews>
  <sheets>
    <sheet name="Pregunta 1" sheetId="5" r:id="rId1"/>
    <sheet name="Pregunta #2" sheetId="1" r:id="rId2"/>
    <sheet name="Pregunta #3" sheetId="3" r:id="rId3"/>
    <sheet name="Pregunta 4" sheetId="4" r:id="rId4"/>
    <sheet name="Pegunta 5" sheetId="6" r:id="rId5"/>
  </sheets>
  <calcPr calcId="140001" calcOnSave="0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4" l="1"/>
  <c r="I20" i="6"/>
  <c r="F13" i="5"/>
  <c r="E6" i="1"/>
  <c r="E7" i="1"/>
  <c r="E8" i="1"/>
  <c r="E9" i="1"/>
  <c r="E13" i="1"/>
  <c r="C6" i="3"/>
  <c r="C8" i="3"/>
  <c r="C10" i="3"/>
  <c r="C12" i="3"/>
  <c r="C14" i="3"/>
  <c r="C24" i="3"/>
  <c r="B6" i="3"/>
  <c r="B8" i="3"/>
  <c r="B24" i="3"/>
  <c r="B10" i="3"/>
  <c r="B12" i="3"/>
  <c r="B17" i="3"/>
  <c r="D3" i="3"/>
  <c r="D6" i="3"/>
  <c r="D8" i="3"/>
  <c r="D10" i="3"/>
  <c r="D12" i="3"/>
  <c r="D17" i="3"/>
  <c r="D18" i="3"/>
  <c r="D22" i="3"/>
  <c r="E30" i="1"/>
  <c r="B23" i="1"/>
  <c r="E23" i="1"/>
  <c r="B21" i="1"/>
  <c r="E26" i="1"/>
  <c r="B8" i="1"/>
  <c r="E15" i="1"/>
  <c r="B7" i="1"/>
  <c r="B5" i="1"/>
  <c r="B9" i="1"/>
  <c r="B13" i="1"/>
  <c r="B26" i="1"/>
  <c r="E28" i="1"/>
  <c r="D21" i="3"/>
  <c r="B21" i="3"/>
  <c r="B22" i="3"/>
  <c r="D24" i="3"/>
  <c r="C18" i="3"/>
  <c r="E29" i="1"/>
  <c r="E35" i="1"/>
  <c r="E31" i="1"/>
  <c r="B25" i="3"/>
  <c r="D25" i="3"/>
  <c r="C21" i="3"/>
  <c r="C16" i="3"/>
  <c r="C23" i="3"/>
  <c r="C22" i="3"/>
  <c r="C25" i="3"/>
</calcChain>
</file>

<file path=xl/sharedStrings.xml><?xml version="1.0" encoding="utf-8"?>
<sst xmlns="http://schemas.openxmlformats.org/spreadsheetml/2006/main" count="170" uniqueCount="154">
  <si>
    <t>Calculo costo Ordenar</t>
  </si>
  <si>
    <t>Calculo del Ia</t>
  </si>
  <si>
    <t>Salarios compras</t>
  </si>
  <si>
    <t>Alquiler de bodega</t>
  </si>
  <si>
    <t>Papeleria Compras</t>
  </si>
  <si>
    <t>Salarios de bodega</t>
  </si>
  <si>
    <t>agua luz tel basura</t>
  </si>
  <si>
    <t>Material obsoleto</t>
  </si>
  <si>
    <t>desarrollo y envio de ordenes</t>
  </si>
  <si>
    <t>Pago de Impuestos</t>
  </si>
  <si>
    <t>suministros de oficina</t>
  </si>
  <si>
    <t>Total costos Ordenar</t>
  </si>
  <si>
    <t>Total costos mantener</t>
  </si>
  <si>
    <t>Total de ordenes ultimo año</t>
  </si>
  <si>
    <t>Costo Mercaderia Vendida</t>
  </si>
  <si>
    <t>Inventario final</t>
  </si>
  <si>
    <t>Costo de Ordenar</t>
  </si>
  <si>
    <t>Ia operativo</t>
  </si>
  <si>
    <t>Ia con financiamiento</t>
  </si>
  <si>
    <t>Ia total</t>
  </si>
  <si>
    <t>Fecha de entrega una semana</t>
  </si>
  <si>
    <t>7.02 dias</t>
  </si>
  <si>
    <t>Demanda anual Monetaria</t>
  </si>
  <si>
    <t xml:space="preserve"> </t>
  </si>
  <si>
    <t>Demanda diaria 365</t>
  </si>
  <si>
    <t>Fecha entrega</t>
  </si>
  <si>
    <t>Deviacion estandar fecha entrega dias</t>
  </si>
  <si>
    <t>Nivel de servicio</t>
  </si>
  <si>
    <t>valor de Z</t>
  </si>
  <si>
    <t>Deterministico</t>
  </si>
  <si>
    <t>Probabilistico</t>
  </si>
  <si>
    <t>Q</t>
  </si>
  <si>
    <t>B datos en dias</t>
  </si>
  <si>
    <t>Costo de Mantener</t>
  </si>
  <si>
    <t>Costo de Compras</t>
  </si>
  <si>
    <t>Costo Total</t>
  </si>
  <si>
    <t>EOQ</t>
  </si>
  <si>
    <t>Inventario</t>
  </si>
  <si>
    <t xml:space="preserve">Datos </t>
  </si>
  <si>
    <t>Tradicional</t>
  </si>
  <si>
    <t>Faltantes Permitidos</t>
  </si>
  <si>
    <t>Demanda anual en unidades</t>
  </si>
  <si>
    <t>Costo por unidad, Cu, $</t>
  </si>
  <si>
    <t xml:space="preserve">Descuento porcentual </t>
  </si>
  <si>
    <t>Costo por unidad con descuento</t>
  </si>
  <si>
    <t>Costo Transporte $/ unidad</t>
  </si>
  <si>
    <t>Costo de unidad con seguro transporte</t>
  </si>
  <si>
    <t>Impuesto 13%</t>
  </si>
  <si>
    <t>Costo unidad +seguro+impuesto</t>
  </si>
  <si>
    <t>Indice de conservación, Ia</t>
  </si>
  <si>
    <t>Costo unitario de conservar, Ch = Cu * Ia</t>
  </si>
  <si>
    <r>
      <t>Costo unitario ordenar, C</t>
    </r>
    <r>
      <rPr>
        <vertAlign val="subscript"/>
        <sz val="12"/>
        <rFont val="Calibri"/>
        <family val="2"/>
      </rPr>
      <t>o</t>
    </r>
  </si>
  <si>
    <t>Cf- 2,75%</t>
  </si>
  <si>
    <t>Venta</t>
  </si>
  <si>
    <t>F</t>
  </si>
  <si>
    <t>Cantidad de Q*</t>
  </si>
  <si>
    <t xml:space="preserve">Cantidad pedido </t>
  </si>
  <si>
    <t>Costos anuales</t>
  </si>
  <si>
    <t xml:space="preserve">Costo anual de ordenar </t>
  </si>
  <si>
    <t xml:space="preserve">Costo anual de conservar </t>
  </si>
  <si>
    <t>Costo Perdida</t>
  </si>
  <si>
    <t xml:space="preserve">Costo anual compras </t>
  </si>
  <si>
    <t>Costo total anual, $</t>
  </si>
  <si>
    <r>
      <t xml:space="preserve">CT = </t>
    </r>
    <r>
      <rPr>
        <sz val="10"/>
        <color rgb="FFFF0000"/>
        <rFont val="Arial"/>
        <family val="2"/>
      </rPr>
      <t>(15.040.771,75)</t>
    </r>
  </si>
  <si>
    <t>CT =</t>
  </si>
  <si>
    <t>Desviacion demanda diaria</t>
  </si>
  <si>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s</t>
    </r>
    <r>
      <rPr>
        <sz val="10"/>
        <rFont val="Symbol"/>
        <family val="1"/>
        <charset val="2"/>
      </rPr>
      <t xml:space="preserve"> </t>
    </r>
    <r>
      <rPr>
        <sz val="10"/>
        <rFont val="Arial"/>
        <family val="2"/>
      </rPr>
      <t>anual demanda</t>
    </r>
  </si>
  <si>
    <t xml:space="preserve">Función Objetivo: </t>
  </si>
  <si>
    <t xml:space="preserve">Maximizar (20000-16000) X1 + (15000-12000) X2 = </t>
  </si>
  <si>
    <t>Maximizar (4000) X1 + (3000) X2</t>
  </si>
  <si>
    <t>Sujeto a;</t>
  </si>
  <si>
    <t>25 X1  + 8 X2  ≥ 120</t>
  </si>
  <si>
    <t>                Xi ≥ 0</t>
  </si>
  <si>
    <t>Cada una de las ecuaciones vale 1.25, incluyendo la objetivo y la de no negatividad, así suma en total 10 puntos.</t>
  </si>
  <si>
    <t>Variables de Decisión.</t>
  </si>
  <si>
    <t xml:space="preserve">                  (toneladas/mes)</t>
  </si>
  <si>
    <t>Función Objetivo.</t>
  </si>
  <si>
    <t xml:space="preserve">     $/m          ($/t)(t/m) = $/m</t>
  </si>
  <si>
    <t>Restricciones.</t>
  </si>
  <si>
    <t xml:space="preserve">     1. Capacidad de las plantas.</t>
  </si>
  <si>
    <t xml:space="preserve">          Planta 1 </t>
  </si>
  <si>
    <t xml:space="preserve">          Planta 2    </t>
  </si>
  <si>
    <t xml:space="preserve">          Planta 3    </t>
  </si>
  <si>
    <t xml:space="preserve">                                      t/m                               t/m</t>
  </si>
  <si>
    <t xml:space="preserve">    2. Demanda de los almacenes.</t>
  </si>
  <si>
    <t xml:space="preserve">        Almacén 1   </t>
  </si>
  <si>
    <t xml:space="preserve">        Almacén 2   </t>
  </si>
  <si>
    <t xml:space="preserve">        Almacén 3   </t>
  </si>
  <si>
    <t xml:space="preserve">        Almacén 4   </t>
  </si>
  <si>
    <t xml:space="preserve">                                     t/m                      t/m</t>
  </si>
  <si>
    <t>Análisis Dimensional: Probado.</t>
  </si>
  <si>
    <t>Solución Optima.</t>
  </si>
  <si>
    <t>Máx. Z = 208,000</t>
  </si>
  <si>
    <t>Xij = Toneladas mensuales de fertilizante a fabricar en la Planta  "i" para entregarse en el Almacén "j"</t>
  </si>
  <si>
    <t xml:space="preserve">     Máx Z =   55X11 + 110X12 +  50X13 +  5X14 + 155X21 + 130X22 + 110X23 + 155X24 + 135X31 + 110X32 + 20X33 + 55X34</t>
  </si>
  <si>
    <t xml:space="preserve">     3. No Negatividad    Xij ³ 0</t>
  </si>
  <si>
    <t>X12 = 150</t>
  </si>
  <si>
    <t>X13 = 500</t>
  </si>
  <si>
    <t>X24 = 600</t>
  </si>
  <si>
    <t>X31 = 300</t>
  </si>
  <si>
    <t>X32 = 300</t>
  </si>
  <si>
    <t>Modelación.</t>
  </si>
  <si>
    <t xml:space="preserve">   Variables de Decisión.</t>
  </si>
  <si>
    <t xml:space="preserve">      Xij = Asignar el Contratista "i" al Proyecto "j".</t>
  </si>
  <si>
    <t xml:space="preserve">              (%)</t>
  </si>
  <si>
    <t xml:space="preserve">             Criterio de decisión:    Xij = 0   No asignar</t>
  </si>
  <si>
    <t xml:space="preserve">                                                 Xij = 1   Asignar</t>
  </si>
  <si>
    <t xml:space="preserve">   Función Objetivo.</t>
  </si>
  <si>
    <t xml:space="preserve">   mín. Z = 28’000,000X11 + 32’000,000X12 + 36’000,000X13 + 36’000,000X21 + 28'000,000X22 + 30’000,000X23 + </t>
  </si>
  <si>
    <t xml:space="preserve">                 38’000,000X31 + 34’000,000X32 + 40’000,000X33</t>
  </si>
  <si>
    <t xml:space="preserve">        $       $ (%) = $</t>
  </si>
  <si>
    <t xml:space="preserve">   Restricciones.</t>
  </si>
  <si>
    <t xml:space="preserve">      1. Contratistas.</t>
  </si>
  <si>
    <t xml:space="preserve">          Contratista 1    </t>
  </si>
  <si>
    <t>X11 + X12 + X13 = 1</t>
  </si>
  <si>
    <t xml:space="preserve">          Contratista 2    </t>
  </si>
  <si>
    <t>X21 + X22 + X23 = 1</t>
  </si>
  <si>
    <t xml:space="preserve">          Contratista 3    </t>
  </si>
  <si>
    <t>X31 + X32 + X33 = 1</t>
  </si>
  <si>
    <t xml:space="preserve">      2. Proyectos.</t>
  </si>
  <si>
    <t xml:space="preserve">          Proyecto 1    </t>
  </si>
  <si>
    <t>X11 + X21 + X31 = 1</t>
  </si>
  <si>
    <t xml:space="preserve">          Proyecto 2    </t>
  </si>
  <si>
    <t>X12 + X22 + X32 = 1</t>
  </si>
  <si>
    <t xml:space="preserve">          Proyecto 3    </t>
  </si>
  <si>
    <t>X13 + X23  + X33 = 1</t>
  </si>
  <si>
    <t xml:space="preserve">                               </t>
  </si>
  <si>
    <t xml:space="preserve">%                       %        </t>
  </si>
  <si>
    <t xml:space="preserve">      3. No negatividad      </t>
  </si>
  <si>
    <t>Xij  ³ 0|</t>
  </si>
  <si>
    <t>X11 + X21 + X31 = 300</t>
  </si>
  <si>
    <t>X12 + X22 + X32  = 450</t>
  </si>
  <si>
    <t>X13 + X23 + X33  = 500</t>
  </si>
  <si>
    <t>X14  + X24  + X34   = 600</t>
  </si>
  <si>
    <r>
      <t xml:space="preserve">X11 + X12 + X13 + X14 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650</t>
    </r>
  </si>
  <si>
    <t>X31 + X32 + X33 + X34  ≤ 600</t>
  </si>
  <si>
    <t>X21 + X22 + X23 + X24  ≤ 600</t>
  </si>
  <si>
    <t>b)</t>
  </si>
  <si>
    <t>Mejor probabilistico</t>
  </si>
  <si>
    <t>3 puntos</t>
  </si>
  <si>
    <t>puntos</t>
  </si>
  <si>
    <t>punto</t>
  </si>
  <si>
    <t>total 4 puntos</t>
  </si>
  <si>
    <t>10 X1  + 15 X2  ≤ 140</t>
  </si>
  <si>
    <t>20 X1  + 10 X2  ≤ 130</t>
  </si>
  <si>
    <t> X1  - 3 X2  ≤ 0            (esta sale de E/3 ≤ F )</t>
  </si>
  <si>
    <t> X1  + X2  ≥ 5</t>
  </si>
  <si>
    <t xml:space="preserve"> -3 X1  + 7 X2 ≤ 0            (esta sale de hacer B ≤ 0,3(A+B) )</t>
  </si>
  <si>
    <t>Total</t>
  </si>
  <si>
    <t>5 pts</t>
  </si>
  <si>
    <t>3 pts</t>
  </si>
  <si>
    <t>Seguir con faltantes</t>
  </si>
  <si>
    <t>2 pts</t>
  </si>
  <si>
    <t>7 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</si>
</sst>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[$$-240A]\ * #,##0.00_-;\-[$$-240A]\ * #,##0.00_-;_-[$$-240A]\ * &quot;-&quot;_-;_-@_-"/>
    <numFmt numFmtId="167" formatCode="_-[$$-240A]\ * #,##0_-;\-[$$-240A]\ * #,##0_-;_-[$$-240A]\ * &quot;-&quot;_-;_-@_-"/>
    <numFmt numFmtId="168" formatCode="0.00000%"/>
    <numFmt numFmtId="169" formatCode="0.0%"/>
    <numFmt numFmtId="170" formatCode="_(* #,##0.00_);_(* \(#,##0.00\);_(* &quot;-&quot;_);_(@_)"/>
    <numFmt numFmtId="171" formatCode="_(* #,##0.0000_);_(* \(#,##0.0000\);_(* &quot;-&quot;_);_(@_)"/>
    <numFmt numFmtId="172" formatCode="_-[$$-240A]\ * #,##0.00000_-;\-[$$-240A]\ * #,##0.00000_-;_-[$$-240A]\ * &quot;-&quot;?????_-;_-@_-"/>
    <numFmt numFmtId="173" formatCode="_(&quot;¢&quot;* #,##0.00_);_(&quot;¢&quot;* \(#,##0.00\);_(&quot;¢&quot;* &quot;-&quot;??_);_(@_)"/>
    <numFmt numFmtId="174" formatCode="_(* #,##0_);_(* \(#,##0\);_(* &quot;-&quot;??_);_(@_)"/>
    <numFmt numFmtId="175" formatCode="_([$€-2]* #,##0.00_);_([$€-2]* \(#,##0.00\);_([$€-2]* &quot;-&quot;??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vertAlign val="subscript"/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Symbol"/>
      <family val="1"/>
      <charset val="2"/>
    </font>
    <font>
      <sz val="12"/>
      <color theme="1"/>
      <name val="Calibri"/>
      <family val="2"/>
    </font>
    <font>
      <sz val="8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4"/>
      <name val="Symbol"/>
      <family val="1"/>
      <charset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b/>
      <sz val="12"/>
      <color rgb="FFFF0000"/>
      <name val="Calibri"/>
    </font>
    <font>
      <b/>
      <sz val="10"/>
      <color rgb="FFFF0000"/>
      <name val="Arial"/>
    </font>
    <font>
      <b/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3" applyFont="1"/>
    <xf numFmtId="0" fontId="2" fillId="0" borderId="0" xfId="3"/>
    <xf numFmtId="166" fontId="2" fillId="0" borderId="0" xfId="3" applyNumberFormat="1"/>
    <xf numFmtId="167" fontId="2" fillId="0" borderId="0" xfId="3" applyNumberFormat="1"/>
    <xf numFmtId="0" fontId="3" fillId="0" borderId="0" xfId="3" applyFont="1"/>
    <xf numFmtId="168" fontId="0" fillId="0" borderId="0" xfId="4" applyNumberFormat="1" applyFont="1"/>
    <xf numFmtId="169" fontId="0" fillId="0" borderId="0" xfId="4" applyNumberFormat="1" applyFont="1"/>
    <xf numFmtId="10" fontId="2" fillId="0" borderId="0" xfId="2" applyNumberFormat="1" applyFont="1"/>
    <xf numFmtId="166" fontId="2" fillId="0" borderId="0" xfId="3" applyNumberFormat="1" applyFont="1"/>
    <xf numFmtId="167" fontId="3" fillId="0" borderId="0" xfId="3" applyNumberFormat="1" applyFont="1"/>
    <xf numFmtId="170" fontId="2" fillId="0" borderId="0" xfId="5" applyNumberFormat="1" applyFont="1"/>
    <xf numFmtId="43" fontId="2" fillId="0" borderId="0" xfId="3" applyNumberFormat="1" applyFont="1"/>
    <xf numFmtId="9" fontId="2" fillId="0" borderId="0" xfId="3" applyNumberFormat="1" applyFont="1"/>
    <xf numFmtId="171" fontId="0" fillId="0" borderId="0" xfId="5" applyNumberFormat="1" applyFont="1"/>
    <xf numFmtId="171" fontId="2" fillId="0" borderId="0" xfId="5" applyNumberFormat="1" applyFont="1"/>
    <xf numFmtId="165" fontId="2" fillId="0" borderId="0" xfId="1" applyFont="1"/>
    <xf numFmtId="172" fontId="2" fillId="0" borderId="0" xfId="3" applyNumberFormat="1"/>
    <xf numFmtId="165" fontId="2" fillId="2" borderId="0" xfId="1" applyFont="1" applyFill="1"/>
    <xf numFmtId="0" fontId="4" fillId="0" borderId="0" xfId="3" applyFont="1" applyBorder="1"/>
    <xf numFmtId="0" fontId="5" fillId="0" borderId="0" xfId="3" applyFont="1" applyBorder="1" applyAlignment="1">
      <alignment horizontal="center"/>
    </xf>
    <xf numFmtId="0" fontId="4" fillId="0" borderId="0" xfId="3" applyFont="1"/>
    <xf numFmtId="0" fontId="5" fillId="0" borderId="0" xfId="3" applyFont="1" applyBorder="1"/>
    <xf numFmtId="174" fontId="5" fillId="0" borderId="0" xfId="3" applyNumberFormat="1" applyFont="1" applyBorder="1" applyAlignment="1">
      <alignment horizontal="right"/>
    </xf>
    <xf numFmtId="165" fontId="4" fillId="0" borderId="0" xfId="6" applyFont="1" applyBorder="1"/>
    <xf numFmtId="165" fontId="4" fillId="0" borderId="0" xfId="6" applyFont="1" applyFill="1" applyBorder="1"/>
    <xf numFmtId="165" fontId="4" fillId="0" borderId="0" xfId="6" applyFont="1" applyBorder="1" applyAlignment="1">
      <alignment horizontal="right"/>
    </xf>
    <xf numFmtId="174" fontId="4" fillId="0" borderId="0" xfId="6" applyNumberFormat="1" applyFont="1" applyFill="1" applyBorder="1"/>
    <xf numFmtId="174" fontId="5" fillId="0" borderId="0" xfId="6" applyNumberFormat="1" applyFont="1" applyBorder="1"/>
    <xf numFmtId="0" fontId="8" fillId="0" borderId="0" xfId="3" applyFont="1"/>
    <xf numFmtId="165" fontId="5" fillId="3" borderId="0" xfId="6" applyFont="1" applyFill="1" applyBorder="1"/>
    <xf numFmtId="0" fontId="5" fillId="0" borderId="0" xfId="3" applyFont="1" applyAlignment="1">
      <alignment horizontal="right"/>
    </xf>
    <xf numFmtId="165" fontId="4" fillId="0" borderId="0" xfId="3" applyNumberFormat="1" applyFont="1"/>
    <xf numFmtId="10" fontId="9" fillId="0" borderId="0" xfId="4" applyNumberFormat="1" applyFont="1"/>
    <xf numFmtId="165" fontId="4" fillId="0" borderId="1" xfId="6" applyFont="1" applyBorder="1"/>
    <xf numFmtId="165" fontId="4" fillId="0" borderId="1" xfId="6" applyFont="1" applyBorder="1" applyAlignment="1">
      <alignment horizontal="right"/>
    </xf>
    <xf numFmtId="174" fontId="4" fillId="0" borderId="1" xfId="6" applyNumberFormat="1" applyFont="1" applyBorder="1"/>
    <xf numFmtId="174" fontId="5" fillId="0" borderId="1" xfId="6" applyNumberFormat="1" applyFont="1" applyBorder="1"/>
    <xf numFmtId="165" fontId="5" fillId="0" borderId="1" xfId="6" applyFont="1" applyBorder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165" fontId="4" fillId="4" borderId="1" xfId="6" applyFont="1" applyFill="1" applyBorder="1"/>
    <xf numFmtId="0" fontId="11" fillId="0" borderId="2" xfId="3" applyFont="1" applyBorder="1"/>
    <xf numFmtId="0" fontId="2" fillId="0" borderId="2" xfId="3" applyFont="1" applyBorder="1"/>
    <xf numFmtId="0" fontId="2" fillId="0" borderId="0" xfId="3" applyFont="1" applyAlignment="1">
      <alignment horizontal="right"/>
    </xf>
    <xf numFmtId="165" fontId="2" fillId="0" borderId="0" xfId="1" applyFont="1" applyFill="1"/>
    <xf numFmtId="0" fontId="2" fillId="0" borderId="0" xfId="3" applyFont="1" applyFill="1"/>
    <xf numFmtId="0" fontId="17" fillId="0" borderId="0" xfId="0" applyFont="1"/>
    <xf numFmtId="0" fontId="18" fillId="0" borderId="0" xfId="3" applyFont="1" applyBorder="1" applyAlignment="1">
      <alignment horizontal="center"/>
    </xf>
    <xf numFmtId="0" fontId="18" fillId="0" borderId="0" xfId="3" applyFont="1"/>
    <xf numFmtId="0" fontId="11" fillId="0" borderId="0" xfId="3" applyFont="1"/>
    <xf numFmtId="0" fontId="19" fillId="0" borderId="0" xfId="3" applyFont="1"/>
    <xf numFmtId="165" fontId="20" fillId="2" borderId="0" xfId="1" applyFont="1" applyFill="1"/>
  </cellXfs>
  <cellStyles count="23">
    <cellStyle name="Comma" xfId="1" builtinId="3"/>
    <cellStyle name="Comma [0] 2" xfId="5"/>
    <cellStyle name="Comma 2" xfId="6"/>
    <cellStyle name="Currency 2" xfId="7"/>
    <cellStyle name="Euro" xfId="9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Millares 2" xfId="8"/>
    <cellStyle name="Normal" xfId="0" builtinId="0"/>
    <cellStyle name="Normal 2" xfId="3"/>
    <cellStyle name="Normal 3" xfId="10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200" zoomScaleNormal="200" zoomScalePageLayoutView="200" workbookViewId="0">
      <selection activeCell="F12" sqref="F12"/>
    </sheetView>
  </sheetViews>
  <sheetFormatPr baseColWidth="10" defaultRowHeight="14" x14ac:dyDescent="0"/>
  <sheetData>
    <row r="1" spans="1:6">
      <c r="A1" t="s">
        <v>67</v>
      </c>
    </row>
    <row r="2" spans="1:6">
      <c r="A2" t="s">
        <v>68</v>
      </c>
    </row>
    <row r="3" spans="1:6">
      <c r="A3" t="s">
        <v>69</v>
      </c>
      <c r="F3">
        <v>1.25</v>
      </c>
    </row>
    <row r="4" spans="1:6">
      <c r="A4" t="s">
        <v>70</v>
      </c>
    </row>
    <row r="6" spans="1:6">
      <c r="A6" t="s">
        <v>143</v>
      </c>
      <c r="F6">
        <v>1.25</v>
      </c>
    </row>
    <row r="7" spans="1:6">
      <c r="A7" t="s">
        <v>144</v>
      </c>
      <c r="F7">
        <v>1.25</v>
      </c>
    </row>
    <row r="8" spans="1:6">
      <c r="A8" t="s">
        <v>71</v>
      </c>
      <c r="F8">
        <v>1.25</v>
      </c>
    </row>
    <row r="9" spans="1:6">
      <c r="A9" t="s">
        <v>145</v>
      </c>
      <c r="F9">
        <v>1.25</v>
      </c>
    </row>
    <row r="10" spans="1:6">
      <c r="A10" t="s">
        <v>146</v>
      </c>
      <c r="F10">
        <v>1.25</v>
      </c>
    </row>
    <row r="11" spans="1:6">
      <c r="A11" t="s">
        <v>147</v>
      </c>
      <c r="F11">
        <v>1.25</v>
      </c>
    </row>
    <row r="12" spans="1:6">
      <c r="A12" t="s">
        <v>72</v>
      </c>
      <c r="F12">
        <v>1.25</v>
      </c>
    </row>
    <row r="13" spans="1:6">
      <c r="F13">
        <f>SUM(F3:F12)</f>
        <v>10</v>
      </c>
    </row>
    <row r="16" spans="1:6">
      <c r="A16" t="s">
        <v>73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="160" zoomScaleNormal="160" zoomScalePageLayoutView="160" workbookViewId="0">
      <selection activeCell="E35" sqref="E35"/>
    </sheetView>
  </sheetViews>
  <sheetFormatPr baseColWidth="10" defaultColWidth="9.1640625" defaultRowHeight="12" x14ac:dyDescent="0"/>
  <cols>
    <col min="1" max="1" width="28.1640625" style="2" customWidth="1"/>
    <col min="2" max="2" width="18.6640625" style="2" bestFit="1" customWidth="1"/>
    <col min="3" max="3" width="11.5" style="2" customWidth="1"/>
    <col min="4" max="4" width="32.6640625" style="2" bestFit="1" customWidth="1"/>
    <col min="5" max="5" width="18.6640625" style="2" bestFit="1" customWidth="1"/>
    <col min="6" max="256" width="11.5" style="2" customWidth="1"/>
    <col min="257" max="257" width="25.1640625" style="2" bestFit="1" customWidth="1"/>
    <col min="258" max="258" width="18.6640625" style="2" bestFit="1" customWidth="1"/>
    <col min="259" max="259" width="11.5" style="2" customWidth="1"/>
    <col min="260" max="260" width="32.6640625" style="2" bestFit="1" customWidth="1"/>
    <col min="261" max="261" width="18.6640625" style="2" bestFit="1" customWidth="1"/>
    <col min="262" max="512" width="11.5" style="2" customWidth="1"/>
    <col min="513" max="513" width="25.1640625" style="2" bestFit="1" customWidth="1"/>
    <col min="514" max="514" width="18.6640625" style="2" bestFit="1" customWidth="1"/>
    <col min="515" max="515" width="11.5" style="2" customWidth="1"/>
    <col min="516" max="516" width="32.6640625" style="2" bestFit="1" customWidth="1"/>
    <col min="517" max="517" width="18.6640625" style="2" bestFit="1" customWidth="1"/>
    <col min="518" max="768" width="11.5" style="2" customWidth="1"/>
    <col min="769" max="769" width="25.1640625" style="2" bestFit="1" customWidth="1"/>
    <col min="770" max="770" width="18.6640625" style="2" bestFit="1" customWidth="1"/>
    <col min="771" max="771" width="11.5" style="2" customWidth="1"/>
    <col min="772" max="772" width="32.6640625" style="2" bestFit="1" customWidth="1"/>
    <col min="773" max="773" width="18.6640625" style="2" bestFit="1" customWidth="1"/>
    <col min="774" max="1024" width="11.5" style="2" customWidth="1"/>
    <col min="1025" max="1025" width="25.1640625" style="2" bestFit="1" customWidth="1"/>
    <col min="1026" max="1026" width="18.6640625" style="2" bestFit="1" customWidth="1"/>
    <col min="1027" max="1027" width="11.5" style="2" customWidth="1"/>
    <col min="1028" max="1028" width="32.6640625" style="2" bestFit="1" customWidth="1"/>
    <col min="1029" max="1029" width="18.6640625" style="2" bestFit="1" customWidth="1"/>
    <col min="1030" max="1280" width="11.5" style="2" customWidth="1"/>
    <col min="1281" max="1281" width="25.1640625" style="2" bestFit="1" customWidth="1"/>
    <col min="1282" max="1282" width="18.6640625" style="2" bestFit="1" customWidth="1"/>
    <col min="1283" max="1283" width="11.5" style="2" customWidth="1"/>
    <col min="1284" max="1284" width="32.6640625" style="2" bestFit="1" customWidth="1"/>
    <col min="1285" max="1285" width="18.6640625" style="2" bestFit="1" customWidth="1"/>
    <col min="1286" max="1536" width="11.5" style="2" customWidth="1"/>
    <col min="1537" max="1537" width="25.1640625" style="2" bestFit="1" customWidth="1"/>
    <col min="1538" max="1538" width="18.6640625" style="2" bestFit="1" customWidth="1"/>
    <col min="1539" max="1539" width="11.5" style="2" customWidth="1"/>
    <col min="1540" max="1540" width="32.6640625" style="2" bestFit="1" customWidth="1"/>
    <col min="1541" max="1541" width="18.6640625" style="2" bestFit="1" customWidth="1"/>
    <col min="1542" max="1792" width="11.5" style="2" customWidth="1"/>
    <col min="1793" max="1793" width="25.1640625" style="2" bestFit="1" customWidth="1"/>
    <col min="1794" max="1794" width="18.6640625" style="2" bestFit="1" customWidth="1"/>
    <col min="1795" max="1795" width="11.5" style="2" customWidth="1"/>
    <col min="1796" max="1796" width="32.6640625" style="2" bestFit="1" customWidth="1"/>
    <col min="1797" max="1797" width="18.6640625" style="2" bestFit="1" customWidth="1"/>
    <col min="1798" max="2048" width="11.5" style="2" customWidth="1"/>
    <col min="2049" max="2049" width="25.1640625" style="2" bestFit="1" customWidth="1"/>
    <col min="2050" max="2050" width="18.6640625" style="2" bestFit="1" customWidth="1"/>
    <col min="2051" max="2051" width="11.5" style="2" customWidth="1"/>
    <col min="2052" max="2052" width="32.6640625" style="2" bestFit="1" customWidth="1"/>
    <col min="2053" max="2053" width="18.6640625" style="2" bestFit="1" customWidth="1"/>
    <col min="2054" max="2304" width="11.5" style="2" customWidth="1"/>
    <col min="2305" max="2305" width="25.1640625" style="2" bestFit="1" customWidth="1"/>
    <col min="2306" max="2306" width="18.6640625" style="2" bestFit="1" customWidth="1"/>
    <col min="2307" max="2307" width="11.5" style="2" customWidth="1"/>
    <col min="2308" max="2308" width="32.6640625" style="2" bestFit="1" customWidth="1"/>
    <col min="2309" max="2309" width="18.6640625" style="2" bestFit="1" customWidth="1"/>
    <col min="2310" max="2560" width="11.5" style="2" customWidth="1"/>
    <col min="2561" max="2561" width="25.1640625" style="2" bestFit="1" customWidth="1"/>
    <col min="2562" max="2562" width="18.6640625" style="2" bestFit="1" customWidth="1"/>
    <col min="2563" max="2563" width="11.5" style="2" customWidth="1"/>
    <col min="2564" max="2564" width="32.6640625" style="2" bestFit="1" customWidth="1"/>
    <col min="2565" max="2565" width="18.6640625" style="2" bestFit="1" customWidth="1"/>
    <col min="2566" max="2816" width="11.5" style="2" customWidth="1"/>
    <col min="2817" max="2817" width="25.1640625" style="2" bestFit="1" customWidth="1"/>
    <col min="2818" max="2818" width="18.6640625" style="2" bestFit="1" customWidth="1"/>
    <col min="2819" max="2819" width="11.5" style="2" customWidth="1"/>
    <col min="2820" max="2820" width="32.6640625" style="2" bestFit="1" customWidth="1"/>
    <col min="2821" max="2821" width="18.6640625" style="2" bestFit="1" customWidth="1"/>
    <col min="2822" max="3072" width="11.5" style="2" customWidth="1"/>
    <col min="3073" max="3073" width="25.1640625" style="2" bestFit="1" customWidth="1"/>
    <col min="3074" max="3074" width="18.6640625" style="2" bestFit="1" customWidth="1"/>
    <col min="3075" max="3075" width="11.5" style="2" customWidth="1"/>
    <col min="3076" max="3076" width="32.6640625" style="2" bestFit="1" customWidth="1"/>
    <col min="3077" max="3077" width="18.6640625" style="2" bestFit="1" customWidth="1"/>
    <col min="3078" max="3328" width="11.5" style="2" customWidth="1"/>
    <col min="3329" max="3329" width="25.1640625" style="2" bestFit="1" customWidth="1"/>
    <col min="3330" max="3330" width="18.6640625" style="2" bestFit="1" customWidth="1"/>
    <col min="3331" max="3331" width="11.5" style="2" customWidth="1"/>
    <col min="3332" max="3332" width="32.6640625" style="2" bestFit="1" customWidth="1"/>
    <col min="3333" max="3333" width="18.6640625" style="2" bestFit="1" customWidth="1"/>
    <col min="3334" max="3584" width="11.5" style="2" customWidth="1"/>
    <col min="3585" max="3585" width="25.1640625" style="2" bestFit="1" customWidth="1"/>
    <col min="3586" max="3586" width="18.6640625" style="2" bestFit="1" customWidth="1"/>
    <col min="3587" max="3587" width="11.5" style="2" customWidth="1"/>
    <col min="3588" max="3588" width="32.6640625" style="2" bestFit="1" customWidth="1"/>
    <col min="3589" max="3589" width="18.6640625" style="2" bestFit="1" customWidth="1"/>
    <col min="3590" max="3840" width="11.5" style="2" customWidth="1"/>
    <col min="3841" max="3841" width="25.1640625" style="2" bestFit="1" customWidth="1"/>
    <col min="3842" max="3842" width="18.6640625" style="2" bestFit="1" customWidth="1"/>
    <col min="3843" max="3843" width="11.5" style="2" customWidth="1"/>
    <col min="3844" max="3844" width="32.6640625" style="2" bestFit="1" customWidth="1"/>
    <col min="3845" max="3845" width="18.6640625" style="2" bestFit="1" customWidth="1"/>
    <col min="3846" max="4096" width="11.5" style="2" customWidth="1"/>
    <col min="4097" max="4097" width="25.1640625" style="2" bestFit="1" customWidth="1"/>
    <col min="4098" max="4098" width="18.6640625" style="2" bestFit="1" customWidth="1"/>
    <col min="4099" max="4099" width="11.5" style="2" customWidth="1"/>
    <col min="4100" max="4100" width="32.6640625" style="2" bestFit="1" customWidth="1"/>
    <col min="4101" max="4101" width="18.6640625" style="2" bestFit="1" customWidth="1"/>
    <col min="4102" max="4352" width="11.5" style="2" customWidth="1"/>
    <col min="4353" max="4353" width="25.1640625" style="2" bestFit="1" customWidth="1"/>
    <col min="4354" max="4354" width="18.6640625" style="2" bestFit="1" customWidth="1"/>
    <col min="4355" max="4355" width="11.5" style="2" customWidth="1"/>
    <col min="4356" max="4356" width="32.6640625" style="2" bestFit="1" customWidth="1"/>
    <col min="4357" max="4357" width="18.6640625" style="2" bestFit="1" customWidth="1"/>
    <col min="4358" max="4608" width="11.5" style="2" customWidth="1"/>
    <col min="4609" max="4609" width="25.1640625" style="2" bestFit="1" customWidth="1"/>
    <col min="4610" max="4610" width="18.6640625" style="2" bestFit="1" customWidth="1"/>
    <col min="4611" max="4611" width="11.5" style="2" customWidth="1"/>
    <col min="4612" max="4612" width="32.6640625" style="2" bestFit="1" customWidth="1"/>
    <col min="4613" max="4613" width="18.6640625" style="2" bestFit="1" customWidth="1"/>
    <col min="4614" max="4864" width="11.5" style="2" customWidth="1"/>
    <col min="4865" max="4865" width="25.1640625" style="2" bestFit="1" customWidth="1"/>
    <col min="4866" max="4866" width="18.6640625" style="2" bestFit="1" customWidth="1"/>
    <col min="4867" max="4867" width="11.5" style="2" customWidth="1"/>
    <col min="4868" max="4868" width="32.6640625" style="2" bestFit="1" customWidth="1"/>
    <col min="4869" max="4869" width="18.6640625" style="2" bestFit="1" customWidth="1"/>
    <col min="4870" max="5120" width="11.5" style="2" customWidth="1"/>
    <col min="5121" max="5121" width="25.1640625" style="2" bestFit="1" customWidth="1"/>
    <col min="5122" max="5122" width="18.6640625" style="2" bestFit="1" customWidth="1"/>
    <col min="5123" max="5123" width="11.5" style="2" customWidth="1"/>
    <col min="5124" max="5124" width="32.6640625" style="2" bestFit="1" customWidth="1"/>
    <col min="5125" max="5125" width="18.6640625" style="2" bestFit="1" customWidth="1"/>
    <col min="5126" max="5376" width="11.5" style="2" customWidth="1"/>
    <col min="5377" max="5377" width="25.1640625" style="2" bestFit="1" customWidth="1"/>
    <col min="5378" max="5378" width="18.6640625" style="2" bestFit="1" customWidth="1"/>
    <col min="5379" max="5379" width="11.5" style="2" customWidth="1"/>
    <col min="5380" max="5380" width="32.6640625" style="2" bestFit="1" customWidth="1"/>
    <col min="5381" max="5381" width="18.6640625" style="2" bestFit="1" customWidth="1"/>
    <col min="5382" max="5632" width="11.5" style="2" customWidth="1"/>
    <col min="5633" max="5633" width="25.1640625" style="2" bestFit="1" customWidth="1"/>
    <col min="5634" max="5634" width="18.6640625" style="2" bestFit="1" customWidth="1"/>
    <col min="5635" max="5635" width="11.5" style="2" customWidth="1"/>
    <col min="5636" max="5636" width="32.6640625" style="2" bestFit="1" customWidth="1"/>
    <col min="5637" max="5637" width="18.6640625" style="2" bestFit="1" customWidth="1"/>
    <col min="5638" max="5888" width="11.5" style="2" customWidth="1"/>
    <col min="5889" max="5889" width="25.1640625" style="2" bestFit="1" customWidth="1"/>
    <col min="5890" max="5890" width="18.6640625" style="2" bestFit="1" customWidth="1"/>
    <col min="5891" max="5891" width="11.5" style="2" customWidth="1"/>
    <col min="5892" max="5892" width="32.6640625" style="2" bestFit="1" customWidth="1"/>
    <col min="5893" max="5893" width="18.6640625" style="2" bestFit="1" customWidth="1"/>
    <col min="5894" max="6144" width="11.5" style="2" customWidth="1"/>
    <col min="6145" max="6145" width="25.1640625" style="2" bestFit="1" customWidth="1"/>
    <col min="6146" max="6146" width="18.6640625" style="2" bestFit="1" customWidth="1"/>
    <col min="6147" max="6147" width="11.5" style="2" customWidth="1"/>
    <col min="6148" max="6148" width="32.6640625" style="2" bestFit="1" customWidth="1"/>
    <col min="6149" max="6149" width="18.6640625" style="2" bestFit="1" customWidth="1"/>
    <col min="6150" max="6400" width="11.5" style="2" customWidth="1"/>
    <col min="6401" max="6401" width="25.1640625" style="2" bestFit="1" customWidth="1"/>
    <col min="6402" max="6402" width="18.6640625" style="2" bestFit="1" customWidth="1"/>
    <col min="6403" max="6403" width="11.5" style="2" customWidth="1"/>
    <col min="6404" max="6404" width="32.6640625" style="2" bestFit="1" customWidth="1"/>
    <col min="6405" max="6405" width="18.6640625" style="2" bestFit="1" customWidth="1"/>
    <col min="6406" max="6656" width="11.5" style="2" customWidth="1"/>
    <col min="6657" max="6657" width="25.1640625" style="2" bestFit="1" customWidth="1"/>
    <col min="6658" max="6658" width="18.6640625" style="2" bestFit="1" customWidth="1"/>
    <col min="6659" max="6659" width="11.5" style="2" customWidth="1"/>
    <col min="6660" max="6660" width="32.6640625" style="2" bestFit="1" customWidth="1"/>
    <col min="6661" max="6661" width="18.6640625" style="2" bestFit="1" customWidth="1"/>
    <col min="6662" max="6912" width="11.5" style="2" customWidth="1"/>
    <col min="6913" max="6913" width="25.1640625" style="2" bestFit="1" customWidth="1"/>
    <col min="6914" max="6914" width="18.6640625" style="2" bestFit="1" customWidth="1"/>
    <col min="6915" max="6915" width="11.5" style="2" customWidth="1"/>
    <col min="6916" max="6916" width="32.6640625" style="2" bestFit="1" customWidth="1"/>
    <col min="6917" max="6917" width="18.6640625" style="2" bestFit="1" customWidth="1"/>
    <col min="6918" max="7168" width="11.5" style="2" customWidth="1"/>
    <col min="7169" max="7169" width="25.1640625" style="2" bestFit="1" customWidth="1"/>
    <col min="7170" max="7170" width="18.6640625" style="2" bestFit="1" customWidth="1"/>
    <col min="7171" max="7171" width="11.5" style="2" customWidth="1"/>
    <col min="7172" max="7172" width="32.6640625" style="2" bestFit="1" customWidth="1"/>
    <col min="7173" max="7173" width="18.6640625" style="2" bestFit="1" customWidth="1"/>
    <col min="7174" max="7424" width="11.5" style="2" customWidth="1"/>
    <col min="7425" max="7425" width="25.1640625" style="2" bestFit="1" customWidth="1"/>
    <col min="7426" max="7426" width="18.6640625" style="2" bestFit="1" customWidth="1"/>
    <col min="7427" max="7427" width="11.5" style="2" customWidth="1"/>
    <col min="7428" max="7428" width="32.6640625" style="2" bestFit="1" customWidth="1"/>
    <col min="7429" max="7429" width="18.6640625" style="2" bestFit="1" customWidth="1"/>
    <col min="7430" max="7680" width="11.5" style="2" customWidth="1"/>
    <col min="7681" max="7681" width="25.1640625" style="2" bestFit="1" customWidth="1"/>
    <col min="7682" max="7682" width="18.6640625" style="2" bestFit="1" customWidth="1"/>
    <col min="7683" max="7683" width="11.5" style="2" customWidth="1"/>
    <col min="7684" max="7684" width="32.6640625" style="2" bestFit="1" customWidth="1"/>
    <col min="7685" max="7685" width="18.6640625" style="2" bestFit="1" customWidth="1"/>
    <col min="7686" max="7936" width="11.5" style="2" customWidth="1"/>
    <col min="7937" max="7937" width="25.1640625" style="2" bestFit="1" customWidth="1"/>
    <col min="7938" max="7938" width="18.6640625" style="2" bestFit="1" customWidth="1"/>
    <col min="7939" max="7939" width="11.5" style="2" customWidth="1"/>
    <col min="7940" max="7940" width="32.6640625" style="2" bestFit="1" customWidth="1"/>
    <col min="7941" max="7941" width="18.6640625" style="2" bestFit="1" customWidth="1"/>
    <col min="7942" max="8192" width="11.5" style="2" customWidth="1"/>
    <col min="8193" max="8193" width="25.1640625" style="2" bestFit="1" customWidth="1"/>
    <col min="8194" max="8194" width="18.6640625" style="2" bestFit="1" customWidth="1"/>
    <col min="8195" max="8195" width="11.5" style="2" customWidth="1"/>
    <col min="8196" max="8196" width="32.6640625" style="2" bestFit="1" customWidth="1"/>
    <col min="8197" max="8197" width="18.6640625" style="2" bestFit="1" customWidth="1"/>
    <col min="8198" max="8448" width="11.5" style="2" customWidth="1"/>
    <col min="8449" max="8449" width="25.1640625" style="2" bestFit="1" customWidth="1"/>
    <col min="8450" max="8450" width="18.6640625" style="2" bestFit="1" customWidth="1"/>
    <col min="8451" max="8451" width="11.5" style="2" customWidth="1"/>
    <col min="8452" max="8452" width="32.6640625" style="2" bestFit="1" customWidth="1"/>
    <col min="8453" max="8453" width="18.6640625" style="2" bestFit="1" customWidth="1"/>
    <col min="8454" max="8704" width="11.5" style="2" customWidth="1"/>
    <col min="8705" max="8705" width="25.1640625" style="2" bestFit="1" customWidth="1"/>
    <col min="8706" max="8706" width="18.6640625" style="2" bestFit="1" customWidth="1"/>
    <col min="8707" max="8707" width="11.5" style="2" customWidth="1"/>
    <col min="8708" max="8708" width="32.6640625" style="2" bestFit="1" customWidth="1"/>
    <col min="8709" max="8709" width="18.6640625" style="2" bestFit="1" customWidth="1"/>
    <col min="8710" max="8960" width="11.5" style="2" customWidth="1"/>
    <col min="8961" max="8961" width="25.1640625" style="2" bestFit="1" customWidth="1"/>
    <col min="8962" max="8962" width="18.6640625" style="2" bestFit="1" customWidth="1"/>
    <col min="8963" max="8963" width="11.5" style="2" customWidth="1"/>
    <col min="8964" max="8964" width="32.6640625" style="2" bestFit="1" customWidth="1"/>
    <col min="8965" max="8965" width="18.6640625" style="2" bestFit="1" customWidth="1"/>
    <col min="8966" max="9216" width="11.5" style="2" customWidth="1"/>
    <col min="9217" max="9217" width="25.1640625" style="2" bestFit="1" customWidth="1"/>
    <col min="9218" max="9218" width="18.6640625" style="2" bestFit="1" customWidth="1"/>
    <col min="9219" max="9219" width="11.5" style="2" customWidth="1"/>
    <col min="9220" max="9220" width="32.6640625" style="2" bestFit="1" customWidth="1"/>
    <col min="9221" max="9221" width="18.6640625" style="2" bestFit="1" customWidth="1"/>
    <col min="9222" max="9472" width="11.5" style="2" customWidth="1"/>
    <col min="9473" max="9473" width="25.1640625" style="2" bestFit="1" customWidth="1"/>
    <col min="9474" max="9474" width="18.6640625" style="2" bestFit="1" customWidth="1"/>
    <col min="9475" max="9475" width="11.5" style="2" customWidth="1"/>
    <col min="9476" max="9476" width="32.6640625" style="2" bestFit="1" customWidth="1"/>
    <col min="9477" max="9477" width="18.6640625" style="2" bestFit="1" customWidth="1"/>
    <col min="9478" max="9728" width="11.5" style="2" customWidth="1"/>
    <col min="9729" max="9729" width="25.1640625" style="2" bestFit="1" customWidth="1"/>
    <col min="9730" max="9730" width="18.6640625" style="2" bestFit="1" customWidth="1"/>
    <col min="9731" max="9731" width="11.5" style="2" customWidth="1"/>
    <col min="9732" max="9732" width="32.6640625" style="2" bestFit="1" customWidth="1"/>
    <col min="9733" max="9733" width="18.6640625" style="2" bestFit="1" customWidth="1"/>
    <col min="9734" max="9984" width="11.5" style="2" customWidth="1"/>
    <col min="9985" max="9985" width="25.1640625" style="2" bestFit="1" customWidth="1"/>
    <col min="9986" max="9986" width="18.6640625" style="2" bestFit="1" customWidth="1"/>
    <col min="9987" max="9987" width="11.5" style="2" customWidth="1"/>
    <col min="9988" max="9988" width="32.6640625" style="2" bestFit="1" customWidth="1"/>
    <col min="9989" max="9989" width="18.6640625" style="2" bestFit="1" customWidth="1"/>
    <col min="9990" max="10240" width="11.5" style="2" customWidth="1"/>
    <col min="10241" max="10241" width="25.1640625" style="2" bestFit="1" customWidth="1"/>
    <col min="10242" max="10242" width="18.6640625" style="2" bestFit="1" customWidth="1"/>
    <col min="10243" max="10243" width="11.5" style="2" customWidth="1"/>
    <col min="10244" max="10244" width="32.6640625" style="2" bestFit="1" customWidth="1"/>
    <col min="10245" max="10245" width="18.6640625" style="2" bestFit="1" customWidth="1"/>
    <col min="10246" max="10496" width="11.5" style="2" customWidth="1"/>
    <col min="10497" max="10497" width="25.1640625" style="2" bestFit="1" customWidth="1"/>
    <col min="10498" max="10498" width="18.6640625" style="2" bestFit="1" customWidth="1"/>
    <col min="10499" max="10499" width="11.5" style="2" customWidth="1"/>
    <col min="10500" max="10500" width="32.6640625" style="2" bestFit="1" customWidth="1"/>
    <col min="10501" max="10501" width="18.6640625" style="2" bestFit="1" customWidth="1"/>
    <col min="10502" max="10752" width="11.5" style="2" customWidth="1"/>
    <col min="10753" max="10753" width="25.1640625" style="2" bestFit="1" customWidth="1"/>
    <col min="10754" max="10754" width="18.6640625" style="2" bestFit="1" customWidth="1"/>
    <col min="10755" max="10755" width="11.5" style="2" customWidth="1"/>
    <col min="10756" max="10756" width="32.6640625" style="2" bestFit="1" customWidth="1"/>
    <col min="10757" max="10757" width="18.6640625" style="2" bestFit="1" customWidth="1"/>
    <col min="10758" max="11008" width="11.5" style="2" customWidth="1"/>
    <col min="11009" max="11009" width="25.1640625" style="2" bestFit="1" customWidth="1"/>
    <col min="11010" max="11010" width="18.6640625" style="2" bestFit="1" customWidth="1"/>
    <col min="11011" max="11011" width="11.5" style="2" customWidth="1"/>
    <col min="11012" max="11012" width="32.6640625" style="2" bestFit="1" customWidth="1"/>
    <col min="11013" max="11013" width="18.6640625" style="2" bestFit="1" customWidth="1"/>
    <col min="11014" max="11264" width="11.5" style="2" customWidth="1"/>
    <col min="11265" max="11265" width="25.1640625" style="2" bestFit="1" customWidth="1"/>
    <col min="11266" max="11266" width="18.6640625" style="2" bestFit="1" customWidth="1"/>
    <col min="11267" max="11267" width="11.5" style="2" customWidth="1"/>
    <col min="11268" max="11268" width="32.6640625" style="2" bestFit="1" customWidth="1"/>
    <col min="11269" max="11269" width="18.6640625" style="2" bestFit="1" customWidth="1"/>
    <col min="11270" max="11520" width="11.5" style="2" customWidth="1"/>
    <col min="11521" max="11521" width="25.1640625" style="2" bestFit="1" customWidth="1"/>
    <col min="11522" max="11522" width="18.6640625" style="2" bestFit="1" customWidth="1"/>
    <col min="11523" max="11523" width="11.5" style="2" customWidth="1"/>
    <col min="11524" max="11524" width="32.6640625" style="2" bestFit="1" customWidth="1"/>
    <col min="11525" max="11525" width="18.6640625" style="2" bestFit="1" customWidth="1"/>
    <col min="11526" max="11776" width="11.5" style="2" customWidth="1"/>
    <col min="11777" max="11777" width="25.1640625" style="2" bestFit="1" customWidth="1"/>
    <col min="11778" max="11778" width="18.6640625" style="2" bestFit="1" customWidth="1"/>
    <col min="11779" max="11779" width="11.5" style="2" customWidth="1"/>
    <col min="11780" max="11780" width="32.6640625" style="2" bestFit="1" customWidth="1"/>
    <col min="11781" max="11781" width="18.6640625" style="2" bestFit="1" customWidth="1"/>
    <col min="11782" max="12032" width="11.5" style="2" customWidth="1"/>
    <col min="12033" max="12033" width="25.1640625" style="2" bestFit="1" customWidth="1"/>
    <col min="12034" max="12034" width="18.6640625" style="2" bestFit="1" customWidth="1"/>
    <col min="12035" max="12035" width="11.5" style="2" customWidth="1"/>
    <col min="12036" max="12036" width="32.6640625" style="2" bestFit="1" customWidth="1"/>
    <col min="12037" max="12037" width="18.6640625" style="2" bestFit="1" customWidth="1"/>
    <col min="12038" max="12288" width="11.5" style="2" customWidth="1"/>
    <col min="12289" max="12289" width="25.1640625" style="2" bestFit="1" customWidth="1"/>
    <col min="12290" max="12290" width="18.6640625" style="2" bestFit="1" customWidth="1"/>
    <col min="12291" max="12291" width="11.5" style="2" customWidth="1"/>
    <col min="12292" max="12292" width="32.6640625" style="2" bestFit="1" customWidth="1"/>
    <col min="12293" max="12293" width="18.6640625" style="2" bestFit="1" customWidth="1"/>
    <col min="12294" max="12544" width="11.5" style="2" customWidth="1"/>
    <col min="12545" max="12545" width="25.1640625" style="2" bestFit="1" customWidth="1"/>
    <col min="12546" max="12546" width="18.6640625" style="2" bestFit="1" customWidth="1"/>
    <col min="12547" max="12547" width="11.5" style="2" customWidth="1"/>
    <col min="12548" max="12548" width="32.6640625" style="2" bestFit="1" customWidth="1"/>
    <col min="12549" max="12549" width="18.6640625" style="2" bestFit="1" customWidth="1"/>
    <col min="12550" max="12800" width="11.5" style="2" customWidth="1"/>
    <col min="12801" max="12801" width="25.1640625" style="2" bestFit="1" customWidth="1"/>
    <col min="12802" max="12802" width="18.6640625" style="2" bestFit="1" customWidth="1"/>
    <col min="12803" max="12803" width="11.5" style="2" customWidth="1"/>
    <col min="12804" max="12804" width="32.6640625" style="2" bestFit="1" customWidth="1"/>
    <col min="12805" max="12805" width="18.6640625" style="2" bestFit="1" customWidth="1"/>
    <col min="12806" max="13056" width="11.5" style="2" customWidth="1"/>
    <col min="13057" max="13057" width="25.1640625" style="2" bestFit="1" customWidth="1"/>
    <col min="13058" max="13058" width="18.6640625" style="2" bestFit="1" customWidth="1"/>
    <col min="13059" max="13059" width="11.5" style="2" customWidth="1"/>
    <col min="13060" max="13060" width="32.6640625" style="2" bestFit="1" customWidth="1"/>
    <col min="13061" max="13061" width="18.6640625" style="2" bestFit="1" customWidth="1"/>
    <col min="13062" max="13312" width="11.5" style="2" customWidth="1"/>
    <col min="13313" max="13313" width="25.1640625" style="2" bestFit="1" customWidth="1"/>
    <col min="13314" max="13314" width="18.6640625" style="2" bestFit="1" customWidth="1"/>
    <col min="13315" max="13315" width="11.5" style="2" customWidth="1"/>
    <col min="13316" max="13316" width="32.6640625" style="2" bestFit="1" customWidth="1"/>
    <col min="13317" max="13317" width="18.6640625" style="2" bestFit="1" customWidth="1"/>
    <col min="13318" max="13568" width="11.5" style="2" customWidth="1"/>
    <col min="13569" max="13569" width="25.1640625" style="2" bestFit="1" customWidth="1"/>
    <col min="13570" max="13570" width="18.6640625" style="2" bestFit="1" customWidth="1"/>
    <col min="13571" max="13571" width="11.5" style="2" customWidth="1"/>
    <col min="13572" max="13572" width="32.6640625" style="2" bestFit="1" customWidth="1"/>
    <col min="13573" max="13573" width="18.6640625" style="2" bestFit="1" customWidth="1"/>
    <col min="13574" max="13824" width="11.5" style="2" customWidth="1"/>
    <col min="13825" max="13825" width="25.1640625" style="2" bestFit="1" customWidth="1"/>
    <col min="13826" max="13826" width="18.6640625" style="2" bestFit="1" customWidth="1"/>
    <col min="13827" max="13827" width="11.5" style="2" customWidth="1"/>
    <col min="13828" max="13828" width="32.6640625" style="2" bestFit="1" customWidth="1"/>
    <col min="13829" max="13829" width="18.6640625" style="2" bestFit="1" customWidth="1"/>
    <col min="13830" max="14080" width="11.5" style="2" customWidth="1"/>
    <col min="14081" max="14081" width="25.1640625" style="2" bestFit="1" customWidth="1"/>
    <col min="14082" max="14082" width="18.6640625" style="2" bestFit="1" customWidth="1"/>
    <col min="14083" max="14083" width="11.5" style="2" customWidth="1"/>
    <col min="14084" max="14084" width="32.6640625" style="2" bestFit="1" customWidth="1"/>
    <col min="14085" max="14085" width="18.6640625" style="2" bestFit="1" customWidth="1"/>
    <col min="14086" max="14336" width="11.5" style="2" customWidth="1"/>
    <col min="14337" max="14337" width="25.1640625" style="2" bestFit="1" customWidth="1"/>
    <col min="14338" max="14338" width="18.6640625" style="2" bestFit="1" customWidth="1"/>
    <col min="14339" max="14339" width="11.5" style="2" customWidth="1"/>
    <col min="14340" max="14340" width="32.6640625" style="2" bestFit="1" customWidth="1"/>
    <col min="14341" max="14341" width="18.6640625" style="2" bestFit="1" customWidth="1"/>
    <col min="14342" max="14592" width="11.5" style="2" customWidth="1"/>
    <col min="14593" max="14593" width="25.1640625" style="2" bestFit="1" customWidth="1"/>
    <col min="14594" max="14594" width="18.6640625" style="2" bestFit="1" customWidth="1"/>
    <col min="14595" max="14595" width="11.5" style="2" customWidth="1"/>
    <col min="14596" max="14596" width="32.6640625" style="2" bestFit="1" customWidth="1"/>
    <col min="14597" max="14597" width="18.6640625" style="2" bestFit="1" customWidth="1"/>
    <col min="14598" max="14848" width="11.5" style="2" customWidth="1"/>
    <col min="14849" max="14849" width="25.1640625" style="2" bestFit="1" customWidth="1"/>
    <col min="14850" max="14850" width="18.6640625" style="2" bestFit="1" customWidth="1"/>
    <col min="14851" max="14851" width="11.5" style="2" customWidth="1"/>
    <col min="14852" max="14852" width="32.6640625" style="2" bestFit="1" customWidth="1"/>
    <col min="14853" max="14853" width="18.6640625" style="2" bestFit="1" customWidth="1"/>
    <col min="14854" max="15104" width="11.5" style="2" customWidth="1"/>
    <col min="15105" max="15105" width="25.1640625" style="2" bestFit="1" customWidth="1"/>
    <col min="15106" max="15106" width="18.6640625" style="2" bestFit="1" customWidth="1"/>
    <col min="15107" max="15107" width="11.5" style="2" customWidth="1"/>
    <col min="15108" max="15108" width="32.6640625" style="2" bestFit="1" customWidth="1"/>
    <col min="15109" max="15109" width="18.6640625" style="2" bestFit="1" customWidth="1"/>
    <col min="15110" max="15360" width="11.5" style="2" customWidth="1"/>
    <col min="15361" max="15361" width="25.1640625" style="2" bestFit="1" customWidth="1"/>
    <col min="15362" max="15362" width="18.6640625" style="2" bestFit="1" customWidth="1"/>
    <col min="15363" max="15363" width="11.5" style="2" customWidth="1"/>
    <col min="15364" max="15364" width="32.6640625" style="2" bestFit="1" customWidth="1"/>
    <col min="15365" max="15365" width="18.6640625" style="2" bestFit="1" customWidth="1"/>
    <col min="15366" max="15616" width="11.5" style="2" customWidth="1"/>
    <col min="15617" max="15617" width="25.1640625" style="2" bestFit="1" customWidth="1"/>
    <col min="15618" max="15618" width="18.6640625" style="2" bestFit="1" customWidth="1"/>
    <col min="15619" max="15619" width="11.5" style="2" customWidth="1"/>
    <col min="15620" max="15620" width="32.6640625" style="2" bestFit="1" customWidth="1"/>
    <col min="15621" max="15621" width="18.6640625" style="2" bestFit="1" customWidth="1"/>
    <col min="15622" max="15872" width="11.5" style="2" customWidth="1"/>
    <col min="15873" max="15873" width="25.1640625" style="2" bestFit="1" customWidth="1"/>
    <col min="15874" max="15874" width="18.6640625" style="2" bestFit="1" customWidth="1"/>
    <col min="15875" max="15875" width="11.5" style="2" customWidth="1"/>
    <col min="15876" max="15876" width="32.6640625" style="2" bestFit="1" customWidth="1"/>
    <col min="15877" max="15877" width="18.6640625" style="2" bestFit="1" customWidth="1"/>
    <col min="15878" max="16128" width="11.5" style="2" customWidth="1"/>
    <col min="16129" max="16129" width="25.1640625" style="2" bestFit="1" customWidth="1"/>
    <col min="16130" max="16130" width="18.6640625" style="2" bestFit="1" customWidth="1"/>
    <col min="16131" max="16131" width="11.5" style="2" customWidth="1"/>
    <col min="16132" max="16132" width="32.6640625" style="2" bestFit="1" customWidth="1"/>
    <col min="16133" max="16133" width="18.6640625" style="2" bestFit="1" customWidth="1"/>
    <col min="16134" max="16384" width="11.5" style="2" customWidth="1"/>
  </cols>
  <sheetData>
    <row r="2" spans="1:6">
      <c r="A2" s="1" t="s">
        <v>0</v>
      </c>
      <c r="D2" s="1" t="s">
        <v>1</v>
      </c>
    </row>
    <row r="3" spans="1:6">
      <c r="A3" s="1" t="s">
        <v>2</v>
      </c>
      <c r="B3" s="3">
        <v>500000</v>
      </c>
      <c r="D3" s="1" t="s">
        <v>3</v>
      </c>
      <c r="E3" s="4">
        <v>30000</v>
      </c>
    </row>
    <row r="4" spans="1:6">
      <c r="A4" s="1" t="s">
        <v>4</v>
      </c>
      <c r="B4" s="3">
        <v>7000</v>
      </c>
      <c r="D4" s="1" t="s">
        <v>5</v>
      </c>
      <c r="E4" s="4">
        <v>250000</v>
      </c>
    </row>
    <row r="5" spans="1:6">
      <c r="A5" s="1" t="s">
        <v>6</v>
      </c>
      <c r="B5" s="3">
        <f>0.1*200000</f>
        <v>20000</v>
      </c>
      <c r="D5" s="1" t="s">
        <v>7</v>
      </c>
      <c r="E5" s="4">
        <v>25000</v>
      </c>
    </row>
    <row r="6" spans="1:6">
      <c r="A6" s="1" t="s">
        <v>8</v>
      </c>
      <c r="B6" s="3">
        <v>100000</v>
      </c>
      <c r="D6" s="1" t="s">
        <v>6</v>
      </c>
      <c r="E6" s="4">
        <f>0.25*200000</f>
        <v>50000</v>
      </c>
    </row>
    <row r="7" spans="1:6">
      <c r="A7" s="1" t="s">
        <v>9</v>
      </c>
      <c r="B7" s="3">
        <f>23000*0.1</f>
        <v>2300</v>
      </c>
      <c r="D7" s="1" t="s">
        <v>9</v>
      </c>
      <c r="E7" s="4">
        <f>23000*0.25</f>
        <v>5750</v>
      </c>
    </row>
    <row r="8" spans="1:6">
      <c r="A8" s="1" t="s">
        <v>10</v>
      </c>
      <c r="B8" s="3">
        <f>25000*0.1</f>
        <v>2500</v>
      </c>
      <c r="D8" s="1" t="s">
        <v>10</v>
      </c>
      <c r="E8" s="4">
        <f>25000*0.25</f>
        <v>6250</v>
      </c>
    </row>
    <row r="9" spans="1:6">
      <c r="A9" s="1" t="s">
        <v>11</v>
      </c>
      <c r="B9" s="3">
        <f>SUM(B3:B8)</f>
        <v>631800</v>
      </c>
      <c r="D9" s="1" t="s">
        <v>12</v>
      </c>
      <c r="E9" s="4">
        <f>SUM(E3:E8)</f>
        <v>367000</v>
      </c>
      <c r="F9" s="5"/>
    </row>
    <row r="10" spans="1:6">
      <c r="B10" s="3"/>
      <c r="E10" s="4"/>
      <c r="F10" s="5"/>
    </row>
    <row r="11" spans="1:6">
      <c r="A11" s="1" t="s">
        <v>13</v>
      </c>
      <c r="B11" s="3">
        <v>1500</v>
      </c>
      <c r="D11" s="1" t="s">
        <v>14</v>
      </c>
      <c r="E11" s="4">
        <v>40000000</v>
      </c>
      <c r="F11" s="5"/>
    </row>
    <row r="12" spans="1:6">
      <c r="B12" s="3"/>
      <c r="D12" s="1" t="s">
        <v>15</v>
      </c>
      <c r="E12" s="4">
        <v>500000</v>
      </c>
      <c r="F12" s="5"/>
    </row>
    <row r="13" spans="1:6" ht="14">
      <c r="A13" s="1" t="s">
        <v>16</v>
      </c>
      <c r="B13" s="3">
        <f>B9/B11</f>
        <v>421.2</v>
      </c>
      <c r="D13" s="1" t="s">
        <v>17</v>
      </c>
      <c r="E13" s="6">
        <f>+E9/(E11+E12)</f>
        <v>9.0617283950617279E-3</v>
      </c>
      <c r="F13" s="5"/>
    </row>
    <row r="14" spans="1:6" ht="14">
      <c r="B14" s="3"/>
      <c r="D14" s="1" t="s">
        <v>18</v>
      </c>
      <c r="E14" s="7">
        <v>0.05</v>
      </c>
      <c r="F14" s="5"/>
    </row>
    <row r="15" spans="1:6">
      <c r="B15" s="3"/>
      <c r="D15" s="1" t="s">
        <v>19</v>
      </c>
      <c r="E15" s="8">
        <f>E14+E13</f>
        <v>5.9061728395061727E-2</v>
      </c>
    </row>
    <row r="16" spans="1:6">
      <c r="B16" s="3"/>
    </row>
    <row r="17" spans="1:7">
      <c r="B17" s="3"/>
    </row>
    <row r="18" spans="1:7">
      <c r="A18" s="1" t="s">
        <v>20</v>
      </c>
      <c r="B18" s="9" t="s">
        <v>21</v>
      </c>
      <c r="D18" s="1"/>
    </row>
    <row r="19" spans="1:7">
      <c r="B19" s="3"/>
    </row>
    <row r="20" spans="1:7" ht="18">
      <c r="A20" s="1" t="s">
        <v>22</v>
      </c>
      <c r="B20" s="3">
        <v>15000000</v>
      </c>
      <c r="D20" s="1" t="s">
        <v>66</v>
      </c>
      <c r="E20" s="4">
        <v>250000</v>
      </c>
    </row>
    <row r="21" spans="1:7">
      <c r="A21" s="1" t="s">
        <v>24</v>
      </c>
      <c r="B21" s="3">
        <f>+B20/365</f>
        <v>41095.890410958906</v>
      </c>
      <c r="D21" s="5" t="s">
        <v>65</v>
      </c>
      <c r="E21" s="10">
        <v>13085.6</v>
      </c>
      <c r="F21" s="5"/>
    </row>
    <row r="22" spans="1:7">
      <c r="A22" s="1" t="s">
        <v>25</v>
      </c>
      <c r="B22" s="11">
        <v>7.02</v>
      </c>
      <c r="D22" s="1" t="s">
        <v>26</v>
      </c>
      <c r="E22" s="12">
        <v>2</v>
      </c>
      <c r="G22" s="12" t="s">
        <v>23</v>
      </c>
    </row>
    <row r="23" spans="1:7" ht="14">
      <c r="A23" s="1" t="s">
        <v>27</v>
      </c>
      <c r="B23" s="13">
        <f>1-15%</f>
        <v>0.85</v>
      </c>
      <c r="D23" s="1" t="s">
        <v>28</v>
      </c>
      <c r="E23" s="14">
        <f>NORMSINV(B23)</f>
        <v>1.0364333894937898</v>
      </c>
    </row>
    <row r="24" spans="1:7" ht="13" thickBot="1">
      <c r="E24" s="15" t="s">
        <v>23</v>
      </c>
    </row>
    <row r="25" spans="1:7" ht="13" thickBot="1">
      <c r="A25" s="43" t="s">
        <v>29</v>
      </c>
      <c r="D25" s="43" t="s">
        <v>30</v>
      </c>
    </row>
    <row r="26" spans="1:7">
      <c r="A26" s="1" t="s">
        <v>31</v>
      </c>
      <c r="B26" s="16">
        <f>+SQRT((2*B20*B13)/E15)</f>
        <v>462542.59498333023</v>
      </c>
      <c r="D26" s="1" t="s">
        <v>32</v>
      </c>
      <c r="E26" s="16">
        <f>+E23*SQRT(B22*E21*E21+B21*B21*E22*E22)</f>
        <v>92455.10998725993</v>
      </c>
      <c r="F26" s="52"/>
    </row>
    <row r="27" spans="1:7">
      <c r="A27" s="1"/>
      <c r="B27" s="1"/>
      <c r="D27" s="1"/>
      <c r="F27" s="52"/>
    </row>
    <row r="28" spans="1:7">
      <c r="A28" s="1" t="s">
        <v>16</v>
      </c>
      <c r="B28" s="17"/>
      <c r="D28" s="1"/>
      <c r="E28" s="16">
        <f>+$B$20/$B$26*$B$13</f>
        <v>13659.282558026243</v>
      </c>
      <c r="F28" s="52"/>
    </row>
    <row r="29" spans="1:7">
      <c r="A29" s="1" t="s">
        <v>33</v>
      </c>
      <c r="B29" s="17"/>
      <c r="D29" s="1"/>
      <c r="E29" s="16">
        <f>+(+E26+$B$26/2)*$E$15</f>
        <v>19119.841152829351</v>
      </c>
      <c r="F29" s="52"/>
    </row>
    <row r="30" spans="1:7">
      <c r="A30" s="1" t="s">
        <v>34</v>
      </c>
      <c r="B30" s="16"/>
      <c r="D30" s="1"/>
      <c r="E30" s="16">
        <f>+$B$20</f>
        <v>15000000</v>
      </c>
      <c r="F30" s="52"/>
    </row>
    <row r="31" spans="1:7">
      <c r="A31" s="1" t="s">
        <v>35</v>
      </c>
      <c r="B31" s="46"/>
      <c r="D31" s="1"/>
      <c r="E31" s="18">
        <f>SUM(E28:E30)</f>
        <v>15032779.123710856</v>
      </c>
      <c r="F31" s="52"/>
    </row>
    <row r="32" spans="1:7">
      <c r="A32" s="1"/>
      <c r="B32" s="47"/>
      <c r="D32" s="1"/>
      <c r="F32" s="52"/>
    </row>
    <row r="33" spans="1:6">
      <c r="A33" s="1"/>
      <c r="B33" s="47"/>
      <c r="D33" s="1"/>
      <c r="F33" s="52"/>
    </row>
    <row r="34" spans="1:6" ht="13" thickBot="1">
      <c r="A34" s="1"/>
      <c r="B34" s="47"/>
      <c r="D34" s="1"/>
      <c r="F34" s="52"/>
    </row>
    <row r="35" spans="1:6" ht="13" thickBot="1">
      <c r="A35" s="44" t="s">
        <v>63</v>
      </c>
      <c r="B35" s="46"/>
      <c r="D35" s="45" t="s">
        <v>64</v>
      </c>
      <c r="E35" s="53">
        <f>+$B$20/$B$26*$B$13+(+E26+$B$26/2)*$E$15+$B$20</f>
        <v>15032779.123710856</v>
      </c>
      <c r="F35" s="52" t="s">
        <v>153</v>
      </c>
    </row>
    <row r="36" spans="1:6">
      <c r="A36" s="1" t="s">
        <v>23</v>
      </c>
      <c r="B36" s="47" t="s">
        <v>23</v>
      </c>
      <c r="F36" s="52"/>
    </row>
    <row r="37" spans="1:6">
      <c r="F37" s="52"/>
    </row>
    <row r="38" spans="1:6">
      <c r="D38" s="2" t="s">
        <v>137</v>
      </c>
      <c r="E38" s="51" t="s">
        <v>138</v>
      </c>
      <c r="F38" s="52" t="s">
        <v>139</v>
      </c>
    </row>
  </sheetData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80" zoomScaleNormal="180" zoomScalePageLayoutView="180" workbookViewId="0">
      <selection activeCell="F9" sqref="F9"/>
    </sheetView>
  </sheetViews>
  <sheetFormatPr baseColWidth="10" defaultColWidth="12.5" defaultRowHeight="12" x14ac:dyDescent="0"/>
  <cols>
    <col min="1" max="1" width="48.5" style="2" customWidth="1"/>
    <col min="2" max="2" width="20.6640625" style="2" customWidth="1"/>
    <col min="3" max="3" width="27.5" style="2" bestFit="1" customWidth="1"/>
    <col min="4" max="4" width="19" style="2" hidden="1" customWidth="1"/>
    <col min="5" max="16384" width="12.5" style="2"/>
  </cols>
  <sheetData>
    <row r="1" spans="1:5" ht="15">
      <c r="A1" s="19"/>
      <c r="B1" s="20" t="s">
        <v>36</v>
      </c>
      <c r="C1" s="20" t="s">
        <v>37</v>
      </c>
      <c r="D1" s="19"/>
      <c r="E1" s="21"/>
    </row>
    <row r="2" spans="1:5" ht="15">
      <c r="A2" s="22" t="s">
        <v>38</v>
      </c>
      <c r="B2" s="20" t="s">
        <v>39</v>
      </c>
      <c r="C2" s="20" t="s">
        <v>40</v>
      </c>
      <c r="D2" s="23"/>
      <c r="E2" s="21"/>
    </row>
    <row r="3" spans="1:5" ht="15">
      <c r="A3" s="39" t="s">
        <v>41</v>
      </c>
      <c r="B3" s="34">
        <v>4500</v>
      </c>
      <c r="C3" s="34">
        <v>4500</v>
      </c>
      <c r="D3" s="24">
        <f>+B3</f>
        <v>4500</v>
      </c>
      <c r="E3" s="21"/>
    </row>
    <row r="4" spans="1:5" ht="15">
      <c r="A4" s="39" t="s">
        <v>42</v>
      </c>
      <c r="B4" s="34">
        <v>19000</v>
      </c>
      <c r="C4" s="34">
        <v>19000</v>
      </c>
      <c r="D4" s="24">
        <v>14000</v>
      </c>
      <c r="E4" s="21"/>
    </row>
    <row r="5" spans="1:5" ht="15">
      <c r="A5" s="39" t="s">
        <v>43</v>
      </c>
      <c r="B5" s="34">
        <v>0</v>
      </c>
      <c r="C5" s="34">
        <v>0</v>
      </c>
      <c r="D5" s="25"/>
      <c r="E5" s="21"/>
    </row>
    <row r="6" spans="1:5" ht="15">
      <c r="A6" s="39" t="s">
        <v>44</v>
      </c>
      <c r="B6" s="34">
        <f>+B4*(1-B5)</f>
        <v>19000</v>
      </c>
      <c r="C6" s="34">
        <f>+C4*(1-C5)</f>
        <v>19000</v>
      </c>
      <c r="D6" s="24">
        <f>+D4*(1-D5)</f>
        <v>14000</v>
      </c>
      <c r="E6" s="21"/>
    </row>
    <row r="7" spans="1:5" ht="15">
      <c r="A7" s="39" t="s">
        <v>45</v>
      </c>
      <c r="B7" s="34">
        <v>800</v>
      </c>
      <c r="C7" s="34">
        <v>800</v>
      </c>
      <c r="D7" s="24">
        <v>0</v>
      </c>
      <c r="E7" s="21"/>
    </row>
    <row r="8" spans="1:5" ht="15">
      <c r="A8" s="39" t="s">
        <v>46</v>
      </c>
      <c r="B8" s="34">
        <f>+B6+B7</f>
        <v>19800</v>
      </c>
      <c r="C8" s="34">
        <f>+C6+C7</f>
        <v>19800</v>
      </c>
      <c r="D8" s="24">
        <f>+D6+D7</f>
        <v>14000</v>
      </c>
      <c r="E8" s="21"/>
    </row>
    <row r="9" spans="1:5" ht="15">
      <c r="A9" s="39" t="s">
        <v>47</v>
      </c>
      <c r="B9" s="34">
        <v>0</v>
      </c>
      <c r="C9" s="34">
        <v>0</v>
      </c>
      <c r="D9" s="24"/>
      <c r="E9" s="21"/>
    </row>
    <row r="10" spans="1:5" ht="15">
      <c r="A10" s="39" t="s">
        <v>48</v>
      </c>
      <c r="B10" s="34">
        <f>SUM(B8:B9)</f>
        <v>19800</v>
      </c>
      <c r="C10" s="34">
        <f>SUM(C8:C9)</f>
        <v>19800</v>
      </c>
      <c r="D10" s="24">
        <f>SUM(D8:D9)</f>
        <v>14000</v>
      </c>
      <c r="E10" s="21"/>
    </row>
    <row r="11" spans="1:5" ht="15">
      <c r="A11" s="39" t="s">
        <v>49</v>
      </c>
      <c r="B11" s="34">
        <v>0.36</v>
      </c>
      <c r="C11" s="34">
        <v>0.33</v>
      </c>
      <c r="D11" s="24">
        <v>0.67</v>
      </c>
      <c r="E11" s="21"/>
    </row>
    <row r="12" spans="1:5" ht="15">
      <c r="A12" s="39" t="s">
        <v>50</v>
      </c>
      <c r="B12" s="34">
        <f>+B10*B11</f>
        <v>7128</v>
      </c>
      <c r="C12" s="34">
        <f>+C10*C11</f>
        <v>6534</v>
      </c>
      <c r="D12" s="24">
        <f>+D10*D11</f>
        <v>9380</v>
      </c>
      <c r="E12" s="21"/>
    </row>
    <row r="13" spans="1:5" ht="17">
      <c r="A13" s="39" t="s">
        <v>51</v>
      </c>
      <c r="B13" s="34">
        <v>5000</v>
      </c>
      <c r="C13" s="34">
        <v>5000</v>
      </c>
      <c r="D13" s="24">
        <v>12000</v>
      </c>
      <c r="E13" s="21"/>
    </row>
    <row r="14" spans="1:5" ht="15">
      <c r="A14" s="39" t="s">
        <v>52</v>
      </c>
      <c r="B14" s="34"/>
      <c r="C14" s="34">
        <f>+C15*(0.0275)</f>
        <v>715</v>
      </c>
      <c r="D14" s="24"/>
      <c r="E14" s="21"/>
    </row>
    <row r="15" spans="1:5" ht="15">
      <c r="A15" s="39" t="s">
        <v>53</v>
      </c>
      <c r="B15" s="34"/>
      <c r="C15" s="34">
        <v>26000</v>
      </c>
      <c r="D15" s="24"/>
      <c r="E15" s="21"/>
    </row>
    <row r="16" spans="1:5" ht="15">
      <c r="A16" s="39" t="s">
        <v>54</v>
      </c>
      <c r="B16" s="35"/>
      <c r="C16" s="35">
        <f>+C18*(C12/(C12+C14))</f>
        <v>238.17915556062874</v>
      </c>
      <c r="D16" s="26"/>
      <c r="E16" s="21"/>
    </row>
    <row r="17" spans="1:8" ht="15">
      <c r="A17" s="40" t="s">
        <v>55</v>
      </c>
      <c r="B17" s="37">
        <f>SQRT(2*B3*B13/B12)</f>
        <v>79.455215770466026</v>
      </c>
      <c r="C17" s="36"/>
      <c r="D17" s="27">
        <f>SQRT(2*D3*D13/D12)</f>
        <v>107.30265269346003</v>
      </c>
      <c r="E17" s="21"/>
    </row>
    <row r="18" spans="1:8" ht="15">
      <c r="A18" s="40" t="s">
        <v>56</v>
      </c>
      <c r="B18" s="37"/>
      <c r="C18" s="38">
        <f>+SQRT((C12+C14)/C14)*SQRT((2*C3*C13)/C12)</f>
        <v>264.24253116911507</v>
      </c>
      <c r="D18" s="28">
        <f>+D17</f>
        <v>107.30265269346003</v>
      </c>
      <c r="E18" s="21"/>
    </row>
    <row r="19" spans="1:8" ht="15">
      <c r="A19" s="39"/>
      <c r="B19" s="34"/>
      <c r="C19" s="34"/>
      <c r="D19" s="24"/>
      <c r="E19" s="21"/>
    </row>
    <row r="20" spans="1:8" ht="15">
      <c r="A20" s="40" t="s">
        <v>57</v>
      </c>
      <c r="B20" s="34"/>
      <c r="C20" s="34"/>
      <c r="D20" s="24"/>
      <c r="E20" s="21"/>
    </row>
    <row r="21" spans="1:8" ht="15">
      <c r="A21" s="39" t="s">
        <v>58</v>
      </c>
      <c r="B21" s="34">
        <f>+B3/B17*B13</f>
        <v>283178.38900594093</v>
      </c>
      <c r="C21" s="34">
        <f>+C3/C18*C13</f>
        <v>85149.048112924764</v>
      </c>
      <c r="D21" s="24">
        <f>+D3/D18*D13</f>
        <v>503249.44113232754</v>
      </c>
      <c r="E21" s="21"/>
    </row>
    <row r="22" spans="1:8" ht="15">
      <c r="A22" s="39" t="s">
        <v>59</v>
      </c>
      <c r="B22" s="34">
        <f>(+B17/2)*B12</f>
        <v>283178.38900594093</v>
      </c>
      <c r="C22" s="34">
        <f>+(C12*POWER(C18-C16,2))/(2*C18)</f>
        <v>8398.6162782095853</v>
      </c>
      <c r="D22" s="24">
        <f>(+D18/2)*D12</f>
        <v>503249.44113232754</v>
      </c>
      <c r="E22" s="21"/>
    </row>
    <row r="23" spans="1:8" ht="15">
      <c r="A23" s="39" t="s">
        <v>60</v>
      </c>
      <c r="B23" s="34"/>
      <c r="C23" s="34">
        <f>+C14*POWER(C16,2)/(2*C18)</f>
        <v>76750.4318347152</v>
      </c>
      <c r="D23" s="24"/>
      <c r="E23" s="21"/>
    </row>
    <row r="24" spans="1:8" ht="15">
      <c r="A24" s="39" t="s">
        <v>61</v>
      </c>
      <c r="B24" s="34">
        <f>+B3*B8</f>
        <v>89100000</v>
      </c>
      <c r="C24" s="34">
        <f>+C3*C8</f>
        <v>89100000</v>
      </c>
      <c r="D24" s="24">
        <f>+D3*D8</f>
        <v>63000000</v>
      </c>
      <c r="E24" s="21"/>
      <c r="H24" s="29"/>
    </row>
    <row r="25" spans="1:8" ht="15">
      <c r="A25" s="41" t="s">
        <v>62</v>
      </c>
      <c r="B25" s="42">
        <f>+B21+B22+B24</f>
        <v>89666356.778011888</v>
      </c>
      <c r="C25" s="42">
        <f>SUM(C21:C24)</f>
        <v>89270298.096225843</v>
      </c>
      <c r="D25" s="30">
        <f>+D21+D22+D24</f>
        <v>64006498.882264659</v>
      </c>
      <c r="E25" s="21"/>
    </row>
    <row r="26" spans="1:8" ht="15">
      <c r="A26" s="19"/>
      <c r="B26" s="49" t="s">
        <v>150</v>
      </c>
      <c r="C26" s="49" t="s">
        <v>149</v>
      </c>
      <c r="D26" s="19"/>
      <c r="E26" s="21"/>
    </row>
    <row r="27" spans="1:8" ht="15">
      <c r="A27" s="21"/>
      <c r="B27" s="50" t="s">
        <v>151</v>
      </c>
      <c r="C27" s="50" t="s">
        <v>152</v>
      </c>
      <c r="D27" s="21"/>
      <c r="E27" s="21"/>
    </row>
    <row r="28" spans="1:8" ht="15">
      <c r="A28" s="21"/>
      <c r="B28" s="21"/>
      <c r="C28" s="21"/>
      <c r="D28" s="21"/>
      <c r="E28" s="21"/>
    </row>
    <row r="29" spans="1:8" ht="15">
      <c r="A29" s="31"/>
      <c r="B29" s="32"/>
      <c r="C29" s="21"/>
      <c r="D29" s="21"/>
      <c r="E29" s="21"/>
    </row>
    <row r="30" spans="1:8" ht="15">
      <c r="A30" s="21"/>
      <c r="B30" s="32"/>
      <c r="C30" s="21"/>
      <c r="D30" s="21"/>
      <c r="E30" s="21"/>
    </row>
    <row r="31" spans="1:8" ht="15">
      <c r="A31" s="21"/>
      <c r="B31" s="32"/>
      <c r="C31" s="21"/>
      <c r="D31" s="21"/>
      <c r="E31" s="21"/>
    </row>
    <row r="32" spans="1:8" ht="15">
      <c r="A32" s="31"/>
      <c r="B32" s="32"/>
      <c r="C32" s="21"/>
      <c r="D32" s="21"/>
      <c r="E32" s="21"/>
    </row>
    <row r="33" spans="1:5" ht="15">
      <c r="A33" s="31"/>
      <c r="B33" s="33"/>
      <c r="C33" s="21"/>
      <c r="D33" s="21"/>
      <c r="E33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90" zoomScaleNormal="190" zoomScalePageLayoutView="190" workbookViewId="0">
      <selection activeCell="G24" sqref="G24"/>
    </sheetView>
  </sheetViews>
  <sheetFormatPr baseColWidth="10" defaultRowHeight="14" x14ac:dyDescent="0"/>
  <cols>
    <col min="1" max="1" width="17.1640625" customWidth="1"/>
  </cols>
  <sheetData>
    <row r="1" spans="1:10">
      <c r="A1" t="s">
        <v>74</v>
      </c>
    </row>
    <row r="2" spans="1:10">
      <c r="A2" t="s">
        <v>93</v>
      </c>
    </row>
    <row r="3" spans="1:10">
      <c r="A3" t="s">
        <v>75</v>
      </c>
    </row>
    <row r="5" spans="1:10">
      <c r="A5" t="s">
        <v>76</v>
      </c>
    </row>
    <row r="6" spans="1:10">
      <c r="A6" t="s">
        <v>94</v>
      </c>
      <c r="I6" s="48">
        <v>3</v>
      </c>
      <c r="J6" s="48" t="s">
        <v>140</v>
      </c>
    </row>
    <row r="7" spans="1:10">
      <c r="A7" t="s">
        <v>77</v>
      </c>
      <c r="I7" s="48"/>
      <c r="J7" s="48"/>
    </row>
    <row r="8" spans="1:10">
      <c r="I8" s="48"/>
      <c r="J8" s="48"/>
    </row>
    <row r="9" spans="1:10">
      <c r="A9" t="s">
        <v>78</v>
      </c>
      <c r="I9" s="48"/>
      <c r="J9" s="48"/>
    </row>
    <row r="10" spans="1:10">
      <c r="A10" t="s">
        <v>79</v>
      </c>
      <c r="I10" s="48"/>
      <c r="J10" s="48"/>
    </row>
    <row r="11" spans="1:10">
      <c r="A11" t="s">
        <v>80</v>
      </c>
      <c r="B11" t="s">
        <v>134</v>
      </c>
      <c r="I11" s="48">
        <v>1</v>
      </c>
      <c r="J11" s="48" t="s">
        <v>140</v>
      </c>
    </row>
    <row r="12" spans="1:10">
      <c r="A12" t="s">
        <v>81</v>
      </c>
      <c r="B12" t="s">
        <v>136</v>
      </c>
      <c r="I12" s="48">
        <v>1</v>
      </c>
      <c r="J12" s="48" t="s">
        <v>140</v>
      </c>
    </row>
    <row r="13" spans="1:10">
      <c r="A13" t="s">
        <v>82</v>
      </c>
      <c r="B13" t="s">
        <v>135</v>
      </c>
      <c r="I13" s="48">
        <v>1</v>
      </c>
      <c r="J13" s="48" t="s">
        <v>140</v>
      </c>
    </row>
    <row r="14" spans="1:10">
      <c r="A14" t="s">
        <v>83</v>
      </c>
      <c r="I14" s="48"/>
      <c r="J14" s="48"/>
    </row>
    <row r="15" spans="1:10">
      <c r="A15" t="s">
        <v>84</v>
      </c>
      <c r="I15" s="48"/>
      <c r="J15" s="48"/>
    </row>
    <row r="16" spans="1:10">
      <c r="A16" t="s">
        <v>85</v>
      </c>
      <c r="B16" t="s">
        <v>130</v>
      </c>
      <c r="I16" s="48">
        <v>1</v>
      </c>
      <c r="J16" s="48" t="s">
        <v>140</v>
      </c>
    </row>
    <row r="17" spans="1:10">
      <c r="A17" t="s">
        <v>86</v>
      </c>
      <c r="B17" t="s">
        <v>131</v>
      </c>
      <c r="I17" s="48">
        <v>1</v>
      </c>
      <c r="J17" s="48" t="s">
        <v>140</v>
      </c>
    </row>
    <row r="18" spans="1:10">
      <c r="A18" t="s">
        <v>87</v>
      </c>
      <c r="B18" t="s">
        <v>132</v>
      </c>
      <c r="I18" s="48">
        <v>1</v>
      </c>
      <c r="J18" s="48" t="s">
        <v>140</v>
      </c>
    </row>
    <row r="19" spans="1:10">
      <c r="A19" t="s">
        <v>88</v>
      </c>
      <c r="B19" t="s">
        <v>133</v>
      </c>
      <c r="I19" s="48">
        <v>1</v>
      </c>
      <c r="J19" s="48" t="s">
        <v>140</v>
      </c>
    </row>
    <row r="20" spans="1:10">
      <c r="A20" t="s">
        <v>89</v>
      </c>
      <c r="I20" s="48"/>
      <c r="J20" s="48"/>
    </row>
    <row r="21" spans="1:10">
      <c r="A21" t="s">
        <v>95</v>
      </c>
      <c r="I21" s="48">
        <f>SUM(I6:I19)</f>
        <v>10</v>
      </c>
      <c r="J21" s="48" t="s">
        <v>148</v>
      </c>
    </row>
    <row r="23" spans="1:10">
      <c r="A23" t="s">
        <v>90</v>
      </c>
    </row>
    <row r="25" spans="1:10">
      <c r="A25" t="s">
        <v>91</v>
      </c>
    </row>
    <row r="26" spans="1:10">
      <c r="B26" t="s">
        <v>96</v>
      </c>
    </row>
    <row r="27" spans="1:10">
      <c r="B27" t="s">
        <v>97</v>
      </c>
    </row>
    <row r="28" spans="1:10">
      <c r="B28" t="s">
        <v>98</v>
      </c>
    </row>
    <row r="29" spans="1:10">
      <c r="B29" t="s">
        <v>99</v>
      </c>
    </row>
    <row r="30" spans="1:10">
      <c r="B30" t="s">
        <v>100</v>
      </c>
    </row>
    <row r="31" spans="1:10">
      <c r="B31" t="s">
        <v>92</v>
      </c>
    </row>
  </sheetData>
  <pageMargins left="0.7" right="0.7" top="0.75" bottom="0.75" header="0.3" footer="0.3"/>
  <pageSetup paperSize="9" orientation="portrait" horizontalDpi="4294967292" verticalDpi="4294967292"/>
  <ignoredErrors>
    <ignoredError sqref="I2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200" zoomScaleNormal="200" zoomScalePageLayoutView="200" workbookViewId="0">
      <selection activeCell="I20" sqref="I20"/>
    </sheetView>
  </sheetViews>
  <sheetFormatPr baseColWidth="10" defaultRowHeight="16" customHeight="1" x14ac:dyDescent="0"/>
  <cols>
    <col min="1" max="1" width="20.6640625" customWidth="1"/>
  </cols>
  <sheetData>
    <row r="1" spans="1:10" ht="16" customHeight="1">
      <c r="A1" t="s">
        <v>101</v>
      </c>
    </row>
    <row r="2" spans="1:10" ht="16" customHeight="1">
      <c r="A2" t="s">
        <v>102</v>
      </c>
    </row>
    <row r="3" spans="1:10" ht="16" customHeight="1">
      <c r="A3" t="s">
        <v>103</v>
      </c>
    </row>
    <row r="4" spans="1:10" ht="16" customHeight="1">
      <c r="A4" t="s">
        <v>104</v>
      </c>
    </row>
    <row r="5" spans="1:10" ht="16" customHeight="1">
      <c r="A5" t="s">
        <v>105</v>
      </c>
    </row>
    <row r="6" spans="1:10" ht="16" customHeight="1">
      <c r="A6" t="s">
        <v>106</v>
      </c>
    </row>
    <row r="7" spans="1:10" ht="16" customHeight="1">
      <c r="A7" t="s">
        <v>107</v>
      </c>
    </row>
    <row r="8" spans="1:10" ht="16" customHeight="1">
      <c r="A8" t="s">
        <v>108</v>
      </c>
      <c r="I8">
        <v>2</v>
      </c>
      <c r="J8" t="s">
        <v>141</v>
      </c>
    </row>
    <row r="9" spans="1:10" ht="16" customHeight="1">
      <c r="A9" t="s">
        <v>109</v>
      </c>
    </row>
    <row r="10" spans="1:10" ht="16" customHeight="1">
      <c r="A10" t="s">
        <v>110</v>
      </c>
    </row>
    <row r="12" spans="1:10" ht="16" customHeight="1">
      <c r="A12" t="s">
        <v>111</v>
      </c>
    </row>
    <row r="13" spans="1:10" ht="16" customHeight="1">
      <c r="A13" t="s">
        <v>112</v>
      </c>
    </row>
    <row r="14" spans="1:10" ht="16" customHeight="1">
      <c r="A14" t="s">
        <v>113</v>
      </c>
      <c r="B14" t="s">
        <v>114</v>
      </c>
      <c r="I14">
        <v>2</v>
      </c>
      <c r="J14" t="s">
        <v>141</v>
      </c>
    </row>
    <row r="15" spans="1:10" ht="16" customHeight="1">
      <c r="A15" t="s">
        <v>115</v>
      </c>
      <c r="B15" t="s">
        <v>116</v>
      </c>
    </row>
    <row r="16" spans="1:10" ht="16" customHeight="1">
      <c r="A16" t="s">
        <v>117</v>
      </c>
      <c r="B16" t="s">
        <v>118</v>
      </c>
    </row>
    <row r="17" spans="1:10" ht="16" customHeight="1">
      <c r="A17" t="s">
        <v>119</v>
      </c>
    </row>
    <row r="18" spans="1:10" ht="16" customHeight="1">
      <c r="A18" t="s">
        <v>120</v>
      </c>
      <c r="B18" t="s">
        <v>121</v>
      </c>
      <c r="I18">
        <v>2</v>
      </c>
      <c r="J18" t="s">
        <v>141</v>
      </c>
    </row>
    <row r="19" spans="1:10" ht="16" customHeight="1">
      <c r="A19" t="s">
        <v>122</v>
      </c>
      <c r="B19" t="s">
        <v>123</v>
      </c>
    </row>
    <row r="20" spans="1:10" ht="16" customHeight="1">
      <c r="A20" t="s">
        <v>124</v>
      </c>
      <c r="B20" t="s">
        <v>125</v>
      </c>
      <c r="I20">
        <f>SUM(I8:I18)</f>
        <v>6</v>
      </c>
      <c r="J20" t="s">
        <v>142</v>
      </c>
    </row>
    <row r="21" spans="1:10" ht="16" customHeight="1">
      <c r="A21" t="s">
        <v>126</v>
      </c>
      <c r="B21" t="s">
        <v>127</v>
      </c>
    </row>
    <row r="22" spans="1:10" ht="16" customHeight="1">
      <c r="A22" t="s">
        <v>128</v>
      </c>
      <c r="B22" t="s">
        <v>129</v>
      </c>
    </row>
  </sheetData>
  <pageMargins left="0.7" right="0.7" top="0.75" bottom="0.75" header="0.3" footer="0.3"/>
  <pageSetup paperSize="9" orientation="portrait" horizontalDpi="0" verticalDpi="0"/>
  <ignoredErrors>
    <ignoredError sqref="I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Pregunta 1</vt:lpstr>
      <vt:lpstr>Pregunta #2</vt:lpstr>
      <vt:lpstr>Pregunta #3</vt:lpstr>
      <vt:lpstr>Pregunta 4</vt:lpstr>
      <vt:lpstr>Pegunta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Enrique Leon</cp:lastModifiedBy>
  <dcterms:created xsi:type="dcterms:W3CDTF">2019-11-22T03:24:43Z</dcterms:created>
  <dcterms:modified xsi:type="dcterms:W3CDTF">2019-11-27T17:25:37Z</dcterms:modified>
</cp:coreProperties>
</file>