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40" yWindow="60" windowWidth="25560" windowHeight="15660" activeTab="4"/>
  </bookViews>
  <sheets>
    <sheet name="Pregunta #1" sheetId="1" r:id="rId1"/>
    <sheet name="Pregunta #2-a" sheetId="4" r:id="rId2"/>
    <sheet name="Pregunta #2-b" sheetId="6" r:id="rId3"/>
    <sheet name="Pregunta #3" sheetId="2" r:id="rId4"/>
    <sheet name="Preg. #4(b)-Inv. Falt.-Prob" sheetId="8" r:id="rId5"/>
  </sheets>
  <externalReferences>
    <externalReference r:id="rId6"/>
  </externalReferences>
  <definedNames>
    <definedName name="solver_adj" localSheetId="4" hidden="1">'Preg. #4(b)-Inv. Falt.-Prob'!$K$20</definedName>
    <definedName name="solver_cvg" localSheetId="4" hidden="1">0.0001</definedName>
    <definedName name="solver_drv" localSheetId="4" hidden="1">1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'Preg. #4(b)-Inv. Falt.-Prob'!$K$28</definedName>
    <definedName name="solver_pre" localSheetId="4" hidden="1">0.000001</definedName>
    <definedName name="solver_rbv" localSheetId="4" hidden="1">1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2</definedName>
    <definedName name="solver_val" localSheetId="4" hidden="1">0</definedName>
    <definedName name="solver_ver" localSheetId="4" hidden="1">3</definedName>
    <definedName name="units">[1]Orugas!$E$5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" i="8" l="1"/>
  <c r="H34" i="8"/>
  <c r="F4" i="2"/>
  <c r="F3" i="2"/>
  <c r="F6" i="2"/>
  <c r="F5" i="2"/>
  <c r="F9" i="2"/>
  <c r="F10" i="2"/>
  <c r="F11" i="2"/>
  <c r="F12" i="2"/>
  <c r="F13" i="2"/>
  <c r="F15" i="2"/>
  <c r="F16" i="2"/>
  <c r="F14" i="2"/>
  <c r="H9" i="8"/>
  <c r="H17" i="8"/>
  <c r="H14" i="8"/>
  <c r="H18" i="8"/>
  <c r="H27" i="8"/>
  <c r="K16" i="8"/>
  <c r="K17" i="8"/>
  <c r="K14" i="8"/>
  <c r="K27" i="8"/>
  <c r="H29" i="8"/>
  <c r="K7" i="8"/>
  <c r="K8" i="8"/>
  <c r="K9" i="8"/>
  <c r="K18" i="8"/>
  <c r="H23" i="8"/>
  <c r="H24" i="8"/>
  <c r="E23" i="8"/>
  <c r="D10" i="8"/>
  <c r="D9" i="8"/>
  <c r="E11" i="8"/>
  <c r="E24" i="8"/>
  <c r="E28" i="8"/>
  <c r="H28" i="8"/>
  <c r="E29" i="8"/>
  <c r="E30" i="8"/>
  <c r="E32" i="8"/>
  <c r="I17" i="4"/>
  <c r="G18" i="4"/>
  <c r="I18" i="4"/>
  <c r="G19" i="4"/>
  <c r="I19" i="4"/>
  <c r="G20" i="4"/>
  <c r="I20" i="4"/>
  <c r="G21" i="4"/>
  <c r="I21" i="4"/>
  <c r="G22" i="4"/>
  <c r="I22" i="4"/>
  <c r="G23" i="4"/>
  <c r="I23" i="4"/>
  <c r="I29" i="4"/>
  <c r="P20" i="4"/>
  <c r="H30" i="8"/>
  <c r="K20" i="8"/>
  <c r="L20" i="8"/>
  <c r="M20" i="8"/>
  <c r="K24" i="8"/>
  <c r="K21" i="8"/>
  <c r="L26" i="8"/>
  <c r="K26" i="8"/>
  <c r="K22" i="8"/>
  <c r="L25" i="8"/>
  <c r="K25" i="8"/>
  <c r="K28" i="8"/>
  <c r="L30" i="6"/>
  <c r="K30" i="6"/>
  <c r="F29" i="6"/>
  <c r="F30" i="6"/>
  <c r="O18" i="6"/>
  <c r="I17" i="6"/>
  <c r="G18" i="6"/>
  <c r="I18" i="6"/>
  <c r="G19" i="6"/>
  <c r="I19" i="6"/>
  <c r="G20" i="6"/>
  <c r="I20" i="6"/>
  <c r="G21" i="6"/>
  <c r="C8" i="6"/>
  <c r="L30" i="4"/>
  <c r="K30" i="4"/>
  <c r="F29" i="4"/>
  <c r="F30" i="4"/>
  <c r="O18" i="4"/>
  <c r="C8" i="4"/>
  <c r="I21" i="6"/>
  <c r="G22" i="6"/>
  <c r="I22" i="6"/>
  <c r="G23" i="6"/>
  <c r="I23" i="6"/>
  <c r="G24" i="6"/>
  <c r="P18" i="4"/>
  <c r="I24" i="6"/>
  <c r="G25" i="6"/>
  <c r="I25" i="6"/>
  <c r="G26" i="6"/>
  <c r="I26" i="6"/>
  <c r="G27" i="6"/>
  <c r="I27" i="6"/>
  <c r="I29" i="6"/>
  <c r="I30" i="6"/>
  <c r="O20" i="6"/>
  <c r="J21" i="6"/>
  <c r="J21" i="4"/>
  <c r="J24" i="6"/>
  <c r="J29" i="6"/>
  <c r="J30" i="6"/>
  <c r="O22" i="6"/>
  <c r="O24" i="6"/>
  <c r="J22" i="4"/>
  <c r="G24" i="4"/>
  <c r="I24" i="4"/>
  <c r="J24" i="4"/>
  <c r="G25" i="4"/>
  <c r="I30" i="4"/>
  <c r="O20" i="4"/>
  <c r="I25" i="4"/>
  <c r="G26" i="4"/>
  <c r="I26" i="4"/>
  <c r="J26" i="4"/>
  <c r="G27" i="4"/>
  <c r="I27" i="4"/>
  <c r="J25" i="4"/>
  <c r="J29" i="4"/>
  <c r="J30" i="4"/>
  <c r="O22" i="4"/>
  <c r="O24" i="4"/>
  <c r="P22" i="4"/>
  <c r="P24" i="4"/>
</calcChain>
</file>

<file path=xl/comments1.xml><?xml version="1.0" encoding="utf-8"?>
<comments xmlns="http://schemas.openxmlformats.org/spreadsheetml/2006/main">
  <authors>
    <author>Usuario</author>
  </authors>
  <commentList>
    <comment ref="I1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cuando mi inventario final llegue a 60 hago pedido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CUANDO LA DEMANDA ES MAYOR QUE LO QUE TENGO EN INVENTARIO FINAL HAY VENT PERD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I1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cuando mi inventario final llegue a 60 hago pedido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CUANDO LA DEMANDA ES MAYOR QUE LO QUE TENGO EN INVENTARIO FINAL HAY VENT PERD</t>
        </r>
      </text>
    </comment>
  </commentList>
</comments>
</file>

<file path=xl/sharedStrings.xml><?xml version="1.0" encoding="utf-8"?>
<sst xmlns="http://schemas.openxmlformats.org/spreadsheetml/2006/main" count="174" uniqueCount="112">
  <si>
    <t>DEMANDA POR SEMANA</t>
  </si>
  <si>
    <t>Co</t>
  </si>
  <si>
    <t>Ch</t>
  </si>
  <si>
    <t>Costo Faltante</t>
  </si>
  <si>
    <t>TIEMPO ENTREGA (SEMANAS)</t>
  </si>
  <si>
    <t>Q (Pedidos)</t>
  </si>
  <si>
    <t>cantidad Q</t>
  </si>
  <si>
    <t xml:space="preserve">Nivel de pedido </t>
  </si>
  <si>
    <t xml:space="preserve">Inventario inicial </t>
  </si>
  <si>
    <t>Semana</t>
  </si>
  <si>
    <t>Q</t>
  </si>
  <si>
    <t>Inventario</t>
  </si>
  <si>
    <t>Demanda</t>
  </si>
  <si>
    <t>Ventas</t>
  </si>
  <si>
    <t xml:space="preserve">Hacer </t>
  </si>
  <si>
    <t>Retraso</t>
  </si>
  <si>
    <t>R= 2</t>
  </si>
  <si>
    <t>número</t>
  </si>
  <si>
    <t>o Pedidos</t>
  </si>
  <si>
    <t>Inicial</t>
  </si>
  <si>
    <t>unidades</t>
  </si>
  <si>
    <t>Final</t>
  </si>
  <si>
    <t>Faltantes</t>
  </si>
  <si>
    <t>pedido</t>
  </si>
  <si>
    <t>del pedido</t>
  </si>
  <si>
    <t>Si</t>
  </si>
  <si>
    <t>Costo ordenar</t>
  </si>
  <si>
    <t xml:space="preserve">costo de mantener </t>
  </si>
  <si>
    <t>costo de faltante</t>
  </si>
  <si>
    <t xml:space="preserve">costo total </t>
  </si>
  <si>
    <t>Promedio</t>
  </si>
  <si>
    <t>R= 4</t>
  </si>
  <si>
    <t>Perdidas</t>
  </si>
  <si>
    <t>costo de perdidas</t>
  </si>
  <si>
    <t>EL TRACTOR S.A.</t>
  </si>
  <si>
    <t>Costos bodega</t>
  </si>
  <si>
    <t>Costo de los faltantes</t>
  </si>
  <si>
    <t>Estado de Resultados</t>
  </si>
  <si>
    <t>Valor facturación actual por unidad</t>
  </si>
  <si>
    <t>Valor facturación nueva por unidad</t>
  </si>
  <si>
    <t>Diciembre 31, 2012</t>
  </si>
  <si>
    <t>Ia</t>
  </si>
  <si>
    <t xml:space="preserve">Tasa alternativa </t>
  </si>
  <si>
    <t>Con valor del dinero en el tiempo</t>
  </si>
  <si>
    <t>Con descuento</t>
  </si>
  <si>
    <t>Costo de Ventas</t>
  </si>
  <si>
    <t>Utilidad Bruta</t>
  </si>
  <si>
    <t>Respuesta pregunta a)</t>
  </si>
  <si>
    <t>Respuesta pregunta b)</t>
  </si>
  <si>
    <t>Gastos de Operación:</t>
  </si>
  <si>
    <t>D</t>
  </si>
  <si>
    <t xml:space="preserve">   Gastos de Ventas:</t>
  </si>
  <si>
    <t xml:space="preserve">       Sueldos de Ventas</t>
  </si>
  <si>
    <t>Cch</t>
  </si>
  <si>
    <t xml:space="preserve">       Depreciación</t>
  </si>
  <si>
    <t>Ct</t>
  </si>
  <si>
    <t xml:space="preserve">   Gastos Generales y de Adm. :</t>
  </si>
  <si>
    <t>Cu</t>
  </si>
  <si>
    <t xml:space="preserve">       Sueldos</t>
  </si>
  <si>
    <t xml:space="preserve">       Alquiler</t>
  </si>
  <si>
    <t>Cf</t>
  </si>
  <si>
    <t>Gastos operartivos y administrativos bodegas</t>
  </si>
  <si>
    <t>Anuales</t>
  </si>
  <si>
    <t>F</t>
  </si>
  <si>
    <t xml:space="preserve">       Otros Gastos</t>
  </si>
  <si>
    <t>Ccompra y transporte</t>
  </si>
  <si>
    <t>Imax</t>
  </si>
  <si>
    <t xml:space="preserve">   Total Gastos de Operación:</t>
  </si>
  <si>
    <t>Utilidad neta de Operación</t>
  </si>
  <si>
    <t>Partidas No Operativas:</t>
  </si>
  <si>
    <t xml:space="preserve">   Más: Ingresos por intereses</t>
  </si>
  <si>
    <t xml:space="preserve">            Utilidad en venta de terreno</t>
  </si>
  <si>
    <t>UAII</t>
  </si>
  <si>
    <t>Impuesto de renta</t>
  </si>
  <si>
    <t>UAI</t>
  </si>
  <si>
    <t>Intereses</t>
  </si>
  <si>
    <t>Utilidad Retenida</t>
  </si>
  <si>
    <t>Ctransporte</t>
  </si>
  <si>
    <t>NS</t>
  </si>
  <si>
    <t>Z</t>
  </si>
  <si>
    <t>B</t>
  </si>
  <si>
    <t xml:space="preserve">s </t>
  </si>
  <si>
    <t>anual</t>
  </si>
  <si>
    <t>T entrega</t>
  </si>
  <si>
    <t>Cu+transp.</t>
  </si>
  <si>
    <r>
      <t>s</t>
    </r>
    <r>
      <rPr>
        <sz val="8"/>
        <rFont val="Symbol"/>
        <family val="1"/>
        <charset val="2"/>
      </rPr>
      <t>L</t>
    </r>
  </si>
  <si>
    <t>4pts</t>
  </si>
  <si>
    <t>2pts</t>
  </si>
  <si>
    <t>ROP =</t>
  </si>
  <si>
    <t>B =</t>
  </si>
  <si>
    <t>Ch =</t>
  </si>
  <si>
    <t>CT =</t>
  </si>
  <si>
    <t>2 pts</t>
  </si>
  <si>
    <t>6 pts</t>
  </si>
  <si>
    <t>NS =</t>
  </si>
  <si>
    <t>Zt =</t>
  </si>
  <si>
    <t>Sigma =</t>
  </si>
  <si>
    <t>D =</t>
  </si>
  <si>
    <t>Sigma</t>
  </si>
  <si>
    <t>Co =</t>
  </si>
  <si>
    <t>Ia =</t>
  </si>
  <si>
    <t>Cu =</t>
  </si>
  <si>
    <t>L =</t>
  </si>
  <si>
    <t>2 semanas</t>
  </si>
  <si>
    <t>1 faltante por año</t>
  </si>
  <si>
    <t>EOQ=</t>
  </si>
  <si>
    <t>o 3 pts</t>
  </si>
  <si>
    <t>4 pts</t>
  </si>
  <si>
    <t>Respuesta</t>
  </si>
  <si>
    <t>Dos  buenos</t>
  </si>
  <si>
    <t>Uno bueno y uno malo</t>
  </si>
  <si>
    <t>Dos hechos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</si>
</sst>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_-* #,##0.00\ _€_-;\-* #,##0.00\ _€_-;_-* &quot;-&quot;??\ _€_-;_-@_-"/>
    <numFmt numFmtId="167" formatCode="_(&quot;¢&quot;* #,##0.00_);_(&quot;¢&quot;* \(#,##0.00\);_(&quot;¢&quot;* &quot;-&quot;??_);_(@_)"/>
    <numFmt numFmtId="168" formatCode="General_)"/>
    <numFmt numFmtId="169" formatCode="0.000%"/>
    <numFmt numFmtId="170" formatCode="[$$-409]#,##0.00"/>
    <numFmt numFmtId="171" formatCode="_-[$$-409]* #,##0.00_ ;_-[$$-409]* \-#,##0.00\ ;_-[$$-409]* &quot;-&quot;??_ ;_-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20"/>
      <name val="Symbol"/>
      <family val="1"/>
      <charset val="2"/>
    </font>
    <font>
      <sz val="8"/>
      <name val="Symbol"/>
      <family val="1"/>
      <charset val="2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rgb="FFFF0000"/>
      <name val="Calibri"/>
      <scheme val="minor"/>
    </font>
    <font>
      <b/>
      <sz val="14"/>
      <color rgb="FFFF0000"/>
      <name val="Arial"/>
    </font>
    <font>
      <b/>
      <sz val="12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8" fontId="10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/>
    <xf numFmtId="166" fontId="0" fillId="0" borderId="3" xfId="1" applyFont="1" applyBorder="1"/>
    <xf numFmtId="0" fontId="0" fillId="0" borderId="4" xfId="0" applyBorder="1"/>
    <xf numFmtId="166" fontId="0" fillId="0" borderId="4" xfId="1" applyFont="1" applyBorder="1"/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/>
    <xf numFmtId="0" fontId="0" fillId="0" borderId="20" xfId="0" applyBorder="1" applyAlignment="1">
      <alignment horizontal="center"/>
    </xf>
    <xf numFmtId="0" fontId="2" fillId="0" borderId="0" xfId="0" applyFont="1" applyAlignment="1"/>
    <xf numFmtId="0" fontId="5" fillId="0" borderId="0" xfId="0" applyFont="1" applyBorder="1"/>
    <xf numFmtId="0" fontId="2" fillId="0" borderId="21" xfId="0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166" fontId="0" fillId="0" borderId="2" xfId="1" applyFont="1" applyBorder="1"/>
    <xf numFmtId="0" fontId="5" fillId="0" borderId="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0" borderId="0" xfId="4"/>
    <xf numFmtId="0" fontId="11" fillId="0" borderId="24" xfId="4" applyFont="1" applyBorder="1"/>
    <xf numFmtId="0" fontId="12" fillId="0" borderId="25" xfId="4" applyFont="1" applyBorder="1"/>
    <xf numFmtId="0" fontId="12" fillId="0" borderId="26" xfId="4" applyFont="1" applyBorder="1"/>
    <xf numFmtId="0" fontId="12" fillId="0" borderId="0" xfId="4" applyFont="1" applyBorder="1"/>
    <xf numFmtId="4" fontId="12" fillId="0" borderId="0" xfId="4" applyNumberFormat="1" applyFont="1" applyBorder="1"/>
    <xf numFmtId="0" fontId="9" fillId="0" borderId="0" xfId="4" applyBorder="1"/>
    <xf numFmtId="0" fontId="11" fillId="0" borderId="19" xfId="4" applyFont="1" applyBorder="1" applyAlignment="1">
      <alignment vertical="center"/>
    </xf>
    <xf numFmtId="0" fontId="12" fillId="0" borderId="4" xfId="4" applyFont="1" applyBorder="1"/>
    <xf numFmtId="0" fontId="12" fillId="0" borderId="20" xfId="4" applyFont="1" applyBorder="1"/>
    <xf numFmtId="4" fontId="12" fillId="0" borderId="0" xfId="4" applyNumberFormat="1" applyFont="1" applyBorder="1" applyAlignment="1">
      <alignment horizontal="center" wrapText="1"/>
    </xf>
    <xf numFmtId="0" fontId="11" fillId="0" borderId="21" xfId="4" applyFont="1" applyBorder="1"/>
    <xf numFmtId="0" fontId="12" fillId="0" borderId="22" xfId="4" applyFont="1" applyBorder="1"/>
    <xf numFmtId="0" fontId="12" fillId="0" borderId="23" xfId="4" applyFont="1" applyBorder="1"/>
    <xf numFmtId="169" fontId="12" fillId="0" borderId="0" xfId="6" applyNumberFormat="1" applyFont="1" applyBorder="1"/>
    <xf numFmtId="0" fontId="12" fillId="0" borderId="3" xfId="4" applyFont="1" applyBorder="1"/>
    <xf numFmtId="4" fontId="12" fillId="0" borderId="4" xfId="4" applyNumberFormat="1" applyFont="1" applyBorder="1"/>
    <xf numFmtId="170" fontId="12" fillId="0" borderId="4" xfId="4" applyNumberFormat="1" applyFont="1" applyBorder="1"/>
    <xf numFmtId="4" fontId="12" fillId="0" borderId="4" xfId="7" applyNumberFormat="1" applyFont="1" applyBorder="1"/>
    <xf numFmtId="170" fontId="12" fillId="0" borderId="4" xfId="7" applyNumberFormat="1" applyFont="1" applyBorder="1"/>
    <xf numFmtId="0" fontId="12" fillId="0" borderId="0" xfId="4" applyFont="1" applyFill="1" applyBorder="1"/>
    <xf numFmtId="0" fontId="13" fillId="0" borderId="0" xfId="4" applyFont="1" applyFill="1" applyBorder="1"/>
    <xf numFmtId="4" fontId="12" fillId="2" borderId="5" xfId="4" applyNumberFormat="1" applyFont="1" applyFill="1" applyBorder="1"/>
    <xf numFmtId="170" fontId="9" fillId="0" borderId="4" xfId="4" applyNumberFormat="1" applyBorder="1"/>
    <xf numFmtId="4" fontId="12" fillId="0" borderId="0" xfId="4" applyNumberFormat="1" applyFont="1" applyFill="1" applyBorder="1"/>
    <xf numFmtId="0" fontId="12" fillId="0" borderId="0" xfId="4" applyFont="1"/>
    <xf numFmtId="4" fontId="12" fillId="0" borderId="0" xfId="4" applyNumberFormat="1" applyFont="1" applyBorder="1" applyAlignment="1">
      <alignment horizontal="center"/>
    </xf>
    <xf numFmtId="9" fontId="12" fillId="0" borderId="0" xfId="10" applyFont="1"/>
    <xf numFmtId="0" fontId="14" fillId="0" borderId="0" xfId="4" applyFont="1"/>
    <xf numFmtId="165" fontId="12" fillId="0" borderId="0" xfId="9" applyFont="1"/>
    <xf numFmtId="0" fontId="12" fillId="0" borderId="0" xfId="4" applyFont="1" applyBorder="1" applyAlignment="1">
      <alignment horizontal="center"/>
    </xf>
    <xf numFmtId="171" fontId="0" fillId="0" borderId="0" xfId="0" applyNumberFormat="1"/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71" fontId="17" fillId="0" borderId="11" xfId="0" applyNumberFormat="1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171" fontId="17" fillId="0" borderId="28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0" fillId="0" borderId="0" xfId="0" applyAlignment="1">
      <alignment horizontal="right"/>
    </xf>
    <xf numFmtId="0" fontId="16" fillId="0" borderId="10" xfId="0" applyFont="1" applyBorder="1"/>
    <xf numFmtId="0" fontId="16" fillId="0" borderId="13" xfId="0" applyFont="1" applyBorder="1"/>
    <xf numFmtId="0" fontId="18" fillId="0" borderId="14" xfId="0" applyFont="1" applyBorder="1" applyAlignment="1">
      <alignment horizontal="center"/>
    </xf>
    <xf numFmtId="171" fontId="16" fillId="0" borderId="0" xfId="0" applyNumberFormat="1" applyFont="1" applyBorder="1"/>
    <xf numFmtId="0" fontId="16" fillId="0" borderId="16" xfId="0" applyFont="1" applyBorder="1"/>
    <xf numFmtId="171" fontId="16" fillId="0" borderId="28" xfId="0" applyNumberFormat="1" applyFont="1" applyBorder="1"/>
    <xf numFmtId="10" fontId="0" fillId="0" borderId="0" xfId="10" applyNumberFormat="1" applyFont="1"/>
    <xf numFmtId="2" fontId="0" fillId="0" borderId="0" xfId="0" applyNumberFormat="1"/>
    <xf numFmtId="1" fontId="0" fillId="0" borderId="0" xfId="0" applyNumberFormat="1"/>
    <xf numFmtId="0" fontId="0" fillId="0" borderId="0" xfId="0" applyFont="1" applyFill="1" applyBorder="1"/>
    <xf numFmtId="2" fontId="16" fillId="0" borderId="11" xfId="0" applyNumberFormat="1" applyFont="1" applyBorder="1"/>
    <xf numFmtId="2" fontId="16" fillId="0" borderId="0" xfId="0" applyNumberFormat="1" applyFont="1" applyBorder="1"/>
    <xf numFmtId="4" fontId="19" fillId="0" borderId="0" xfId="4" applyNumberFormat="1" applyFont="1" applyBorder="1"/>
    <xf numFmtId="4" fontId="12" fillId="2" borderId="0" xfId="4" applyNumberFormat="1" applyFont="1" applyFill="1" applyBorder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" fontId="12" fillId="0" borderId="0" xfId="4" applyNumberFormat="1" applyFont="1" applyBorder="1" applyAlignment="1">
      <alignment horizontal="center"/>
    </xf>
  </cellXfs>
  <cellStyles count="11">
    <cellStyle name="Comma" xfId="9" builtinId="3"/>
    <cellStyle name="Comma [0] 2" xfId="8"/>
    <cellStyle name="Comma 2" xfId="2"/>
    <cellStyle name="Currency 2" xfId="7"/>
    <cellStyle name="Millares 2" xfId="1"/>
    <cellStyle name="Moneda 2" xfId="3"/>
    <cellStyle name="Normal" xfId="0" builtinId="0"/>
    <cellStyle name="Normal 2" xfId="4"/>
    <cellStyle name="Normal 3" xfId="5"/>
    <cellStyle name="Percent" xfId="10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135467</xdr:colOff>
      <xdr:row>27</xdr:row>
      <xdr:rowOff>59266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"/>
          <a:ext cx="5867400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Ex&#225;menes%20de%20M&#233;todos%20I/Segundo%20parcial/Fernando/Sabado/Tercer%20Parcial%20III-2017-s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"/>
      <sheetName val="Orugas"/>
      <sheetName val="PL"/>
      <sheetName val="Pronostico"/>
      <sheetName val="Simulaciòn de Inv."/>
      <sheetName val="Simulaciòn de Inv. (2)"/>
      <sheetName val="tablas calificacion"/>
      <sheetName val="Hoja1"/>
    </sheetNames>
    <sheetDataSet>
      <sheetData sheetId="0"/>
      <sheetData sheetId="1">
        <row r="5">
          <cell r="E5" t="str">
            <v>hour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M5"/>
  <sheetViews>
    <sheetView zoomScale="150" zoomScaleNormal="150" zoomScalePageLayoutView="150" workbookViewId="0">
      <selection activeCell="K13" sqref="K13"/>
    </sheetView>
  </sheetViews>
  <sheetFormatPr baseColWidth="10" defaultRowHeight="14" x14ac:dyDescent="0"/>
  <cols>
    <col min="1" max="1" width="3.83203125" customWidth="1"/>
    <col min="9" max="9" width="5.1640625" customWidth="1"/>
    <col min="11" max="11" width="11" bestFit="1" customWidth="1"/>
    <col min="12" max="12" width="13.1640625" bestFit="1" customWidth="1"/>
  </cols>
  <sheetData>
    <row r="3" spans="10:13" ht="15" thickBot="1"/>
    <row r="4" spans="10:13" ht="18">
      <c r="J4" s="89" t="s">
        <v>10</v>
      </c>
      <c r="K4" s="90">
        <v>4303</v>
      </c>
      <c r="L4" s="91">
        <v>41197.14</v>
      </c>
      <c r="M4" s="92" t="s">
        <v>86</v>
      </c>
    </row>
    <row r="5" spans="10:13" ht="19" thickBot="1">
      <c r="J5" s="93" t="s">
        <v>10</v>
      </c>
      <c r="K5" s="94">
        <v>5000</v>
      </c>
      <c r="L5" s="95">
        <v>40700</v>
      </c>
      <c r="M5" s="96" t="s">
        <v>87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4"/>
  <sheetViews>
    <sheetView zoomScale="130" zoomScaleNormal="130" zoomScalePageLayoutView="130" workbookViewId="0">
      <selection activeCell="O24" sqref="O24"/>
    </sheetView>
  </sheetViews>
  <sheetFormatPr baseColWidth="10" defaultColWidth="11.5" defaultRowHeight="15" x14ac:dyDescent="0"/>
  <cols>
    <col min="1" max="1" width="3.33203125" style="1" customWidth="1"/>
    <col min="2" max="2" width="16" style="1" bestFit="1" customWidth="1"/>
    <col min="3" max="3" width="12.33203125" style="1" customWidth="1"/>
    <col min="4" max="4" width="3.1640625" style="1" customWidth="1"/>
    <col min="5" max="5" width="13.1640625" style="1" customWidth="1"/>
    <col min="6" max="7" width="11.5" style="2"/>
    <col min="8" max="8" width="15.33203125" style="2" bestFit="1" customWidth="1"/>
    <col min="9" max="9" width="14.1640625" style="2" bestFit="1" customWidth="1"/>
    <col min="10" max="10" width="11.5" style="1"/>
    <col min="11" max="11" width="8.33203125" style="1" bestFit="1" customWidth="1"/>
    <col min="12" max="12" width="12.6640625" style="2" customWidth="1"/>
    <col min="13" max="13" width="2.5" style="1" customWidth="1"/>
    <col min="14" max="14" width="18.5" style="1" customWidth="1"/>
    <col min="15" max="15" width="11.6640625" style="1" bestFit="1" customWidth="1"/>
    <col min="16" max="16384" width="11.5" style="1"/>
  </cols>
  <sheetData>
    <row r="1" spans="2:16" ht="16" thickBot="1"/>
    <row r="2" spans="2:16" ht="16" thickBot="1">
      <c r="B2" s="114" t="s">
        <v>0</v>
      </c>
      <c r="C2" s="115"/>
    </row>
    <row r="3" spans="2:16" ht="16" thickBot="1">
      <c r="B3" s="3">
        <v>0</v>
      </c>
      <c r="C3" s="4">
        <v>0.2</v>
      </c>
    </row>
    <row r="4" spans="2:16" ht="16" thickBot="1">
      <c r="B4" s="5">
        <v>1</v>
      </c>
      <c r="C4" s="6">
        <v>0.3</v>
      </c>
      <c r="E4" s="7" t="s">
        <v>1</v>
      </c>
      <c r="F4" s="8"/>
      <c r="G4" s="9" t="s">
        <v>2</v>
      </c>
      <c r="H4" s="10" t="s">
        <v>3</v>
      </c>
      <c r="I4" s="116" t="s">
        <v>4</v>
      </c>
      <c r="J4" s="117"/>
    </row>
    <row r="5" spans="2:16">
      <c r="B5" s="5">
        <v>2</v>
      </c>
      <c r="C5" s="6">
        <v>0.2</v>
      </c>
      <c r="E5" s="11">
        <v>20</v>
      </c>
      <c r="F5" s="12"/>
      <c r="G5" s="13">
        <v>1</v>
      </c>
      <c r="H5" s="13">
        <v>40</v>
      </c>
      <c r="I5" s="14">
        <v>1</v>
      </c>
      <c r="J5" s="4">
        <v>0.15</v>
      </c>
    </row>
    <row r="6" spans="2:16">
      <c r="B6" s="5">
        <v>3</v>
      </c>
      <c r="C6" s="6">
        <v>0.25</v>
      </c>
      <c r="H6" s="15"/>
      <c r="I6" s="16">
        <v>2</v>
      </c>
      <c r="J6" s="6">
        <v>0.35</v>
      </c>
    </row>
    <row r="7" spans="2:16">
      <c r="B7" s="5">
        <v>4</v>
      </c>
      <c r="C7" s="6">
        <v>0.05</v>
      </c>
      <c r="H7" s="15"/>
      <c r="I7" s="16">
        <v>3</v>
      </c>
      <c r="J7" s="6">
        <v>0.5</v>
      </c>
    </row>
    <row r="8" spans="2:16">
      <c r="B8" s="17"/>
      <c r="C8" s="18">
        <f>SUM(C3:C7)</f>
        <v>1</v>
      </c>
      <c r="E8" s="17"/>
      <c r="F8" s="19"/>
      <c r="H8" s="15"/>
      <c r="I8" s="15"/>
    </row>
    <row r="9" spans="2:16" ht="16" thickBot="1">
      <c r="E9" s="17"/>
      <c r="F9" s="20"/>
    </row>
    <row r="10" spans="2:16" ht="16" thickBot="1">
      <c r="B10" s="114" t="s">
        <v>5</v>
      </c>
      <c r="C10" s="118"/>
    </row>
    <row r="11" spans="2:16" ht="16" thickBot="1">
      <c r="B11" s="3">
        <v>10</v>
      </c>
      <c r="C11" s="4">
        <v>0.45</v>
      </c>
    </row>
    <row r="12" spans="2:16">
      <c r="B12" s="5">
        <v>6</v>
      </c>
      <c r="C12" s="6">
        <v>0.55000000000000004</v>
      </c>
      <c r="E12" s="21" t="s">
        <v>6</v>
      </c>
      <c r="F12" s="22"/>
      <c r="G12" s="23"/>
    </row>
    <row r="13" spans="2:16">
      <c r="B13" s="17"/>
      <c r="C13" s="17"/>
      <c r="E13" s="119" t="s">
        <v>7</v>
      </c>
      <c r="F13" s="120"/>
      <c r="G13" s="24">
        <v>2</v>
      </c>
    </row>
    <row r="14" spans="2:16" ht="16.5" customHeight="1" thickBot="1">
      <c r="B14" s="17"/>
      <c r="C14" s="17"/>
      <c r="E14" s="121" t="s">
        <v>8</v>
      </c>
      <c r="F14" s="122"/>
      <c r="G14" s="25">
        <v>5</v>
      </c>
    </row>
    <row r="15" spans="2:16" ht="16" thickBot="1">
      <c r="B15" s="17"/>
      <c r="C15" s="17"/>
      <c r="E15" s="7" t="s">
        <v>9</v>
      </c>
      <c r="F15" s="8" t="s">
        <v>10</v>
      </c>
      <c r="G15" s="8" t="s">
        <v>11</v>
      </c>
      <c r="H15" s="8" t="s">
        <v>12</v>
      </c>
      <c r="I15" s="8" t="s">
        <v>11</v>
      </c>
      <c r="J15" s="26" t="s">
        <v>13</v>
      </c>
      <c r="K15" s="27" t="s">
        <v>14</v>
      </c>
      <c r="L15" s="28" t="s">
        <v>15</v>
      </c>
      <c r="M15" s="29"/>
      <c r="N15" s="30"/>
      <c r="O15" s="17" t="s">
        <v>16</v>
      </c>
      <c r="P15" s="17"/>
    </row>
    <row r="16" spans="2:16">
      <c r="B16" s="17"/>
      <c r="C16" s="17"/>
      <c r="E16" s="31" t="s">
        <v>17</v>
      </c>
      <c r="F16" s="32" t="s">
        <v>18</v>
      </c>
      <c r="G16" s="32" t="s">
        <v>19</v>
      </c>
      <c r="H16" s="32" t="s">
        <v>20</v>
      </c>
      <c r="I16" s="32" t="s">
        <v>21</v>
      </c>
      <c r="J16" s="29" t="s">
        <v>22</v>
      </c>
      <c r="K16" s="31" t="s">
        <v>23</v>
      </c>
      <c r="L16" s="33" t="s">
        <v>24</v>
      </c>
      <c r="M16" s="29"/>
      <c r="N16" s="30"/>
      <c r="O16" s="17"/>
      <c r="P16" s="17"/>
    </row>
    <row r="17" spans="2:16">
      <c r="B17" s="17"/>
      <c r="C17" s="17"/>
      <c r="E17" s="34">
        <v>0</v>
      </c>
      <c r="F17" s="35"/>
      <c r="G17" s="35"/>
      <c r="H17" s="35"/>
      <c r="I17" s="35">
        <f>+G14</f>
        <v>5</v>
      </c>
      <c r="J17" s="36"/>
      <c r="K17" s="36"/>
      <c r="L17" s="37"/>
      <c r="M17" s="38"/>
      <c r="N17" s="39"/>
      <c r="O17" s="17"/>
    </row>
    <row r="18" spans="2:16">
      <c r="B18" s="17"/>
      <c r="C18" s="17"/>
      <c r="E18" s="34">
        <v>1</v>
      </c>
      <c r="F18" s="16">
        <v>0</v>
      </c>
      <c r="G18" s="35">
        <f t="shared" ref="G18:G27" si="0">+I17+F18</f>
        <v>5</v>
      </c>
      <c r="H18" s="16">
        <v>3</v>
      </c>
      <c r="I18" s="35">
        <f t="shared" ref="I18:I27" si="1">+G18-H18</f>
        <v>2</v>
      </c>
      <c r="J18" s="36"/>
      <c r="K18" s="36" t="s">
        <v>25</v>
      </c>
      <c r="L18" s="40">
        <v>3</v>
      </c>
      <c r="M18" s="38"/>
      <c r="N18" s="41" t="s">
        <v>26</v>
      </c>
      <c r="O18" s="1">
        <f>+F30*E5</f>
        <v>4</v>
      </c>
      <c r="P18" s="1">
        <f>+F29*E5</f>
        <v>40</v>
      </c>
    </row>
    <row r="19" spans="2:16">
      <c r="B19" s="17"/>
      <c r="C19" s="17"/>
      <c r="E19" s="34">
        <v>2</v>
      </c>
      <c r="F19" s="16">
        <v>0</v>
      </c>
      <c r="G19" s="35">
        <f t="shared" si="0"/>
        <v>2</v>
      </c>
      <c r="H19" s="16">
        <v>0</v>
      </c>
      <c r="I19" s="35">
        <f t="shared" si="1"/>
        <v>2</v>
      </c>
      <c r="J19" s="36"/>
      <c r="K19" s="36"/>
      <c r="L19" s="40">
        <v>3</v>
      </c>
      <c r="M19" s="38"/>
      <c r="N19" s="41"/>
    </row>
    <row r="20" spans="2:16">
      <c r="B20" s="17"/>
      <c r="C20" s="17"/>
      <c r="E20" s="34">
        <v>3</v>
      </c>
      <c r="F20" s="16">
        <v>0</v>
      </c>
      <c r="G20" s="35">
        <f t="shared" si="0"/>
        <v>2</v>
      </c>
      <c r="H20" s="16">
        <v>2</v>
      </c>
      <c r="I20" s="35">
        <f t="shared" si="1"/>
        <v>0</v>
      </c>
      <c r="J20" s="36"/>
      <c r="K20" s="36"/>
      <c r="L20" s="40">
        <v>3</v>
      </c>
      <c r="M20" s="42"/>
      <c r="N20" s="41" t="s">
        <v>27</v>
      </c>
      <c r="O20" s="1">
        <f>+I30*G5</f>
        <v>0.9</v>
      </c>
      <c r="P20" s="1">
        <f>+I29*G5</f>
        <v>9</v>
      </c>
    </row>
    <row r="21" spans="2:16">
      <c r="B21" s="17"/>
      <c r="C21" s="17"/>
      <c r="E21" s="34">
        <v>4</v>
      </c>
      <c r="F21" s="16">
        <v>0</v>
      </c>
      <c r="G21" s="35">
        <f t="shared" si="0"/>
        <v>0</v>
      </c>
      <c r="H21" s="16">
        <v>1</v>
      </c>
      <c r="I21" s="35">
        <f t="shared" si="1"/>
        <v>-1</v>
      </c>
      <c r="J21" s="36">
        <f>+G21-I21</f>
        <v>1</v>
      </c>
      <c r="K21" s="36"/>
      <c r="L21" s="40">
        <v>2</v>
      </c>
      <c r="M21" s="38"/>
      <c r="N21" s="41"/>
    </row>
    <row r="22" spans="2:16">
      <c r="B22" s="17"/>
      <c r="C22" s="17"/>
      <c r="E22" s="34">
        <v>5</v>
      </c>
      <c r="F22" s="16">
        <v>6</v>
      </c>
      <c r="G22" s="35">
        <f t="shared" si="0"/>
        <v>5</v>
      </c>
      <c r="H22" s="16">
        <v>1</v>
      </c>
      <c r="I22" s="35">
        <f t="shared" si="1"/>
        <v>4</v>
      </c>
      <c r="J22" s="36">
        <f>+G22-I22</f>
        <v>1</v>
      </c>
      <c r="K22" s="36"/>
      <c r="L22" s="40">
        <v>2</v>
      </c>
      <c r="M22" s="38"/>
      <c r="N22" s="41" t="s">
        <v>28</v>
      </c>
      <c r="O22" s="1">
        <f>+J30*H5</f>
        <v>44</v>
      </c>
      <c r="P22" s="1">
        <f>+J29*H5</f>
        <v>440</v>
      </c>
    </row>
    <row r="23" spans="2:16">
      <c r="B23" s="17"/>
      <c r="C23" s="17"/>
      <c r="E23" s="34">
        <v>6</v>
      </c>
      <c r="F23" s="16">
        <v>0</v>
      </c>
      <c r="G23" s="35">
        <f t="shared" si="0"/>
        <v>4</v>
      </c>
      <c r="H23" s="16">
        <v>4</v>
      </c>
      <c r="I23" s="35">
        <f t="shared" si="1"/>
        <v>0</v>
      </c>
      <c r="J23" s="36"/>
      <c r="K23" s="36"/>
      <c r="L23" s="40">
        <v>3</v>
      </c>
      <c r="M23" s="38"/>
      <c r="N23" s="41"/>
    </row>
    <row r="24" spans="2:16">
      <c r="B24" s="17"/>
      <c r="C24" s="17"/>
      <c r="E24" s="34">
        <v>7</v>
      </c>
      <c r="F24" s="16">
        <v>0</v>
      </c>
      <c r="G24" s="35">
        <f t="shared" si="0"/>
        <v>0</v>
      </c>
      <c r="H24" s="16">
        <v>3</v>
      </c>
      <c r="I24" s="35">
        <f t="shared" si="1"/>
        <v>-3</v>
      </c>
      <c r="J24" s="36">
        <f t="shared" ref="J24:J26" si="2">+G24-I24</f>
        <v>3</v>
      </c>
      <c r="K24" s="36"/>
      <c r="L24" s="40">
        <v>3</v>
      </c>
      <c r="M24" s="38"/>
      <c r="N24" s="41" t="s">
        <v>29</v>
      </c>
      <c r="O24" s="1">
        <f>SUM(O18:O22)</f>
        <v>48.9</v>
      </c>
      <c r="P24" s="1">
        <f>SUM(P18:P22)</f>
        <v>489</v>
      </c>
    </row>
    <row r="25" spans="2:16">
      <c r="B25" s="17"/>
      <c r="C25" s="17"/>
      <c r="E25" s="34">
        <v>8</v>
      </c>
      <c r="F25" s="16">
        <v>0</v>
      </c>
      <c r="G25" s="35">
        <f t="shared" si="0"/>
        <v>-3</v>
      </c>
      <c r="H25" s="16">
        <v>4</v>
      </c>
      <c r="I25" s="35">
        <f t="shared" si="1"/>
        <v>-7</v>
      </c>
      <c r="J25" s="36">
        <f t="shared" si="2"/>
        <v>4</v>
      </c>
      <c r="K25" s="36"/>
      <c r="L25" s="40">
        <v>2</v>
      </c>
      <c r="M25" s="42"/>
      <c r="N25" s="41"/>
    </row>
    <row r="26" spans="2:16">
      <c r="B26" s="17"/>
      <c r="C26" s="17"/>
      <c r="E26" s="34">
        <v>9</v>
      </c>
      <c r="F26" s="16">
        <v>0</v>
      </c>
      <c r="G26" s="35">
        <f t="shared" si="0"/>
        <v>-7</v>
      </c>
      <c r="H26" s="16">
        <v>0</v>
      </c>
      <c r="I26" s="35">
        <f t="shared" si="1"/>
        <v>-7</v>
      </c>
      <c r="J26" s="36">
        <f t="shared" si="2"/>
        <v>0</v>
      </c>
      <c r="K26" s="36"/>
      <c r="L26" s="40">
        <v>3</v>
      </c>
      <c r="M26" s="42"/>
      <c r="N26" s="41"/>
    </row>
    <row r="27" spans="2:16" ht="16" thickBot="1">
      <c r="B27" s="17"/>
      <c r="C27" s="17"/>
      <c r="E27" s="43">
        <v>10</v>
      </c>
      <c r="F27" s="44">
        <v>6</v>
      </c>
      <c r="G27" s="45">
        <f t="shared" si="0"/>
        <v>-1</v>
      </c>
      <c r="H27" s="44">
        <v>2</v>
      </c>
      <c r="I27" s="45">
        <f t="shared" si="1"/>
        <v>-3</v>
      </c>
      <c r="J27" s="46">
        <v>2</v>
      </c>
      <c r="K27" s="46"/>
      <c r="L27" s="47">
        <v>3</v>
      </c>
      <c r="M27" s="48"/>
      <c r="N27" s="41"/>
    </row>
    <row r="28" spans="2:16">
      <c r="G28" s="49"/>
      <c r="I28" s="49"/>
      <c r="L28" s="50"/>
      <c r="M28"/>
      <c r="O28" s="51"/>
    </row>
    <row r="29" spans="2:16">
      <c r="F29" s="2">
        <f>COUNTIF(F18:F27,"&gt;0")</f>
        <v>2</v>
      </c>
      <c r="I29" s="2">
        <f>SUM(I17:I20,I23)</f>
        <v>9</v>
      </c>
      <c r="J29" s="1">
        <f>SUM(J18:J27)</f>
        <v>11</v>
      </c>
      <c r="L29" s="50"/>
      <c r="M29"/>
      <c r="N29" s="52"/>
    </row>
    <row r="30" spans="2:16">
      <c r="E30" s="1" t="s">
        <v>30</v>
      </c>
      <c r="F30" s="2">
        <f>+F29/$E$27</f>
        <v>0.2</v>
      </c>
      <c r="I30" s="2">
        <f t="shared" ref="I30:L30" si="3">+I29/$E$27</f>
        <v>0.9</v>
      </c>
      <c r="J30" s="2">
        <f t="shared" si="3"/>
        <v>1.1000000000000001</v>
      </c>
      <c r="K30" s="2">
        <f t="shared" si="3"/>
        <v>0</v>
      </c>
      <c r="L30" s="2">
        <f t="shared" si="3"/>
        <v>0</v>
      </c>
      <c r="M30"/>
    </row>
    <row r="31" spans="2:16">
      <c r="L31" s="50"/>
      <c r="M31"/>
    </row>
    <row r="32" spans="2:16">
      <c r="L32" s="50"/>
      <c r="M32"/>
    </row>
    <row r="33" spans="12:13">
      <c r="L33" s="50"/>
      <c r="M33"/>
    </row>
    <row r="34" spans="12:13">
      <c r="L34" s="50"/>
      <c r="M34"/>
    </row>
    <row r="35" spans="12:13">
      <c r="L35" s="50"/>
      <c r="M35"/>
    </row>
    <row r="36" spans="12:13">
      <c r="L36" s="50"/>
      <c r="M36"/>
    </row>
    <row r="37" spans="12:13">
      <c r="L37" s="50"/>
      <c r="M37"/>
    </row>
    <row r="38" spans="12:13">
      <c r="L38" s="50"/>
      <c r="M38"/>
    </row>
    <row r="39" spans="12:13">
      <c r="L39" s="50"/>
      <c r="M39"/>
    </row>
    <row r="40" spans="12:13">
      <c r="L40" s="50"/>
      <c r="M40"/>
    </row>
    <row r="41" spans="12:13">
      <c r="L41" s="50"/>
      <c r="M41"/>
    </row>
    <row r="42" spans="12:13">
      <c r="L42" s="50"/>
      <c r="M42"/>
    </row>
    <row r="43" spans="12:13">
      <c r="L43" s="50"/>
      <c r="M43"/>
    </row>
    <row r="44" spans="12:13">
      <c r="L44" s="50"/>
      <c r="M44"/>
    </row>
  </sheetData>
  <mergeCells count="5">
    <mergeCell ref="B2:C2"/>
    <mergeCell ref="I4:J4"/>
    <mergeCell ref="B10:C10"/>
    <mergeCell ref="E13:F13"/>
    <mergeCell ref="E14:F14"/>
  </mergeCells>
  <pageMargins left="0.7" right="0.7" top="0.75" bottom="0.75" header="0.3" footer="0.3"/>
  <pageSetup orientation="portrait" horizontalDpi="0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4"/>
  <sheetViews>
    <sheetView zoomScale="130" zoomScaleNormal="130" zoomScalePageLayoutView="130" workbookViewId="0">
      <selection activeCell="L32" sqref="L32"/>
    </sheetView>
  </sheetViews>
  <sheetFormatPr baseColWidth="10" defaultColWidth="11.5" defaultRowHeight="15" x14ac:dyDescent="0"/>
  <cols>
    <col min="1" max="1" width="3.83203125" style="1" customWidth="1"/>
    <col min="2" max="2" width="16" style="1" bestFit="1" customWidth="1"/>
    <col min="3" max="3" width="12.33203125" style="1" customWidth="1"/>
    <col min="4" max="4" width="3.83203125" style="1" customWidth="1"/>
    <col min="5" max="5" width="13.1640625" style="1" customWidth="1"/>
    <col min="6" max="7" width="11.5" style="2"/>
    <col min="8" max="8" width="15.33203125" style="2" bestFit="1" customWidth="1"/>
    <col min="9" max="9" width="14.1640625" style="2" bestFit="1" customWidth="1"/>
    <col min="10" max="10" width="11.5" style="1"/>
    <col min="11" max="11" width="8.33203125" style="1" bestFit="1" customWidth="1"/>
    <col min="12" max="12" width="12.6640625" style="2" customWidth="1"/>
    <col min="13" max="13" width="3.33203125" style="1" customWidth="1"/>
    <col min="14" max="14" width="18.5" style="1" customWidth="1"/>
    <col min="15" max="15" width="11.6640625" style="1" bestFit="1" customWidth="1"/>
    <col min="16" max="16384" width="11.5" style="1"/>
  </cols>
  <sheetData>
    <row r="1" spans="2:16" ht="16" thickBot="1"/>
    <row r="2" spans="2:16" ht="16" thickBot="1">
      <c r="B2" s="114" t="s">
        <v>0</v>
      </c>
      <c r="C2" s="115"/>
    </row>
    <row r="3" spans="2:16" ht="16" thickBot="1">
      <c r="B3" s="3">
        <v>0</v>
      </c>
      <c r="C3" s="4">
        <v>0.2</v>
      </c>
    </row>
    <row r="4" spans="2:16" ht="16" thickBot="1">
      <c r="B4" s="5">
        <v>1</v>
      </c>
      <c r="C4" s="6">
        <v>0.3</v>
      </c>
      <c r="E4" s="7" t="s">
        <v>1</v>
      </c>
      <c r="F4" s="8"/>
      <c r="G4" s="9" t="s">
        <v>2</v>
      </c>
      <c r="H4" s="10" t="s">
        <v>3</v>
      </c>
      <c r="I4" s="53" t="s">
        <v>4</v>
      </c>
      <c r="J4" s="54"/>
    </row>
    <row r="5" spans="2:16">
      <c r="B5" s="5">
        <v>2</v>
      </c>
      <c r="C5" s="6">
        <v>0.2</v>
      </c>
      <c r="E5" s="11">
        <v>20</v>
      </c>
      <c r="F5" s="12"/>
      <c r="G5" s="13">
        <v>1</v>
      </c>
      <c r="H5" s="13">
        <v>40</v>
      </c>
      <c r="I5" s="14">
        <v>1</v>
      </c>
      <c r="J5" s="4">
        <v>0.15</v>
      </c>
    </row>
    <row r="6" spans="2:16">
      <c r="B6" s="5">
        <v>3</v>
      </c>
      <c r="C6" s="6">
        <v>0.25</v>
      </c>
      <c r="H6" s="15"/>
      <c r="I6" s="16">
        <v>2</v>
      </c>
      <c r="J6" s="6">
        <v>0.35</v>
      </c>
    </row>
    <row r="7" spans="2:16">
      <c r="B7" s="5">
        <v>4</v>
      </c>
      <c r="C7" s="6">
        <v>0.05</v>
      </c>
      <c r="H7" s="15"/>
      <c r="I7" s="16">
        <v>3</v>
      </c>
      <c r="J7" s="6">
        <v>0.5</v>
      </c>
    </row>
    <row r="8" spans="2:16">
      <c r="B8" s="17"/>
      <c r="C8" s="18">
        <f>SUM(C3:C7)</f>
        <v>1</v>
      </c>
      <c r="E8" s="17"/>
      <c r="F8" s="19"/>
      <c r="H8" s="15"/>
      <c r="I8" s="15"/>
    </row>
    <row r="9" spans="2:16" ht="16" thickBot="1">
      <c r="E9" s="17"/>
      <c r="F9" s="20"/>
    </row>
    <row r="10" spans="2:16" ht="16" thickBot="1">
      <c r="B10" s="114" t="s">
        <v>5</v>
      </c>
      <c r="C10" s="118"/>
    </row>
    <row r="11" spans="2:16" ht="16" thickBot="1">
      <c r="B11" s="3">
        <v>10</v>
      </c>
      <c r="C11" s="4">
        <v>0.45</v>
      </c>
    </row>
    <row r="12" spans="2:16">
      <c r="B12" s="5">
        <v>6</v>
      </c>
      <c r="C12" s="6">
        <v>0.55000000000000004</v>
      </c>
      <c r="E12" s="21" t="s">
        <v>6</v>
      </c>
      <c r="F12" s="22"/>
      <c r="G12" s="23"/>
    </row>
    <row r="13" spans="2:16">
      <c r="B13" s="17"/>
      <c r="C13" s="17"/>
      <c r="E13" s="119" t="s">
        <v>7</v>
      </c>
      <c r="F13" s="120"/>
      <c r="G13" s="24">
        <v>4</v>
      </c>
    </row>
    <row r="14" spans="2:16" ht="16.5" customHeight="1" thickBot="1">
      <c r="B14" s="17"/>
      <c r="C14" s="17"/>
      <c r="E14" s="121" t="s">
        <v>8</v>
      </c>
      <c r="F14" s="122"/>
      <c r="G14" s="25">
        <v>5</v>
      </c>
    </row>
    <row r="15" spans="2:16" ht="16" thickBot="1">
      <c r="B15" s="17"/>
      <c r="C15" s="17"/>
      <c r="E15" s="7" t="s">
        <v>9</v>
      </c>
      <c r="F15" s="8" t="s">
        <v>10</v>
      </c>
      <c r="G15" s="8" t="s">
        <v>11</v>
      </c>
      <c r="H15" s="8" t="s">
        <v>12</v>
      </c>
      <c r="I15" s="8" t="s">
        <v>11</v>
      </c>
      <c r="J15" s="26" t="s">
        <v>13</v>
      </c>
      <c r="K15" s="27" t="s">
        <v>14</v>
      </c>
      <c r="L15" s="28" t="s">
        <v>15</v>
      </c>
      <c r="M15" s="29"/>
      <c r="N15" s="30"/>
      <c r="O15" s="17" t="s">
        <v>31</v>
      </c>
      <c r="P15" s="17"/>
    </row>
    <row r="16" spans="2:16">
      <c r="B16" s="17"/>
      <c r="C16" s="17"/>
      <c r="E16" s="31" t="s">
        <v>17</v>
      </c>
      <c r="F16" s="32" t="s">
        <v>18</v>
      </c>
      <c r="G16" s="32" t="s">
        <v>19</v>
      </c>
      <c r="H16" s="32" t="s">
        <v>20</v>
      </c>
      <c r="I16" s="32" t="s">
        <v>21</v>
      </c>
      <c r="J16" s="29" t="s">
        <v>32</v>
      </c>
      <c r="K16" s="31" t="s">
        <v>23</v>
      </c>
      <c r="L16" s="33" t="s">
        <v>24</v>
      </c>
      <c r="M16" s="29"/>
      <c r="N16" s="30"/>
      <c r="O16" s="17"/>
      <c r="P16" s="17"/>
    </row>
    <row r="17" spans="2:15">
      <c r="B17" s="17"/>
      <c r="C17" s="17"/>
      <c r="E17" s="34">
        <v>0</v>
      </c>
      <c r="F17" s="35"/>
      <c r="G17" s="35"/>
      <c r="H17" s="35"/>
      <c r="I17" s="35">
        <f>+G14</f>
        <v>5</v>
      </c>
      <c r="J17" s="36"/>
      <c r="K17" s="36"/>
      <c r="L17" s="37"/>
      <c r="M17" s="38"/>
      <c r="N17" s="39"/>
      <c r="O17" s="17"/>
    </row>
    <row r="18" spans="2:15">
      <c r="B18" s="17"/>
      <c r="C18" s="17"/>
      <c r="E18" s="34">
        <v>1</v>
      </c>
      <c r="F18" s="16"/>
      <c r="G18" s="35">
        <f t="shared" ref="G18:G27" si="0">+I17+F18</f>
        <v>5</v>
      </c>
      <c r="H18" s="55">
        <v>3</v>
      </c>
      <c r="I18" s="35">
        <f t="shared" ref="I18:I27" si="1">+G18-H18</f>
        <v>2</v>
      </c>
      <c r="J18" s="36"/>
      <c r="K18" s="36"/>
      <c r="L18" s="40">
        <v>3</v>
      </c>
      <c r="M18" s="38"/>
      <c r="N18" s="41" t="s">
        <v>26</v>
      </c>
      <c r="O18" s="1">
        <f>+F30*E5</f>
        <v>4</v>
      </c>
    </row>
    <row r="19" spans="2:15">
      <c r="B19" s="17"/>
      <c r="C19" s="17"/>
      <c r="E19" s="34">
        <v>2</v>
      </c>
      <c r="F19" s="16"/>
      <c r="G19" s="35">
        <f t="shared" si="0"/>
        <v>2</v>
      </c>
      <c r="H19" s="55">
        <v>0</v>
      </c>
      <c r="I19" s="35">
        <f t="shared" si="1"/>
        <v>2</v>
      </c>
      <c r="J19" s="36"/>
      <c r="K19" s="36"/>
      <c r="L19" s="40">
        <v>3</v>
      </c>
      <c r="M19" s="38"/>
      <c r="N19" s="41"/>
    </row>
    <row r="20" spans="2:15">
      <c r="B20" s="17"/>
      <c r="C20" s="17"/>
      <c r="E20" s="34">
        <v>3</v>
      </c>
      <c r="F20" s="16"/>
      <c r="G20" s="35">
        <f t="shared" si="0"/>
        <v>2</v>
      </c>
      <c r="H20" s="55">
        <v>2</v>
      </c>
      <c r="I20" s="35">
        <f t="shared" si="1"/>
        <v>0</v>
      </c>
      <c r="J20" s="36"/>
      <c r="K20" s="36"/>
      <c r="L20" s="40">
        <v>3</v>
      </c>
      <c r="M20" s="42"/>
      <c r="N20" s="41" t="s">
        <v>27</v>
      </c>
      <c r="O20" s="1">
        <f>+I30*G5</f>
        <v>2</v>
      </c>
    </row>
    <row r="21" spans="2:15">
      <c r="B21" s="17"/>
      <c r="C21" s="17"/>
      <c r="E21" s="34">
        <v>4</v>
      </c>
      <c r="F21" s="16"/>
      <c r="G21" s="35">
        <f t="shared" si="0"/>
        <v>0</v>
      </c>
      <c r="H21" s="55">
        <v>1</v>
      </c>
      <c r="I21" s="35">
        <f t="shared" si="1"/>
        <v>-1</v>
      </c>
      <c r="J21" s="36">
        <f>+G21-I21</f>
        <v>1</v>
      </c>
      <c r="K21" s="36"/>
      <c r="L21" s="40">
        <v>2</v>
      </c>
      <c r="M21" s="38"/>
      <c r="N21" s="41"/>
    </row>
    <row r="22" spans="2:15">
      <c r="B22" s="17"/>
      <c r="C22" s="17"/>
      <c r="E22" s="34">
        <v>5</v>
      </c>
      <c r="F22">
        <v>6</v>
      </c>
      <c r="G22" s="35">
        <f t="shared" si="0"/>
        <v>5</v>
      </c>
      <c r="H22" s="55">
        <v>1</v>
      </c>
      <c r="I22" s="35">
        <f t="shared" si="1"/>
        <v>4</v>
      </c>
      <c r="J22" s="36"/>
      <c r="K22" s="36"/>
      <c r="L22" s="40">
        <v>2</v>
      </c>
      <c r="M22" s="38"/>
      <c r="N22" s="41" t="s">
        <v>33</v>
      </c>
      <c r="O22" s="1">
        <f>+J30*H5</f>
        <v>16</v>
      </c>
    </row>
    <row r="23" spans="2:15">
      <c r="B23" s="17"/>
      <c r="C23" s="17"/>
      <c r="E23" s="34">
        <v>6</v>
      </c>
      <c r="F23" s="16"/>
      <c r="G23" s="35">
        <f t="shared" si="0"/>
        <v>4</v>
      </c>
      <c r="H23" s="55">
        <v>4</v>
      </c>
      <c r="I23" s="35">
        <f t="shared" si="1"/>
        <v>0</v>
      </c>
      <c r="J23" s="36"/>
      <c r="K23" s="36"/>
      <c r="L23" s="40">
        <v>3</v>
      </c>
      <c r="M23" s="38"/>
      <c r="N23" s="41"/>
    </row>
    <row r="24" spans="2:15">
      <c r="B24" s="17"/>
      <c r="C24" s="17"/>
      <c r="E24" s="34">
        <v>7</v>
      </c>
      <c r="F24" s="16"/>
      <c r="G24" s="35">
        <f t="shared" si="0"/>
        <v>0</v>
      </c>
      <c r="H24" s="55">
        <v>3</v>
      </c>
      <c r="I24" s="35">
        <f t="shared" si="1"/>
        <v>-3</v>
      </c>
      <c r="J24" s="36">
        <f t="shared" ref="J24" si="2">+G24-I24</f>
        <v>3</v>
      </c>
      <c r="K24" s="36"/>
      <c r="L24" s="40">
        <v>3</v>
      </c>
      <c r="M24" s="38"/>
      <c r="N24" s="41" t="s">
        <v>29</v>
      </c>
      <c r="O24" s="1">
        <f>SUM(O18:O22)</f>
        <v>22</v>
      </c>
    </row>
    <row r="25" spans="2:15">
      <c r="B25" s="17"/>
      <c r="C25" s="17"/>
      <c r="E25" s="34">
        <v>8</v>
      </c>
      <c r="F25">
        <v>10</v>
      </c>
      <c r="G25" s="35">
        <f t="shared" si="0"/>
        <v>7</v>
      </c>
      <c r="H25" s="55">
        <v>4</v>
      </c>
      <c r="I25" s="35">
        <f t="shared" si="1"/>
        <v>3</v>
      </c>
      <c r="J25" s="36"/>
      <c r="K25" s="36"/>
      <c r="L25" s="40">
        <v>2</v>
      </c>
      <c r="M25" s="42"/>
      <c r="N25" s="41"/>
    </row>
    <row r="26" spans="2:15">
      <c r="B26" s="17"/>
      <c r="C26" s="17"/>
      <c r="E26" s="34">
        <v>9</v>
      </c>
      <c r="F26" s="16"/>
      <c r="G26" s="35">
        <f t="shared" si="0"/>
        <v>3</v>
      </c>
      <c r="H26" s="55">
        <v>0</v>
      </c>
      <c r="I26" s="35">
        <f t="shared" si="1"/>
        <v>3</v>
      </c>
      <c r="J26" s="36"/>
      <c r="K26" s="36"/>
      <c r="L26" s="40">
        <v>3</v>
      </c>
      <c r="M26" s="42"/>
      <c r="N26" s="41"/>
    </row>
    <row r="27" spans="2:15" ht="16" thickBot="1">
      <c r="B27" s="17"/>
      <c r="C27" s="17"/>
      <c r="E27" s="43">
        <v>10</v>
      </c>
      <c r="F27" s="44"/>
      <c r="G27" s="45">
        <f t="shared" si="0"/>
        <v>3</v>
      </c>
      <c r="H27" s="56">
        <v>2</v>
      </c>
      <c r="I27" s="45">
        <f t="shared" si="1"/>
        <v>1</v>
      </c>
      <c r="J27" s="46"/>
      <c r="K27" s="46"/>
      <c r="L27" s="47">
        <v>3</v>
      </c>
      <c r="M27" s="48"/>
      <c r="N27" s="41"/>
    </row>
    <row r="28" spans="2:15">
      <c r="G28" s="49"/>
      <c r="I28" s="49"/>
      <c r="L28" s="50"/>
      <c r="M28"/>
      <c r="O28" s="51"/>
    </row>
    <row r="29" spans="2:15">
      <c r="F29" s="2">
        <f>COUNTIF(F18:F27,"&gt;0")</f>
        <v>2</v>
      </c>
      <c r="I29" s="2">
        <f>SUM(I17:I20,I22,I23,I25:I27)</f>
        <v>20</v>
      </c>
      <c r="J29" s="1">
        <f>SUM(J18:J27)</f>
        <v>4</v>
      </c>
      <c r="L29" s="50"/>
      <c r="M29"/>
    </row>
    <row r="30" spans="2:15">
      <c r="E30" s="1" t="s">
        <v>30</v>
      </c>
      <c r="F30" s="2">
        <f>+F29/$E$27</f>
        <v>0.2</v>
      </c>
      <c r="I30" s="2">
        <f t="shared" ref="I30:L30" si="3">+I29/$E$27</f>
        <v>2</v>
      </c>
      <c r="J30" s="2">
        <f t="shared" si="3"/>
        <v>0.4</v>
      </c>
      <c r="K30" s="2">
        <f t="shared" si="3"/>
        <v>0</v>
      </c>
      <c r="L30" s="2">
        <f t="shared" si="3"/>
        <v>0</v>
      </c>
      <c r="M30"/>
    </row>
    <row r="31" spans="2:15">
      <c r="L31" s="50"/>
      <c r="M31"/>
    </row>
    <row r="32" spans="2:15">
      <c r="E32" s="112" t="s">
        <v>109</v>
      </c>
      <c r="F32" s="113">
        <v>10</v>
      </c>
      <c r="L32" s="50"/>
      <c r="M32"/>
    </row>
    <row r="33" spans="5:13">
      <c r="E33" s="112" t="s">
        <v>110</v>
      </c>
      <c r="F33" s="113">
        <v>7</v>
      </c>
      <c r="L33" s="50"/>
      <c r="M33"/>
    </row>
    <row r="34" spans="5:13">
      <c r="E34" s="112" t="s">
        <v>111</v>
      </c>
      <c r="F34" s="113">
        <v>5</v>
      </c>
      <c r="L34" s="50"/>
      <c r="M34"/>
    </row>
    <row r="35" spans="5:13">
      <c r="L35" s="50"/>
      <c r="M35"/>
    </row>
    <row r="36" spans="5:13">
      <c r="L36" s="50"/>
      <c r="M36"/>
    </row>
    <row r="37" spans="5:13">
      <c r="L37" s="50"/>
      <c r="M37"/>
    </row>
    <row r="38" spans="5:13">
      <c r="L38" s="50"/>
      <c r="M38"/>
    </row>
    <row r="39" spans="5:13">
      <c r="L39" s="50"/>
      <c r="M39"/>
    </row>
    <row r="40" spans="5:13">
      <c r="L40" s="50"/>
      <c r="M40"/>
    </row>
    <row r="41" spans="5:13">
      <c r="L41" s="50"/>
      <c r="M41"/>
    </row>
    <row r="42" spans="5:13">
      <c r="L42" s="50"/>
      <c r="M42"/>
    </row>
    <row r="43" spans="5:13">
      <c r="L43" s="50"/>
      <c r="M43"/>
    </row>
    <row r="44" spans="5:13">
      <c r="L44" s="50"/>
      <c r="M44"/>
    </row>
  </sheetData>
  <mergeCells count="4">
    <mergeCell ref="B2:C2"/>
    <mergeCell ref="B10:C10"/>
    <mergeCell ref="E13:F13"/>
    <mergeCell ref="E14:F14"/>
  </mergeCells>
  <pageMargins left="0.7" right="0.7" top="0.75" bottom="0.75" header="0.3" footer="0.3"/>
  <pageSetup orientation="portrait" horizontalDpi="0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zoomScale="175" zoomScaleNormal="175" zoomScalePageLayoutView="175" workbookViewId="0">
      <selection activeCell="F5" sqref="F5"/>
    </sheetView>
  </sheetViews>
  <sheetFormatPr baseColWidth="10" defaultRowHeight="14" x14ac:dyDescent="0"/>
  <cols>
    <col min="1" max="1" width="3.33203125" customWidth="1"/>
    <col min="5" max="5" width="6.6640625" customWidth="1"/>
  </cols>
  <sheetData>
    <row r="2" spans="2:7" ht="15" thickBot="1">
      <c r="B2" t="s">
        <v>97</v>
      </c>
      <c r="C2">
        <v>9990</v>
      </c>
    </row>
    <row r="3" spans="2:7">
      <c r="B3" t="s">
        <v>98</v>
      </c>
      <c r="C3">
        <v>1100</v>
      </c>
      <c r="E3" s="98" t="s">
        <v>89</v>
      </c>
      <c r="F3" s="108">
        <f>F13</f>
        <v>242.86780224867317</v>
      </c>
      <c r="G3" s="92" t="s">
        <v>92</v>
      </c>
    </row>
    <row r="4" spans="2:7">
      <c r="B4" t="s">
        <v>99</v>
      </c>
      <c r="C4">
        <v>120</v>
      </c>
      <c r="E4" s="99" t="s">
        <v>88</v>
      </c>
      <c r="F4" s="109">
        <f>F14</f>
        <v>627.0985714794424</v>
      </c>
      <c r="G4" s="100" t="s">
        <v>87</v>
      </c>
    </row>
    <row r="5" spans="2:7">
      <c r="B5" t="s">
        <v>100</v>
      </c>
      <c r="C5">
        <v>0.2</v>
      </c>
      <c r="E5" s="99" t="s">
        <v>90</v>
      </c>
      <c r="F5" s="101">
        <f>F15</f>
        <v>1267.8722791931157</v>
      </c>
      <c r="G5" s="100" t="s">
        <v>93</v>
      </c>
    </row>
    <row r="6" spans="2:7" ht="15" thickBot="1">
      <c r="B6" t="s">
        <v>101</v>
      </c>
      <c r="C6">
        <v>7.1</v>
      </c>
      <c r="E6" s="102" t="s">
        <v>91</v>
      </c>
      <c r="F6" s="103">
        <f>F16</f>
        <v>73119.026125346965</v>
      </c>
      <c r="G6" s="96" t="s">
        <v>106</v>
      </c>
    </row>
    <row r="7" spans="2:7">
      <c r="B7" t="s">
        <v>102</v>
      </c>
      <c r="C7" s="97" t="s">
        <v>103</v>
      </c>
    </row>
    <row r="8" spans="2:7">
      <c r="B8" t="s">
        <v>94</v>
      </c>
      <c r="C8" t="s">
        <v>104</v>
      </c>
    </row>
    <row r="9" spans="2:7">
      <c r="E9" s="107" t="s">
        <v>105</v>
      </c>
      <c r="F9" s="106">
        <f>SQRT((2*C2*C4)/(C6*C5))</f>
        <v>1299.4039803792168</v>
      </c>
    </row>
    <row r="10" spans="2:7">
      <c r="E10" t="s">
        <v>94</v>
      </c>
      <c r="F10" s="104">
        <f>(7.685-1)/7.685</f>
        <v>0.86987638256343525</v>
      </c>
    </row>
    <row r="11" spans="2:7">
      <c r="E11" t="s">
        <v>95</v>
      </c>
      <c r="F11" s="105">
        <f>_xlfn.NORM.S.INV(F10)</f>
        <v>1.125806966263071</v>
      </c>
    </row>
    <row r="12" spans="2:7">
      <c r="E12" t="s">
        <v>96</v>
      </c>
      <c r="F12" s="105">
        <f>SQRT((POWER(1100,2)/52)*2)</f>
        <v>215.72774865200245</v>
      </c>
      <c r="G12" s="105"/>
    </row>
    <row r="13" spans="2:7">
      <c r="E13" t="s">
        <v>89</v>
      </c>
      <c r="F13" s="105">
        <f>F11*F12</f>
        <v>242.86780224867317</v>
      </c>
    </row>
    <row r="14" spans="2:7">
      <c r="E14" t="s">
        <v>88</v>
      </c>
      <c r="F14" s="105">
        <f>((9990/52)*2)+F13</f>
        <v>627.0985714794424</v>
      </c>
    </row>
    <row r="15" spans="2:7">
      <c r="E15" t="s">
        <v>90</v>
      </c>
      <c r="F15" s="88">
        <f>((1300/2)+F13)*(7.1*0.2)</f>
        <v>1267.8722791931157</v>
      </c>
    </row>
    <row r="16" spans="2:7">
      <c r="E16" t="s">
        <v>91</v>
      </c>
      <c r="F16" s="88">
        <f>((9990/1300)*120)+F15+(9990*7.1)</f>
        <v>73119.026125346965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126"/>
  <sheetViews>
    <sheetView tabSelected="1" workbookViewId="0">
      <selection activeCell="H15" sqref="H15"/>
    </sheetView>
  </sheetViews>
  <sheetFormatPr baseColWidth="10" defaultColWidth="9.1640625" defaultRowHeight="12" x14ac:dyDescent="0"/>
  <cols>
    <col min="1" max="1" width="3.5" style="57" customWidth="1"/>
    <col min="2" max="2" width="0" style="57" hidden="1" customWidth="1"/>
    <col min="3" max="3" width="47.83203125" style="57" hidden="1" customWidth="1"/>
    <col min="4" max="4" width="22.5" style="57" hidden="1" customWidth="1"/>
    <col min="5" max="5" width="22.6640625" style="57" hidden="1" customWidth="1"/>
    <col min="6" max="6" width="18" style="57" customWidth="1"/>
    <col min="7" max="7" width="29.1640625" style="57" bestFit="1" customWidth="1"/>
    <col min="8" max="8" width="20" style="57" customWidth="1"/>
    <col min="9" max="9" width="11.5" style="57" customWidth="1"/>
    <col min="10" max="10" width="42.5" style="57" customWidth="1"/>
    <col min="11" max="11" width="24.33203125" style="57" customWidth="1"/>
    <col min="12" max="12" width="17.83203125" style="57" customWidth="1"/>
    <col min="13" max="258" width="11.5" style="57" customWidth="1"/>
    <col min="259" max="259" width="47.83203125" style="57" customWidth="1"/>
    <col min="260" max="260" width="22.5" style="57" customWidth="1"/>
    <col min="261" max="261" width="22.6640625" style="57" customWidth="1"/>
    <col min="262" max="262" width="18" style="57" customWidth="1"/>
    <col min="263" max="263" width="29.1640625" style="57" bestFit="1" customWidth="1"/>
    <col min="264" max="264" width="20" style="57" customWidth="1"/>
    <col min="265" max="265" width="11.5" style="57" customWidth="1"/>
    <col min="266" max="266" width="37.33203125" style="57" customWidth="1"/>
    <col min="267" max="267" width="24.33203125" style="57" customWidth="1"/>
    <col min="268" max="268" width="14.5" style="57" customWidth="1"/>
    <col min="269" max="514" width="11.5" style="57" customWidth="1"/>
    <col min="515" max="515" width="47.83203125" style="57" customWidth="1"/>
    <col min="516" max="516" width="22.5" style="57" customWidth="1"/>
    <col min="517" max="517" width="22.6640625" style="57" customWidth="1"/>
    <col min="518" max="518" width="18" style="57" customWidth="1"/>
    <col min="519" max="519" width="29.1640625" style="57" bestFit="1" customWidth="1"/>
    <col min="520" max="520" width="20" style="57" customWidth="1"/>
    <col min="521" max="521" width="11.5" style="57" customWidth="1"/>
    <col min="522" max="522" width="37.33203125" style="57" customWidth="1"/>
    <col min="523" max="523" width="24.33203125" style="57" customWidth="1"/>
    <col min="524" max="524" width="14.5" style="57" customWidth="1"/>
    <col min="525" max="770" width="11.5" style="57" customWidth="1"/>
    <col min="771" max="771" width="47.83203125" style="57" customWidth="1"/>
    <col min="772" max="772" width="22.5" style="57" customWidth="1"/>
    <col min="773" max="773" width="22.6640625" style="57" customWidth="1"/>
    <col min="774" max="774" width="18" style="57" customWidth="1"/>
    <col min="775" max="775" width="29.1640625" style="57" bestFit="1" customWidth="1"/>
    <col min="776" max="776" width="20" style="57" customWidth="1"/>
    <col min="777" max="777" width="11.5" style="57" customWidth="1"/>
    <col min="778" max="778" width="37.33203125" style="57" customWidth="1"/>
    <col min="779" max="779" width="24.33203125" style="57" customWidth="1"/>
    <col min="780" max="780" width="14.5" style="57" customWidth="1"/>
    <col min="781" max="1026" width="11.5" style="57" customWidth="1"/>
    <col min="1027" max="1027" width="47.83203125" style="57" customWidth="1"/>
    <col min="1028" max="1028" width="22.5" style="57" customWidth="1"/>
    <col min="1029" max="1029" width="22.6640625" style="57" customWidth="1"/>
    <col min="1030" max="1030" width="18" style="57" customWidth="1"/>
    <col min="1031" max="1031" width="29.1640625" style="57" bestFit="1" customWidth="1"/>
    <col min="1032" max="1032" width="20" style="57" customWidth="1"/>
    <col min="1033" max="1033" width="11.5" style="57" customWidth="1"/>
    <col min="1034" max="1034" width="37.33203125" style="57" customWidth="1"/>
    <col min="1035" max="1035" width="24.33203125" style="57" customWidth="1"/>
    <col min="1036" max="1036" width="14.5" style="57" customWidth="1"/>
    <col min="1037" max="1282" width="11.5" style="57" customWidth="1"/>
    <col min="1283" max="1283" width="47.83203125" style="57" customWidth="1"/>
    <col min="1284" max="1284" width="22.5" style="57" customWidth="1"/>
    <col min="1285" max="1285" width="22.6640625" style="57" customWidth="1"/>
    <col min="1286" max="1286" width="18" style="57" customWidth="1"/>
    <col min="1287" max="1287" width="29.1640625" style="57" bestFit="1" customWidth="1"/>
    <col min="1288" max="1288" width="20" style="57" customWidth="1"/>
    <col min="1289" max="1289" width="11.5" style="57" customWidth="1"/>
    <col min="1290" max="1290" width="37.33203125" style="57" customWidth="1"/>
    <col min="1291" max="1291" width="24.33203125" style="57" customWidth="1"/>
    <col min="1292" max="1292" width="14.5" style="57" customWidth="1"/>
    <col min="1293" max="1538" width="11.5" style="57" customWidth="1"/>
    <col min="1539" max="1539" width="47.83203125" style="57" customWidth="1"/>
    <col min="1540" max="1540" width="22.5" style="57" customWidth="1"/>
    <col min="1541" max="1541" width="22.6640625" style="57" customWidth="1"/>
    <col min="1542" max="1542" width="18" style="57" customWidth="1"/>
    <col min="1543" max="1543" width="29.1640625" style="57" bestFit="1" customWidth="1"/>
    <col min="1544" max="1544" width="20" style="57" customWidth="1"/>
    <col min="1545" max="1545" width="11.5" style="57" customWidth="1"/>
    <col min="1546" max="1546" width="37.33203125" style="57" customWidth="1"/>
    <col min="1547" max="1547" width="24.33203125" style="57" customWidth="1"/>
    <col min="1548" max="1548" width="14.5" style="57" customWidth="1"/>
    <col min="1549" max="1794" width="11.5" style="57" customWidth="1"/>
    <col min="1795" max="1795" width="47.83203125" style="57" customWidth="1"/>
    <col min="1796" max="1796" width="22.5" style="57" customWidth="1"/>
    <col min="1797" max="1797" width="22.6640625" style="57" customWidth="1"/>
    <col min="1798" max="1798" width="18" style="57" customWidth="1"/>
    <col min="1799" max="1799" width="29.1640625" style="57" bestFit="1" customWidth="1"/>
    <col min="1800" max="1800" width="20" style="57" customWidth="1"/>
    <col min="1801" max="1801" width="11.5" style="57" customWidth="1"/>
    <col min="1802" max="1802" width="37.33203125" style="57" customWidth="1"/>
    <col min="1803" max="1803" width="24.33203125" style="57" customWidth="1"/>
    <col min="1804" max="1804" width="14.5" style="57" customWidth="1"/>
    <col min="1805" max="2050" width="11.5" style="57" customWidth="1"/>
    <col min="2051" max="2051" width="47.83203125" style="57" customWidth="1"/>
    <col min="2052" max="2052" width="22.5" style="57" customWidth="1"/>
    <col min="2053" max="2053" width="22.6640625" style="57" customWidth="1"/>
    <col min="2054" max="2054" width="18" style="57" customWidth="1"/>
    <col min="2055" max="2055" width="29.1640625" style="57" bestFit="1" customWidth="1"/>
    <col min="2056" max="2056" width="20" style="57" customWidth="1"/>
    <col min="2057" max="2057" width="11.5" style="57" customWidth="1"/>
    <col min="2058" max="2058" width="37.33203125" style="57" customWidth="1"/>
    <col min="2059" max="2059" width="24.33203125" style="57" customWidth="1"/>
    <col min="2060" max="2060" width="14.5" style="57" customWidth="1"/>
    <col min="2061" max="2306" width="11.5" style="57" customWidth="1"/>
    <col min="2307" max="2307" width="47.83203125" style="57" customWidth="1"/>
    <col min="2308" max="2308" width="22.5" style="57" customWidth="1"/>
    <col min="2309" max="2309" width="22.6640625" style="57" customWidth="1"/>
    <col min="2310" max="2310" width="18" style="57" customWidth="1"/>
    <col min="2311" max="2311" width="29.1640625" style="57" bestFit="1" customWidth="1"/>
    <col min="2312" max="2312" width="20" style="57" customWidth="1"/>
    <col min="2313" max="2313" width="11.5" style="57" customWidth="1"/>
    <col min="2314" max="2314" width="37.33203125" style="57" customWidth="1"/>
    <col min="2315" max="2315" width="24.33203125" style="57" customWidth="1"/>
    <col min="2316" max="2316" width="14.5" style="57" customWidth="1"/>
    <col min="2317" max="2562" width="11.5" style="57" customWidth="1"/>
    <col min="2563" max="2563" width="47.83203125" style="57" customWidth="1"/>
    <col min="2564" max="2564" width="22.5" style="57" customWidth="1"/>
    <col min="2565" max="2565" width="22.6640625" style="57" customWidth="1"/>
    <col min="2566" max="2566" width="18" style="57" customWidth="1"/>
    <col min="2567" max="2567" width="29.1640625" style="57" bestFit="1" customWidth="1"/>
    <col min="2568" max="2568" width="20" style="57" customWidth="1"/>
    <col min="2569" max="2569" width="11.5" style="57" customWidth="1"/>
    <col min="2570" max="2570" width="37.33203125" style="57" customWidth="1"/>
    <col min="2571" max="2571" width="24.33203125" style="57" customWidth="1"/>
    <col min="2572" max="2572" width="14.5" style="57" customWidth="1"/>
    <col min="2573" max="2818" width="11.5" style="57" customWidth="1"/>
    <col min="2819" max="2819" width="47.83203125" style="57" customWidth="1"/>
    <col min="2820" max="2820" width="22.5" style="57" customWidth="1"/>
    <col min="2821" max="2821" width="22.6640625" style="57" customWidth="1"/>
    <col min="2822" max="2822" width="18" style="57" customWidth="1"/>
    <col min="2823" max="2823" width="29.1640625" style="57" bestFit="1" customWidth="1"/>
    <col min="2824" max="2824" width="20" style="57" customWidth="1"/>
    <col min="2825" max="2825" width="11.5" style="57" customWidth="1"/>
    <col min="2826" max="2826" width="37.33203125" style="57" customWidth="1"/>
    <col min="2827" max="2827" width="24.33203125" style="57" customWidth="1"/>
    <col min="2828" max="2828" width="14.5" style="57" customWidth="1"/>
    <col min="2829" max="3074" width="11.5" style="57" customWidth="1"/>
    <col min="3075" max="3075" width="47.83203125" style="57" customWidth="1"/>
    <col min="3076" max="3076" width="22.5" style="57" customWidth="1"/>
    <col min="3077" max="3077" width="22.6640625" style="57" customWidth="1"/>
    <col min="3078" max="3078" width="18" style="57" customWidth="1"/>
    <col min="3079" max="3079" width="29.1640625" style="57" bestFit="1" customWidth="1"/>
    <col min="3080" max="3080" width="20" style="57" customWidth="1"/>
    <col min="3081" max="3081" width="11.5" style="57" customWidth="1"/>
    <col min="3082" max="3082" width="37.33203125" style="57" customWidth="1"/>
    <col min="3083" max="3083" width="24.33203125" style="57" customWidth="1"/>
    <col min="3084" max="3084" width="14.5" style="57" customWidth="1"/>
    <col min="3085" max="3330" width="11.5" style="57" customWidth="1"/>
    <col min="3331" max="3331" width="47.83203125" style="57" customWidth="1"/>
    <col min="3332" max="3332" width="22.5" style="57" customWidth="1"/>
    <col min="3333" max="3333" width="22.6640625" style="57" customWidth="1"/>
    <col min="3334" max="3334" width="18" style="57" customWidth="1"/>
    <col min="3335" max="3335" width="29.1640625" style="57" bestFit="1" customWidth="1"/>
    <col min="3336" max="3336" width="20" style="57" customWidth="1"/>
    <col min="3337" max="3337" width="11.5" style="57" customWidth="1"/>
    <col min="3338" max="3338" width="37.33203125" style="57" customWidth="1"/>
    <col min="3339" max="3339" width="24.33203125" style="57" customWidth="1"/>
    <col min="3340" max="3340" width="14.5" style="57" customWidth="1"/>
    <col min="3341" max="3586" width="11.5" style="57" customWidth="1"/>
    <col min="3587" max="3587" width="47.83203125" style="57" customWidth="1"/>
    <col min="3588" max="3588" width="22.5" style="57" customWidth="1"/>
    <col min="3589" max="3589" width="22.6640625" style="57" customWidth="1"/>
    <col min="3590" max="3590" width="18" style="57" customWidth="1"/>
    <col min="3591" max="3591" width="29.1640625" style="57" bestFit="1" customWidth="1"/>
    <col min="3592" max="3592" width="20" style="57" customWidth="1"/>
    <col min="3593" max="3593" width="11.5" style="57" customWidth="1"/>
    <col min="3594" max="3594" width="37.33203125" style="57" customWidth="1"/>
    <col min="3595" max="3595" width="24.33203125" style="57" customWidth="1"/>
    <col min="3596" max="3596" width="14.5" style="57" customWidth="1"/>
    <col min="3597" max="3842" width="11.5" style="57" customWidth="1"/>
    <col min="3843" max="3843" width="47.83203125" style="57" customWidth="1"/>
    <col min="3844" max="3844" width="22.5" style="57" customWidth="1"/>
    <col min="3845" max="3845" width="22.6640625" style="57" customWidth="1"/>
    <col min="3846" max="3846" width="18" style="57" customWidth="1"/>
    <col min="3847" max="3847" width="29.1640625" style="57" bestFit="1" customWidth="1"/>
    <col min="3848" max="3848" width="20" style="57" customWidth="1"/>
    <col min="3849" max="3849" width="11.5" style="57" customWidth="1"/>
    <col min="3850" max="3850" width="37.33203125" style="57" customWidth="1"/>
    <col min="3851" max="3851" width="24.33203125" style="57" customWidth="1"/>
    <col min="3852" max="3852" width="14.5" style="57" customWidth="1"/>
    <col min="3853" max="4098" width="11.5" style="57" customWidth="1"/>
    <col min="4099" max="4099" width="47.83203125" style="57" customWidth="1"/>
    <col min="4100" max="4100" width="22.5" style="57" customWidth="1"/>
    <col min="4101" max="4101" width="22.6640625" style="57" customWidth="1"/>
    <col min="4102" max="4102" width="18" style="57" customWidth="1"/>
    <col min="4103" max="4103" width="29.1640625" style="57" bestFit="1" customWidth="1"/>
    <col min="4104" max="4104" width="20" style="57" customWidth="1"/>
    <col min="4105" max="4105" width="11.5" style="57" customWidth="1"/>
    <col min="4106" max="4106" width="37.33203125" style="57" customWidth="1"/>
    <col min="4107" max="4107" width="24.33203125" style="57" customWidth="1"/>
    <col min="4108" max="4108" width="14.5" style="57" customWidth="1"/>
    <col min="4109" max="4354" width="11.5" style="57" customWidth="1"/>
    <col min="4355" max="4355" width="47.83203125" style="57" customWidth="1"/>
    <col min="4356" max="4356" width="22.5" style="57" customWidth="1"/>
    <col min="4357" max="4357" width="22.6640625" style="57" customWidth="1"/>
    <col min="4358" max="4358" width="18" style="57" customWidth="1"/>
    <col min="4359" max="4359" width="29.1640625" style="57" bestFit="1" customWidth="1"/>
    <col min="4360" max="4360" width="20" style="57" customWidth="1"/>
    <col min="4361" max="4361" width="11.5" style="57" customWidth="1"/>
    <col min="4362" max="4362" width="37.33203125" style="57" customWidth="1"/>
    <col min="4363" max="4363" width="24.33203125" style="57" customWidth="1"/>
    <col min="4364" max="4364" width="14.5" style="57" customWidth="1"/>
    <col min="4365" max="4610" width="11.5" style="57" customWidth="1"/>
    <col min="4611" max="4611" width="47.83203125" style="57" customWidth="1"/>
    <col min="4612" max="4612" width="22.5" style="57" customWidth="1"/>
    <col min="4613" max="4613" width="22.6640625" style="57" customWidth="1"/>
    <col min="4614" max="4614" width="18" style="57" customWidth="1"/>
    <col min="4615" max="4615" width="29.1640625" style="57" bestFit="1" customWidth="1"/>
    <col min="4616" max="4616" width="20" style="57" customWidth="1"/>
    <col min="4617" max="4617" width="11.5" style="57" customWidth="1"/>
    <col min="4618" max="4618" width="37.33203125" style="57" customWidth="1"/>
    <col min="4619" max="4619" width="24.33203125" style="57" customWidth="1"/>
    <col min="4620" max="4620" width="14.5" style="57" customWidth="1"/>
    <col min="4621" max="4866" width="11.5" style="57" customWidth="1"/>
    <col min="4867" max="4867" width="47.83203125" style="57" customWidth="1"/>
    <col min="4868" max="4868" width="22.5" style="57" customWidth="1"/>
    <col min="4869" max="4869" width="22.6640625" style="57" customWidth="1"/>
    <col min="4870" max="4870" width="18" style="57" customWidth="1"/>
    <col min="4871" max="4871" width="29.1640625" style="57" bestFit="1" customWidth="1"/>
    <col min="4872" max="4872" width="20" style="57" customWidth="1"/>
    <col min="4873" max="4873" width="11.5" style="57" customWidth="1"/>
    <col min="4874" max="4874" width="37.33203125" style="57" customWidth="1"/>
    <col min="4875" max="4875" width="24.33203125" style="57" customWidth="1"/>
    <col min="4876" max="4876" width="14.5" style="57" customWidth="1"/>
    <col min="4877" max="5122" width="11.5" style="57" customWidth="1"/>
    <col min="5123" max="5123" width="47.83203125" style="57" customWidth="1"/>
    <col min="5124" max="5124" width="22.5" style="57" customWidth="1"/>
    <col min="5125" max="5125" width="22.6640625" style="57" customWidth="1"/>
    <col min="5126" max="5126" width="18" style="57" customWidth="1"/>
    <col min="5127" max="5127" width="29.1640625" style="57" bestFit="1" customWidth="1"/>
    <col min="5128" max="5128" width="20" style="57" customWidth="1"/>
    <col min="5129" max="5129" width="11.5" style="57" customWidth="1"/>
    <col min="5130" max="5130" width="37.33203125" style="57" customWidth="1"/>
    <col min="5131" max="5131" width="24.33203125" style="57" customWidth="1"/>
    <col min="5132" max="5132" width="14.5" style="57" customWidth="1"/>
    <col min="5133" max="5378" width="11.5" style="57" customWidth="1"/>
    <col min="5379" max="5379" width="47.83203125" style="57" customWidth="1"/>
    <col min="5380" max="5380" width="22.5" style="57" customWidth="1"/>
    <col min="5381" max="5381" width="22.6640625" style="57" customWidth="1"/>
    <col min="5382" max="5382" width="18" style="57" customWidth="1"/>
    <col min="5383" max="5383" width="29.1640625" style="57" bestFit="1" customWidth="1"/>
    <col min="5384" max="5384" width="20" style="57" customWidth="1"/>
    <col min="5385" max="5385" width="11.5" style="57" customWidth="1"/>
    <col min="5386" max="5386" width="37.33203125" style="57" customWidth="1"/>
    <col min="5387" max="5387" width="24.33203125" style="57" customWidth="1"/>
    <col min="5388" max="5388" width="14.5" style="57" customWidth="1"/>
    <col min="5389" max="5634" width="11.5" style="57" customWidth="1"/>
    <col min="5635" max="5635" width="47.83203125" style="57" customWidth="1"/>
    <col min="5636" max="5636" width="22.5" style="57" customWidth="1"/>
    <col min="5637" max="5637" width="22.6640625" style="57" customWidth="1"/>
    <col min="5638" max="5638" width="18" style="57" customWidth="1"/>
    <col min="5639" max="5639" width="29.1640625" style="57" bestFit="1" customWidth="1"/>
    <col min="5640" max="5640" width="20" style="57" customWidth="1"/>
    <col min="5641" max="5641" width="11.5" style="57" customWidth="1"/>
    <col min="5642" max="5642" width="37.33203125" style="57" customWidth="1"/>
    <col min="5643" max="5643" width="24.33203125" style="57" customWidth="1"/>
    <col min="5644" max="5644" width="14.5" style="57" customWidth="1"/>
    <col min="5645" max="5890" width="11.5" style="57" customWidth="1"/>
    <col min="5891" max="5891" width="47.83203125" style="57" customWidth="1"/>
    <col min="5892" max="5892" width="22.5" style="57" customWidth="1"/>
    <col min="5893" max="5893" width="22.6640625" style="57" customWidth="1"/>
    <col min="5894" max="5894" width="18" style="57" customWidth="1"/>
    <col min="5895" max="5895" width="29.1640625" style="57" bestFit="1" customWidth="1"/>
    <col min="5896" max="5896" width="20" style="57" customWidth="1"/>
    <col min="5897" max="5897" width="11.5" style="57" customWidth="1"/>
    <col min="5898" max="5898" width="37.33203125" style="57" customWidth="1"/>
    <col min="5899" max="5899" width="24.33203125" style="57" customWidth="1"/>
    <col min="5900" max="5900" width="14.5" style="57" customWidth="1"/>
    <col min="5901" max="6146" width="11.5" style="57" customWidth="1"/>
    <col min="6147" max="6147" width="47.83203125" style="57" customWidth="1"/>
    <col min="6148" max="6148" width="22.5" style="57" customWidth="1"/>
    <col min="6149" max="6149" width="22.6640625" style="57" customWidth="1"/>
    <col min="6150" max="6150" width="18" style="57" customWidth="1"/>
    <col min="6151" max="6151" width="29.1640625" style="57" bestFit="1" customWidth="1"/>
    <col min="6152" max="6152" width="20" style="57" customWidth="1"/>
    <col min="6153" max="6153" width="11.5" style="57" customWidth="1"/>
    <col min="6154" max="6154" width="37.33203125" style="57" customWidth="1"/>
    <col min="6155" max="6155" width="24.33203125" style="57" customWidth="1"/>
    <col min="6156" max="6156" width="14.5" style="57" customWidth="1"/>
    <col min="6157" max="6402" width="11.5" style="57" customWidth="1"/>
    <col min="6403" max="6403" width="47.83203125" style="57" customWidth="1"/>
    <col min="6404" max="6404" width="22.5" style="57" customWidth="1"/>
    <col min="6405" max="6405" width="22.6640625" style="57" customWidth="1"/>
    <col min="6406" max="6406" width="18" style="57" customWidth="1"/>
    <col min="6407" max="6407" width="29.1640625" style="57" bestFit="1" customWidth="1"/>
    <col min="6408" max="6408" width="20" style="57" customWidth="1"/>
    <col min="6409" max="6409" width="11.5" style="57" customWidth="1"/>
    <col min="6410" max="6410" width="37.33203125" style="57" customWidth="1"/>
    <col min="6411" max="6411" width="24.33203125" style="57" customWidth="1"/>
    <col min="6412" max="6412" width="14.5" style="57" customWidth="1"/>
    <col min="6413" max="6658" width="11.5" style="57" customWidth="1"/>
    <col min="6659" max="6659" width="47.83203125" style="57" customWidth="1"/>
    <col min="6660" max="6660" width="22.5" style="57" customWidth="1"/>
    <col min="6661" max="6661" width="22.6640625" style="57" customWidth="1"/>
    <col min="6662" max="6662" width="18" style="57" customWidth="1"/>
    <col min="6663" max="6663" width="29.1640625" style="57" bestFit="1" customWidth="1"/>
    <col min="6664" max="6664" width="20" style="57" customWidth="1"/>
    <col min="6665" max="6665" width="11.5" style="57" customWidth="1"/>
    <col min="6666" max="6666" width="37.33203125" style="57" customWidth="1"/>
    <col min="6667" max="6667" width="24.33203125" style="57" customWidth="1"/>
    <col min="6668" max="6668" width="14.5" style="57" customWidth="1"/>
    <col min="6669" max="6914" width="11.5" style="57" customWidth="1"/>
    <col min="6915" max="6915" width="47.83203125" style="57" customWidth="1"/>
    <col min="6916" max="6916" width="22.5" style="57" customWidth="1"/>
    <col min="6917" max="6917" width="22.6640625" style="57" customWidth="1"/>
    <col min="6918" max="6918" width="18" style="57" customWidth="1"/>
    <col min="6919" max="6919" width="29.1640625" style="57" bestFit="1" customWidth="1"/>
    <col min="6920" max="6920" width="20" style="57" customWidth="1"/>
    <col min="6921" max="6921" width="11.5" style="57" customWidth="1"/>
    <col min="6922" max="6922" width="37.33203125" style="57" customWidth="1"/>
    <col min="6923" max="6923" width="24.33203125" style="57" customWidth="1"/>
    <col min="6924" max="6924" width="14.5" style="57" customWidth="1"/>
    <col min="6925" max="7170" width="11.5" style="57" customWidth="1"/>
    <col min="7171" max="7171" width="47.83203125" style="57" customWidth="1"/>
    <col min="7172" max="7172" width="22.5" style="57" customWidth="1"/>
    <col min="7173" max="7173" width="22.6640625" style="57" customWidth="1"/>
    <col min="7174" max="7174" width="18" style="57" customWidth="1"/>
    <col min="7175" max="7175" width="29.1640625" style="57" bestFit="1" customWidth="1"/>
    <col min="7176" max="7176" width="20" style="57" customWidth="1"/>
    <col min="7177" max="7177" width="11.5" style="57" customWidth="1"/>
    <col min="7178" max="7178" width="37.33203125" style="57" customWidth="1"/>
    <col min="7179" max="7179" width="24.33203125" style="57" customWidth="1"/>
    <col min="7180" max="7180" width="14.5" style="57" customWidth="1"/>
    <col min="7181" max="7426" width="11.5" style="57" customWidth="1"/>
    <col min="7427" max="7427" width="47.83203125" style="57" customWidth="1"/>
    <col min="7428" max="7428" width="22.5" style="57" customWidth="1"/>
    <col min="7429" max="7429" width="22.6640625" style="57" customWidth="1"/>
    <col min="7430" max="7430" width="18" style="57" customWidth="1"/>
    <col min="7431" max="7431" width="29.1640625" style="57" bestFit="1" customWidth="1"/>
    <col min="7432" max="7432" width="20" style="57" customWidth="1"/>
    <col min="7433" max="7433" width="11.5" style="57" customWidth="1"/>
    <col min="7434" max="7434" width="37.33203125" style="57" customWidth="1"/>
    <col min="7435" max="7435" width="24.33203125" style="57" customWidth="1"/>
    <col min="7436" max="7436" width="14.5" style="57" customWidth="1"/>
    <col min="7437" max="7682" width="11.5" style="57" customWidth="1"/>
    <col min="7683" max="7683" width="47.83203125" style="57" customWidth="1"/>
    <col min="7684" max="7684" width="22.5" style="57" customWidth="1"/>
    <col min="7685" max="7685" width="22.6640625" style="57" customWidth="1"/>
    <col min="7686" max="7686" width="18" style="57" customWidth="1"/>
    <col min="7687" max="7687" width="29.1640625" style="57" bestFit="1" customWidth="1"/>
    <col min="7688" max="7688" width="20" style="57" customWidth="1"/>
    <col min="7689" max="7689" width="11.5" style="57" customWidth="1"/>
    <col min="7690" max="7690" width="37.33203125" style="57" customWidth="1"/>
    <col min="7691" max="7691" width="24.33203125" style="57" customWidth="1"/>
    <col min="7692" max="7692" width="14.5" style="57" customWidth="1"/>
    <col min="7693" max="7938" width="11.5" style="57" customWidth="1"/>
    <col min="7939" max="7939" width="47.83203125" style="57" customWidth="1"/>
    <col min="7940" max="7940" width="22.5" style="57" customWidth="1"/>
    <col min="7941" max="7941" width="22.6640625" style="57" customWidth="1"/>
    <col min="7942" max="7942" width="18" style="57" customWidth="1"/>
    <col min="7943" max="7943" width="29.1640625" style="57" bestFit="1" customWidth="1"/>
    <col min="7944" max="7944" width="20" style="57" customWidth="1"/>
    <col min="7945" max="7945" width="11.5" style="57" customWidth="1"/>
    <col min="7946" max="7946" width="37.33203125" style="57" customWidth="1"/>
    <col min="7947" max="7947" width="24.33203125" style="57" customWidth="1"/>
    <col min="7948" max="7948" width="14.5" style="57" customWidth="1"/>
    <col min="7949" max="8194" width="11.5" style="57" customWidth="1"/>
    <col min="8195" max="8195" width="47.83203125" style="57" customWidth="1"/>
    <col min="8196" max="8196" width="22.5" style="57" customWidth="1"/>
    <col min="8197" max="8197" width="22.6640625" style="57" customWidth="1"/>
    <col min="8198" max="8198" width="18" style="57" customWidth="1"/>
    <col min="8199" max="8199" width="29.1640625" style="57" bestFit="1" customWidth="1"/>
    <col min="8200" max="8200" width="20" style="57" customWidth="1"/>
    <col min="8201" max="8201" width="11.5" style="57" customWidth="1"/>
    <col min="8202" max="8202" width="37.33203125" style="57" customWidth="1"/>
    <col min="8203" max="8203" width="24.33203125" style="57" customWidth="1"/>
    <col min="8204" max="8204" width="14.5" style="57" customWidth="1"/>
    <col min="8205" max="8450" width="11.5" style="57" customWidth="1"/>
    <col min="8451" max="8451" width="47.83203125" style="57" customWidth="1"/>
    <col min="8452" max="8452" width="22.5" style="57" customWidth="1"/>
    <col min="8453" max="8453" width="22.6640625" style="57" customWidth="1"/>
    <col min="8454" max="8454" width="18" style="57" customWidth="1"/>
    <col min="8455" max="8455" width="29.1640625" style="57" bestFit="1" customWidth="1"/>
    <col min="8456" max="8456" width="20" style="57" customWidth="1"/>
    <col min="8457" max="8457" width="11.5" style="57" customWidth="1"/>
    <col min="8458" max="8458" width="37.33203125" style="57" customWidth="1"/>
    <col min="8459" max="8459" width="24.33203125" style="57" customWidth="1"/>
    <col min="8460" max="8460" width="14.5" style="57" customWidth="1"/>
    <col min="8461" max="8706" width="11.5" style="57" customWidth="1"/>
    <col min="8707" max="8707" width="47.83203125" style="57" customWidth="1"/>
    <col min="8708" max="8708" width="22.5" style="57" customWidth="1"/>
    <col min="8709" max="8709" width="22.6640625" style="57" customWidth="1"/>
    <col min="8710" max="8710" width="18" style="57" customWidth="1"/>
    <col min="8711" max="8711" width="29.1640625" style="57" bestFit="1" customWidth="1"/>
    <col min="8712" max="8712" width="20" style="57" customWidth="1"/>
    <col min="8713" max="8713" width="11.5" style="57" customWidth="1"/>
    <col min="8714" max="8714" width="37.33203125" style="57" customWidth="1"/>
    <col min="8715" max="8715" width="24.33203125" style="57" customWidth="1"/>
    <col min="8716" max="8716" width="14.5" style="57" customWidth="1"/>
    <col min="8717" max="8962" width="11.5" style="57" customWidth="1"/>
    <col min="8963" max="8963" width="47.83203125" style="57" customWidth="1"/>
    <col min="8964" max="8964" width="22.5" style="57" customWidth="1"/>
    <col min="8965" max="8965" width="22.6640625" style="57" customWidth="1"/>
    <col min="8966" max="8966" width="18" style="57" customWidth="1"/>
    <col min="8967" max="8967" width="29.1640625" style="57" bestFit="1" customWidth="1"/>
    <col min="8968" max="8968" width="20" style="57" customWidth="1"/>
    <col min="8969" max="8969" width="11.5" style="57" customWidth="1"/>
    <col min="8970" max="8970" width="37.33203125" style="57" customWidth="1"/>
    <col min="8971" max="8971" width="24.33203125" style="57" customWidth="1"/>
    <col min="8972" max="8972" width="14.5" style="57" customWidth="1"/>
    <col min="8973" max="9218" width="11.5" style="57" customWidth="1"/>
    <col min="9219" max="9219" width="47.83203125" style="57" customWidth="1"/>
    <col min="9220" max="9220" width="22.5" style="57" customWidth="1"/>
    <col min="9221" max="9221" width="22.6640625" style="57" customWidth="1"/>
    <col min="9222" max="9222" width="18" style="57" customWidth="1"/>
    <col min="9223" max="9223" width="29.1640625" style="57" bestFit="1" customWidth="1"/>
    <col min="9224" max="9224" width="20" style="57" customWidth="1"/>
    <col min="9225" max="9225" width="11.5" style="57" customWidth="1"/>
    <col min="9226" max="9226" width="37.33203125" style="57" customWidth="1"/>
    <col min="9227" max="9227" width="24.33203125" style="57" customWidth="1"/>
    <col min="9228" max="9228" width="14.5" style="57" customWidth="1"/>
    <col min="9229" max="9474" width="11.5" style="57" customWidth="1"/>
    <col min="9475" max="9475" width="47.83203125" style="57" customWidth="1"/>
    <col min="9476" max="9476" width="22.5" style="57" customWidth="1"/>
    <col min="9477" max="9477" width="22.6640625" style="57" customWidth="1"/>
    <col min="9478" max="9478" width="18" style="57" customWidth="1"/>
    <col min="9479" max="9479" width="29.1640625" style="57" bestFit="1" customWidth="1"/>
    <col min="9480" max="9480" width="20" style="57" customWidth="1"/>
    <col min="9481" max="9481" width="11.5" style="57" customWidth="1"/>
    <col min="9482" max="9482" width="37.33203125" style="57" customWidth="1"/>
    <col min="9483" max="9483" width="24.33203125" style="57" customWidth="1"/>
    <col min="9484" max="9484" width="14.5" style="57" customWidth="1"/>
    <col min="9485" max="9730" width="11.5" style="57" customWidth="1"/>
    <col min="9731" max="9731" width="47.83203125" style="57" customWidth="1"/>
    <col min="9732" max="9732" width="22.5" style="57" customWidth="1"/>
    <col min="9733" max="9733" width="22.6640625" style="57" customWidth="1"/>
    <col min="9734" max="9734" width="18" style="57" customWidth="1"/>
    <col min="9735" max="9735" width="29.1640625" style="57" bestFit="1" customWidth="1"/>
    <col min="9736" max="9736" width="20" style="57" customWidth="1"/>
    <col min="9737" max="9737" width="11.5" style="57" customWidth="1"/>
    <col min="9738" max="9738" width="37.33203125" style="57" customWidth="1"/>
    <col min="9739" max="9739" width="24.33203125" style="57" customWidth="1"/>
    <col min="9740" max="9740" width="14.5" style="57" customWidth="1"/>
    <col min="9741" max="9986" width="11.5" style="57" customWidth="1"/>
    <col min="9987" max="9987" width="47.83203125" style="57" customWidth="1"/>
    <col min="9988" max="9988" width="22.5" style="57" customWidth="1"/>
    <col min="9989" max="9989" width="22.6640625" style="57" customWidth="1"/>
    <col min="9990" max="9990" width="18" style="57" customWidth="1"/>
    <col min="9991" max="9991" width="29.1640625" style="57" bestFit="1" customWidth="1"/>
    <col min="9992" max="9992" width="20" style="57" customWidth="1"/>
    <col min="9993" max="9993" width="11.5" style="57" customWidth="1"/>
    <col min="9994" max="9994" width="37.33203125" style="57" customWidth="1"/>
    <col min="9995" max="9995" width="24.33203125" style="57" customWidth="1"/>
    <col min="9996" max="9996" width="14.5" style="57" customWidth="1"/>
    <col min="9997" max="10242" width="11.5" style="57" customWidth="1"/>
    <col min="10243" max="10243" width="47.83203125" style="57" customWidth="1"/>
    <col min="10244" max="10244" width="22.5" style="57" customWidth="1"/>
    <col min="10245" max="10245" width="22.6640625" style="57" customWidth="1"/>
    <col min="10246" max="10246" width="18" style="57" customWidth="1"/>
    <col min="10247" max="10247" width="29.1640625" style="57" bestFit="1" customWidth="1"/>
    <col min="10248" max="10248" width="20" style="57" customWidth="1"/>
    <col min="10249" max="10249" width="11.5" style="57" customWidth="1"/>
    <col min="10250" max="10250" width="37.33203125" style="57" customWidth="1"/>
    <col min="10251" max="10251" width="24.33203125" style="57" customWidth="1"/>
    <col min="10252" max="10252" width="14.5" style="57" customWidth="1"/>
    <col min="10253" max="10498" width="11.5" style="57" customWidth="1"/>
    <col min="10499" max="10499" width="47.83203125" style="57" customWidth="1"/>
    <col min="10500" max="10500" width="22.5" style="57" customWidth="1"/>
    <col min="10501" max="10501" width="22.6640625" style="57" customWidth="1"/>
    <col min="10502" max="10502" width="18" style="57" customWidth="1"/>
    <col min="10503" max="10503" width="29.1640625" style="57" bestFit="1" customWidth="1"/>
    <col min="10504" max="10504" width="20" style="57" customWidth="1"/>
    <col min="10505" max="10505" width="11.5" style="57" customWidth="1"/>
    <col min="10506" max="10506" width="37.33203125" style="57" customWidth="1"/>
    <col min="10507" max="10507" width="24.33203125" style="57" customWidth="1"/>
    <col min="10508" max="10508" width="14.5" style="57" customWidth="1"/>
    <col min="10509" max="10754" width="11.5" style="57" customWidth="1"/>
    <col min="10755" max="10755" width="47.83203125" style="57" customWidth="1"/>
    <col min="10756" max="10756" width="22.5" style="57" customWidth="1"/>
    <col min="10757" max="10757" width="22.6640625" style="57" customWidth="1"/>
    <col min="10758" max="10758" width="18" style="57" customWidth="1"/>
    <col min="10759" max="10759" width="29.1640625" style="57" bestFit="1" customWidth="1"/>
    <col min="10760" max="10760" width="20" style="57" customWidth="1"/>
    <col min="10761" max="10761" width="11.5" style="57" customWidth="1"/>
    <col min="10762" max="10762" width="37.33203125" style="57" customWidth="1"/>
    <col min="10763" max="10763" width="24.33203125" style="57" customWidth="1"/>
    <col min="10764" max="10764" width="14.5" style="57" customWidth="1"/>
    <col min="10765" max="11010" width="11.5" style="57" customWidth="1"/>
    <col min="11011" max="11011" width="47.83203125" style="57" customWidth="1"/>
    <col min="11012" max="11012" width="22.5" style="57" customWidth="1"/>
    <col min="11013" max="11013" width="22.6640625" style="57" customWidth="1"/>
    <col min="11014" max="11014" width="18" style="57" customWidth="1"/>
    <col min="11015" max="11015" width="29.1640625" style="57" bestFit="1" customWidth="1"/>
    <col min="11016" max="11016" width="20" style="57" customWidth="1"/>
    <col min="11017" max="11017" width="11.5" style="57" customWidth="1"/>
    <col min="11018" max="11018" width="37.33203125" style="57" customWidth="1"/>
    <col min="11019" max="11019" width="24.33203125" style="57" customWidth="1"/>
    <col min="11020" max="11020" width="14.5" style="57" customWidth="1"/>
    <col min="11021" max="11266" width="11.5" style="57" customWidth="1"/>
    <col min="11267" max="11267" width="47.83203125" style="57" customWidth="1"/>
    <col min="11268" max="11268" width="22.5" style="57" customWidth="1"/>
    <col min="11269" max="11269" width="22.6640625" style="57" customWidth="1"/>
    <col min="11270" max="11270" width="18" style="57" customWidth="1"/>
    <col min="11271" max="11271" width="29.1640625" style="57" bestFit="1" customWidth="1"/>
    <col min="11272" max="11272" width="20" style="57" customWidth="1"/>
    <col min="11273" max="11273" width="11.5" style="57" customWidth="1"/>
    <col min="11274" max="11274" width="37.33203125" style="57" customWidth="1"/>
    <col min="11275" max="11275" width="24.33203125" style="57" customWidth="1"/>
    <col min="11276" max="11276" width="14.5" style="57" customWidth="1"/>
    <col min="11277" max="11522" width="11.5" style="57" customWidth="1"/>
    <col min="11523" max="11523" width="47.83203125" style="57" customWidth="1"/>
    <col min="11524" max="11524" width="22.5" style="57" customWidth="1"/>
    <col min="11525" max="11525" width="22.6640625" style="57" customWidth="1"/>
    <col min="11526" max="11526" width="18" style="57" customWidth="1"/>
    <col min="11527" max="11527" width="29.1640625" style="57" bestFit="1" customWidth="1"/>
    <col min="11528" max="11528" width="20" style="57" customWidth="1"/>
    <col min="11529" max="11529" width="11.5" style="57" customWidth="1"/>
    <col min="11530" max="11530" width="37.33203125" style="57" customWidth="1"/>
    <col min="11531" max="11531" width="24.33203125" style="57" customWidth="1"/>
    <col min="11532" max="11532" width="14.5" style="57" customWidth="1"/>
    <col min="11533" max="11778" width="11.5" style="57" customWidth="1"/>
    <col min="11779" max="11779" width="47.83203125" style="57" customWidth="1"/>
    <col min="11780" max="11780" width="22.5" style="57" customWidth="1"/>
    <col min="11781" max="11781" width="22.6640625" style="57" customWidth="1"/>
    <col min="11782" max="11782" width="18" style="57" customWidth="1"/>
    <col min="11783" max="11783" width="29.1640625" style="57" bestFit="1" customWidth="1"/>
    <col min="11784" max="11784" width="20" style="57" customWidth="1"/>
    <col min="11785" max="11785" width="11.5" style="57" customWidth="1"/>
    <col min="11786" max="11786" width="37.33203125" style="57" customWidth="1"/>
    <col min="11787" max="11787" width="24.33203125" style="57" customWidth="1"/>
    <col min="11788" max="11788" width="14.5" style="57" customWidth="1"/>
    <col min="11789" max="12034" width="11.5" style="57" customWidth="1"/>
    <col min="12035" max="12035" width="47.83203125" style="57" customWidth="1"/>
    <col min="12036" max="12036" width="22.5" style="57" customWidth="1"/>
    <col min="12037" max="12037" width="22.6640625" style="57" customWidth="1"/>
    <col min="12038" max="12038" width="18" style="57" customWidth="1"/>
    <col min="12039" max="12039" width="29.1640625" style="57" bestFit="1" customWidth="1"/>
    <col min="12040" max="12040" width="20" style="57" customWidth="1"/>
    <col min="12041" max="12041" width="11.5" style="57" customWidth="1"/>
    <col min="12042" max="12042" width="37.33203125" style="57" customWidth="1"/>
    <col min="12043" max="12043" width="24.33203125" style="57" customWidth="1"/>
    <col min="12044" max="12044" width="14.5" style="57" customWidth="1"/>
    <col min="12045" max="12290" width="11.5" style="57" customWidth="1"/>
    <col min="12291" max="12291" width="47.83203125" style="57" customWidth="1"/>
    <col min="12292" max="12292" width="22.5" style="57" customWidth="1"/>
    <col min="12293" max="12293" width="22.6640625" style="57" customWidth="1"/>
    <col min="12294" max="12294" width="18" style="57" customWidth="1"/>
    <col min="12295" max="12295" width="29.1640625" style="57" bestFit="1" customWidth="1"/>
    <col min="12296" max="12296" width="20" style="57" customWidth="1"/>
    <col min="12297" max="12297" width="11.5" style="57" customWidth="1"/>
    <col min="12298" max="12298" width="37.33203125" style="57" customWidth="1"/>
    <col min="12299" max="12299" width="24.33203125" style="57" customWidth="1"/>
    <col min="12300" max="12300" width="14.5" style="57" customWidth="1"/>
    <col min="12301" max="12546" width="11.5" style="57" customWidth="1"/>
    <col min="12547" max="12547" width="47.83203125" style="57" customWidth="1"/>
    <col min="12548" max="12548" width="22.5" style="57" customWidth="1"/>
    <col min="12549" max="12549" width="22.6640625" style="57" customWidth="1"/>
    <col min="12550" max="12550" width="18" style="57" customWidth="1"/>
    <col min="12551" max="12551" width="29.1640625" style="57" bestFit="1" customWidth="1"/>
    <col min="12552" max="12552" width="20" style="57" customWidth="1"/>
    <col min="12553" max="12553" width="11.5" style="57" customWidth="1"/>
    <col min="12554" max="12554" width="37.33203125" style="57" customWidth="1"/>
    <col min="12555" max="12555" width="24.33203125" style="57" customWidth="1"/>
    <col min="12556" max="12556" width="14.5" style="57" customWidth="1"/>
    <col min="12557" max="12802" width="11.5" style="57" customWidth="1"/>
    <col min="12803" max="12803" width="47.83203125" style="57" customWidth="1"/>
    <col min="12804" max="12804" width="22.5" style="57" customWidth="1"/>
    <col min="12805" max="12805" width="22.6640625" style="57" customWidth="1"/>
    <col min="12806" max="12806" width="18" style="57" customWidth="1"/>
    <col min="12807" max="12807" width="29.1640625" style="57" bestFit="1" customWidth="1"/>
    <col min="12808" max="12808" width="20" style="57" customWidth="1"/>
    <col min="12809" max="12809" width="11.5" style="57" customWidth="1"/>
    <col min="12810" max="12810" width="37.33203125" style="57" customWidth="1"/>
    <col min="12811" max="12811" width="24.33203125" style="57" customWidth="1"/>
    <col min="12812" max="12812" width="14.5" style="57" customWidth="1"/>
    <col min="12813" max="13058" width="11.5" style="57" customWidth="1"/>
    <col min="13059" max="13059" width="47.83203125" style="57" customWidth="1"/>
    <col min="13060" max="13060" width="22.5" style="57" customWidth="1"/>
    <col min="13061" max="13061" width="22.6640625" style="57" customWidth="1"/>
    <col min="13062" max="13062" width="18" style="57" customWidth="1"/>
    <col min="13063" max="13063" width="29.1640625" style="57" bestFit="1" customWidth="1"/>
    <col min="13064" max="13064" width="20" style="57" customWidth="1"/>
    <col min="13065" max="13065" width="11.5" style="57" customWidth="1"/>
    <col min="13066" max="13066" width="37.33203125" style="57" customWidth="1"/>
    <col min="13067" max="13067" width="24.33203125" style="57" customWidth="1"/>
    <col min="13068" max="13068" width="14.5" style="57" customWidth="1"/>
    <col min="13069" max="13314" width="11.5" style="57" customWidth="1"/>
    <col min="13315" max="13315" width="47.83203125" style="57" customWidth="1"/>
    <col min="13316" max="13316" width="22.5" style="57" customWidth="1"/>
    <col min="13317" max="13317" width="22.6640625" style="57" customWidth="1"/>
    <col min="13318" max="13318" width="18" style="57" customWidth="1"/>
    <col min="13319" max="13319" width="29.1640625" style="57" bestFit="1" customWidth="1"/>
    <col min="13320" max="13320" width="20" style="57" customWidth="1"/>
    <col min="13321" max="13321" width="11.5" style="57" customWidth="1"/>
    <col min="13322" max="13322" width="37.33203125" style="57" customWidth="1"/>
    <col min="13323" max="13323" width="24.33203125" style="57" customWidth="1"/>
    <col min="13324" max="13324" width="14.5" style="57" customWidth="1"/>
    <col min="13325" max="13570" width="11.5" style="57" customWidth="1"/>
    <col min="13571" max="13571" width="47.83203125" style="57" customWidth="1"/>
    <col min="13572" max="13572" width="22.5" style="57" customWidth="1"/>
    <col min="13573" max="13573" width="22.6640625" style="57" customWidth="1"/>
    <col min="13574" max="13574" width="18" style="57" customWidth="1"/>
    <col min="13575" max="13575" width="29.1640625" style="57" bestFit="1" customWidth="1"/>
    <col min="13576" max="13576" width="20" style="57" customWidth="1"/>
    <col min="13577" max="13577" width="11.5" style="57" customWidth="1"/>
    <col min="13578" max="13578" width="37.33203125" style="57" customWidth="1"/>
    <col min="13579" max="13579" width="24.33203125" style="57" customWidth="1"/>
    <col min="13580" max="13580" width="14.5" style="57" customWidth="1"/>
    <col min="13581" max="13826" width="11.5" style="57" customWidth="1"/>
    <col min="13827" max="13827" width="47.83203125" style="57" customWidth="1"/>
    <col min="13828" max="13828" width="22.5" style="57" customWidth="1"/>
    <col min="13829" max="13829" width="22.6640625" style="57" customWidth="1"/>
    <col min="13830" max="13830" width="18" style="57" customWidth="1"/>
    <col min="13831" max="13831" width="29.1640625" style="57" bestFit="1" customWidth="1"/>
    <col min="13832" max="13832" width="20" style="57" customWidth="1"/>
    <col min="13833" max="13833" width="11.5" style="57" customWidth="1"/>
    <col min="13834" max="13834" width="37.33203125" style="57" customWidth="1"/>
    <col min="13835" max="13835" width="24.33203125" style="57" customWidth="1"/>
    <col min="13836" max="13836" width="14.5" style="57" customWidth="1"/>
    <col min="13837" max="14082" width="11.5" style="57" customWidth="1"/>
    <col min="14083" max="14083" width="47.83203125" style="57" customWidth="1"/>
    <col min="14084" max="14084" width="22.5" style="57" customWidth="1"/>
    <col min="14085" max="14085" width="22.6640625" style="57" customWidth="1"/>
    <col min="14086" max="14086" width="18" style="57" customWidth="1"/>
    <col min="14087" max="14087" width="29.1640625" style="57" bestFit="1" customWidth="1"/>
    <col min="14088" max="14088" width="20" style="57" customWidth="1"/>
    <col min="14089" max="14089" width="11.5" style="57" customWidth="1"/>
    <col min="14090" max="14090" width="37.33203125" style="57" customWidth="1"/>
    <col min="14091" max="14091" width="24.33203125" style="57" customWidth="1"/>
    <col min="14092" max="14092" width="14.5" style="57" customWidth="1"/>
    <col min="14093" max="14338" width="11.5" style="57" customWidth="1"/>
    <col min="14339" max="14339" width="47.83203125" style="57" customWidth="1"/>
    <col min="14340" max="14340" width="22.5" style="57" customWidth="1"/>
    <col min="14341" max="14341" width="22.6640625" style="57" customWidth="1"/>
    <col min="14342" max="14342" width="18" style="57" customWidth="1"/>
    <col min="14343" max="14343" width="29.1640625" style="57" bestFit="1" customWidth="1"/>
    <col min="14344" max="14344" width="20" style="57" customWidth="1"/>
    <col min="14345" max="14345" width="11.5" style="57" customWidth="1"/>
    <col min="14346" max="14346" width="37.33203125" style="57" customWidth="1"/>
    <col min="14347" max="14347" width="24.33203125" style="57" customWidth="1"/>
    <col min="14348" max="14348" width="14.5" style="57" customWidth="1"/>
    <col min="14349" max="14594" width="11.5" style="57" customWidth="1"/>
    <col min="14595" max="14595" width="47.83203125" style="57" customWidth="1"/>
    <col min="14596" max="14596" width="22.5" style="57" customWidth="1"/>
    <col min="14597" max="14597" width="22.6640625" style="57" customWidth="1"/>
    <col min="14598" max="14598" width="18" style="57" customWidth="1"/>
    <col min="14599" max="14599" width="29.1640625" style="57" bestFit="1" customWidth="1"/>
    <col min="14600" max="14600" width="20" style="57" customWidth="1"/>
    <col min="14601" max="14601" width="11.5" style="57" customWidth="1"/>
    <col min="14602" max="14602" width="37.33203125" style="57" customWidth="1"/>
    <col min="14603" max="14603" width="24.33203125" style="57" customWidth="1"/>
    <col min="14604" max="14604" width="14.5" style="57" customWidth="1"/>
    <col min="14605" max="14850" width="11.5" style="57" customWidth="1"/>
    <col min="14851" max="14851" width="47.83203125" style="57" customWidth="1"/>
    <col min="14852" max="14852" width="22.5" style="57" customWidth="1"/>
    <col min="14853" max="14853" width="22.6640625" style="57" customWidth="1"/>
    <col min="14854" max="14854" width="18" style="57" customWidth="1"/>
    <col min="14855" max="14855" width="29.1640625" style="57" bestFit="1" customWidth="1"/>
    <col min="14856" max="14856" width="20" style="57" customWidth="1"/>
    <col min="14857" max="14857" width="11.5" style="57" customWidth="1"/>
    <col min="14858" max="14858" width="37.33203125" style="57" customWidth="1"/>
    <col min="14859" max="14859" width="24.33203125" style="57" customWidth="1"/>
    <col min="14860" max="14860" width="14.5" style="57" customWidth="1"/>
    <col min="14861" max="15106" width="11.5" style="57" customWidth="1"/>
    <col min="15107" max="15107" width="47.83203125" style="57" customWidth="1"/>
    <col min="15108" max="15108" width="22.5" style="57" customWidth="1"/>
    <col min="15109" max="15109" width="22.6640625" style="57" customWidth="1"/>
    <col min="15110" max="15110" width="18" style="57" customWidth="1"/>
    <col min="15111" max="15111" width="29.1640625" style="57" bestFit="1" customWidth="1"/>
    <col min="15112" max="15112" width="20" style="57" customWidth="1"/>
    <col min="15113" max="15113" width="11.5" style="57" customWidth="1"/>
    <col min="15114" max="15114" width="37.33203125" style="57" customWidth="1"/>
    <col min="15115" max="15115" width="24.33203125" style="57" customWidth="1"/>
    <col min="15116" max="15116" width="14.5" style="57" customWidth="1"/>
    <col min="15117" max="15362" width="11.5" style="57" customWidth="1"/>
    <col min="15363" max="15363" width="47.83203125" style="57" customWidth="1"/>
    <col min="15364" max="15364" width="22.5" style="57" customWidth="1"/>
    <col min="15365" max="15365" width="22.6640625" style="57" customWidth="1"/>
    <col min="15366" max="15366" width="18" style="57" customWidth="1"/>
    <col min="15367" max="15367" width="29.1640625" style="57" bestFit="1" customWidth="1"/>
    <col min="15368" max="15368" width="20" style="57" customWidth="1"/>
    <col min="15369" max="15369" width="11.5" style="57" customWidth="1"/>
    <col min="15370" max="15370" width="37.33203125" style="57" customWidth="1"/>
    <col min="15371" max="15371" width="24.33203125" style="57" customWidth="1"/>
    <col min="15372" max="15372" width="14.5" style="57" customWidth="1"/>
    <col min="15373" max="15618" width="11.5" style="57" customWidth="1"/>
    <col min="15619" max="15619" width="47.83203125" style="57" customWidth="1"/>
    <col min="15620" max="15620" width="22.5" style="57" customWidth="1"/>
    <col min="15621" max="15621" width="22.6640625" style="57" customWidth="1"/>
    <col min="15622" max="15622" width="18" style="57" customWidth="1"/>
    <col min="15623" max="15623" width="29.1640625" style="57" bestFit="1" customWidth="1"/>
    <col min="15624" max="15624" width="20" style="57" customWidth="1"/>
    <col min="15625" max="15625" width="11.5" style="57" customWidth="1"/>
    <col min="15626" max="15626" width="37.33203125" style="57" customWidth="1"/>
    <col min="15627" max="15627" width="24.33203125" style="57" customWidth="1"/>
    <col min="15628" max="15628" width="14.5" style="57" customWidth="1"/>
    <col min="15629" max="15874" width="11.5" style="57" customWidth="1"/>
    <col min="15875" max="15875" width="47.83203125" style="57" customWidth="1"/>
    <col min="15876" max="15876" width="22.5" style="57" customWidth="1"/>
    <col min="15877" max="15877" width="22.6640625" style="57" customWidth="1"/>
    <col min="15878" max="15878" width="18" style="57" customWidth="1"/>
    <col min="15879" max="15879" width="29.1640625" style="57" bestFit="1" customWidth="1"/>
    <col min="15880" max="15880" width="20" style="57" customWidth="1"/>
    <col min="15881" max="15881" width="11.5" style="57" customWidth="1"/>
    <col min="15882" max="15882" width="37.33203125" style="57" customWidth="1"/>
    <col min="15883" max="15883" width="24.33203125" style="57" customWidth="1"/>
    <col min="15884" max="15884" width="14.5" style="57" customWidth="1"/>
    <col min="15885" max="16130" width="11.5" style="57" customWidth="1"/>
    <col min="16131" max="16131" width="47.83203125" style="57" customWidth="1"/>
    <col min="16132" max="16132" width="22.5" style="57" customWidth="1"/>
    <col min="16133" max="16133" width="22.6640625" style="57" customWidth="1"/>
    <col min="16134" max="16134" width="18" style="57" customWidth="1"/>
    <col min="16135" max="16135" width="29.1640625" style="57" bestFit="1" customWidth="1"/>
    <col min="16136" max="16136" width="20" style="57" customWidth="1"/>
    <col min="16137" max="16137" width="11.5" style="57" customWidth="1"/>
    <col min="16138" max="16138" width="37.33203125" style="57" customWidth="1"/>
    <col min="16139" max="16139" width="24.33203125" style="57" customWidth="1"/>
    <col min="16140" max="16140" width="14.5" style="57" customWidth="1"/>
    <col min="16141" max="16384" width="11.5" style="57" customWidth="1"/>
  </cols>
  <sheetData>
    <row r="4" spans="3:14" ht="13" thickBot="1"/>
    <row r="5" spans="3:14" ht="17">
      <c r="C5" s="58" t="s">
        <v>34</v>
      </c>
      <c r="D5" s="59"/>
      <c r="E5" s="60"/>
      <c r="F5" s="61"/>
      <c r="G5" s="61" t="s">
        <v>35</v>
      </c>
      <c r="H5" s="62"/>
      <c r="I5" s="63"/>
      <c r="J5" s="123" t="s">
        <v>36</v>
      </c>
      <c r="K5" s="123"/>
      <c r="L5" s="62"/>
      <c r="M5" s="63"/>
      <c r="N5" s="63"/>
    </row>
    <row r="6" spans="3:14" ht="39" customHeight="1">
      <c r="C6" s="64" t="s">
        <v>37</v>
      </c>
      <c r="D6" s="65"/>
      <c r="E6" s="66"/>
      <c r="F6" s="61"/>
      <c r="G6" s="61"/>
      <c r="H6" s="62"/>
      <c r="I6" s="63"/>
      <c r="J6" s="67" t="s">
        <v>38</v>
      </c>
      <c r="K6" s="67" t="s">
        <v>39</v>
      </c>
      <c r="L6" s="83"/>
      <c r="M6" s="63"/>
      <c r="N6" s="63"/>
    </row>
    <row r="7" spans="3:14" ht="18" thickBot="1">
      <c r="C7" s="68" t="s">
        <v>40</v>
      </c>
      <c r="D7" s="69"/>
      <c r="E7" s="70"/>
      <c r="F7" s="61"/>
      <c r="G7" s="61" t="s">
        <v>41</v>
      </c>
      <c r="H7" s="62">
        <v>0.12</v>
      </c>
      <c r="I7" s="63"/>
      <c r="J7" s="62">
        <v>170</v>
      </c>
      <c r="K7" s="62">
        <f>PV(H8/12,2,0,-J7,0)</f>
        <v>168.31266552808103</v>
      </c>
      <c r="L7" s="71"/>
      <c r="M7" s="63"/>
      <c r="N7" s="63"/>
    </row>
    <row r="8" spans="3:14" ht="17">
      <c r="C8" s="72"/>
      <c r="D8" s="72"/>
      <c r="E8" s="72"/>
      <c r="F8" s="61"/>
      <c r="G8" s="61" t="s">
        <v>42</v>
      </c>
      <c r="H8" s="62">
        <v>0.06</v>
      </c>
      <c r="I8" s="63"/>
      <c r="J8" s="62" t="s">
        <v>43</v>
      </c>
      <c r="K8" s="62">
        <f>J7-K7</f>
        <v>1.6873344719189731</v>
      </c>
      <c r="M8" s="63"/>
      <c r="N8" s="63"/>
    </row>
    <row r="9" spans="3:14" ht="17">
      <c r="C9" s="65" t="s">
        <v>13</v>
      </c>
      <c r="D9" s="73">
        <f>39000*100*10</f>
        <v>39000000</v>
      </c>
      <c r="E9" s="74"/>
      <c r="F9" s="61"/>
      <c r="G9" s="61" t="s">
        <v>41</v>
      </c>
      <c r="H9" s="62">
        <f>SUM(H7:H8)</f>
        <v>0.18</v>
      </c>
      <c r="I9" s="63"/>
      <c r="J9" s="62" t="s">
        <v>44</v>
      </c>
      <c r="K9" s="62">
        <f>+K8</f>
        <v>1.6873344719189731</v>
      </c>
      <c r="L9" s="62"/>
      <c r="M9" s="63"/>
      <c r="N9" s="63"/>
    </row>
    <row r="10" spans="3:14" ht="17">
      <c r="C10" s="65" t="s">
        <v>45</v>
      </c>
      <c r="D10" s="73">
        <f>20000*100*10</f>
        <v>20000000</v>
      </c>
      <c r="E10" s="74"/>
      <c r="F10" s="61"/>
      <c r="G10" s="61"/>
      <c r="H10" s="63"/>
      <c r="I10" s="63"/>
      <c r="J10" s="63"/>
      <c r="K10" s="63"/>
      <c r="L10" s="63"/>
      <c r="M10" s="63"/>
      <c r="N10" s="63"/>
    </row>
    <row r="11" spans="3:14" ht="17">
      <c r="C11" s="65" t="s">
        <v>46</v>
      </c>
      <c r="D11" s="75"/>
      <c r="E11" s="76">
        <f>D9-D10</f>
        <v>19000000</v>
      </c>
      <c r="F11" s="61"/>
      <c r="G11" s="61" t="s">
        <v>47</v>
      </c>
      <c r="H11" s="63"/>
      <c r="I11" s="63"/>
      <c r="J11" s="61" t="s">
        <v>48</v>
      </c>
      <c r="K11" s="63"/>
      <c r="L11" s="63"/>
      <c r="M11" s="63"/>
      <c r="N11" s="63"/>
    </row>
    <row r="12" spans="3:14" ht="17">
      <c r="C12" s="65" t="s">
        <v>49</v>
      </c>
      <c r="D12" s="73"/>
      <c r="E12" s="74"/>
      <c r="F12" s="61"/>
      <c r="G12" s="61" t="s">
        <v>50</v>
      </c>
      <c r="H12" s="62">
        <v>439</v>
      </c>
      <c r="I12" s="62"/>
      <c r="J12" s="61" t="s">
        <v>50</v>
      </c>
      <c r="K12" s="62">
        <v>439</v>
      </c>
      <c r="L12" s="63"/>
      <c r="M12" s="63"/>
      <c r="N12" s="63"/>
    </row>
    <row r="13" spans="3:14" ht="17">
      <c r="C13" s="65" t="s">
        <v>51</v>
      </c>
      <c r="D13" s="73"/>
      <c r="E13" s="74"/>
      <c r="F13" s="61"/>
      <c r="G13" s="61" t="s">
        <v>1</v>
      </c>
      <c r="H13" s="62">
        <v>65</v>
      </c>
      <c r="I13" s="62"/>
      <c r="J13" s="61" t="s">
        <v>1</v>
      </c>
      <c r="K13" s="62">
        <v>65</v>
      </c>
      <c r="L13" s="63"/>
      <c r="M13" s="63"/>
      <c r="N13" s="63"/>
    </row>
    <row r="14" spans="3:14" ht="17">
      <c r="C14" s="65" t="s">
        <v>52</v>
      </c>
      <c r="D14" s="73">
        <v>3200000</v>
      </c>
      <c r="E14" s="74"/>
      <c r="F14" s="61"/>
      <c r="G14" s="61" t="s">
        <v>53</v>
      </c>
      <c r="H14" s="62">
        <f>(H16+H15)*H17</f>
        <v>20.196000000000002</v>
      </c>
      <c r="I14" s="62"/>
      <c r="J14" s="61" t="s">
        <v>53</v>
      </c>
      <c r="K14" s="62">
        <f>(K16+K15)*K17</f>
        <v>20.196000000000002</v>
      </c>
      <c r="L14" s="63"/>
      <c r="M14" s="63"/>
      <c r="N14" s="63"/>
    </row>
    <row r="15" spans="3:14" ht="17">
      <c r="C15" s="65" t="s">
        <v>54</v>
      </c>
      <c r="D15" s="73">
        <v>200000</v>
      </c>
      <c r="E15" s="76"/>
      <c r="F15" s="61"/>
      <c r="G15" s="61" t="s">
        <v>77</v>
      </c>
      <c r="H15" s="62">
        <v>10.199999999999999</v>
      </c>
      <c r="I15" s="62"/>
      <c r="J15" s="61" t="s">
        <v>55</v>
      </c>
      <c r="K15" s="62">
        <v>10.199999999999999</v>
      </c>
      <c r="L15" s="63"/>
      <c r="M15" s="63"/>
      <c r="N15" s="63"/>
    </row>
    <row r="16" spans="3:14" ht="17">
      <c r="C16" s="65" t="s">
        <v>56</v>
      </c>
      <c r="D16" s="73"/>
      <c r="E16" s="74"/>
      <c r="F16" s="61"/>
      <c r="G16" s="61" t="s">
        <v>57</v>
      </c>
      <c r="H16" s="62">
        <v>102</v>
      </c>
      <c r="I16" s="62"/>
      <c r="J16" s="61" t="s">
        <v>57</v>
      </c>
      <c r="K16" s="62">
        <f>+H16</f>
        <v>102</v>
      </c>
      <c r="L16" s="63"/>
      <c r="M16" s="63"/>
      <c r="N16" s="63"/>
    </row>
    <row r="17" spans="3:14" ht="17">
      <c r="C17" s="65" t="s">
        <v>58</v>
      </c>
      <c r="D17" s="73">
        <v>3000000</v>
      </c>
      <c r="E17" s="74"/>
      <c r="F17" s="61"/>
      <c r="G17" s="61" t="s">
        <v>41</v>
      </c>
      <c r="H17" s="62">
        <f>H9</f>
        <v>0.18</v>
      </c>
      <c r="I17" s="62"/>
      <c r="J17" s="61" t="s">
        <v>41</v>
      </c>
      <c r="K17" s="62">
        <f>H17</f>
        <v>0.18</v>
      </c>
      <c r="L17" s="63"/>
      <c r="M17" s="63"/>
      <c r="N17" s="63"/>
    </row>
    <row r="18" spans="3:14" ht="17">
      <c r="C18" s="65" t="s">
        <v>59</v>
      </c>
      <c r="D18" s="73">
        <v>600000</v>
      </c>
      <c r="E18" s="74"/>
      <c r="F18" s="61"/>
      <c r="G18" s="61" t="s">
        <v>10</v>
      </c>
      <c r="H18" s="62">
        <f>SQRT((2*H12*H13)/(H9*(H16+H15)))</f>
        <v>53.15832099034894</v>
      </c>
      <c r="I18" s="62"/>
      <c r="J18" s="77" t="s">
        <v>60</v>
      </c>
      <c r="K18" s="62">
        <f>K9</f>
        <v>1.6873344719189731</v>
      </c>
      <c r="L18" s="63"/>
      <c r="M18" s="63"/>
      <c r="N18" s="63"/>
    </row>
    <row r="19" spans="3:14" ht="17">
      <c r="C19" s="65" t="s">
        <v>61</v>
      </c>
      <c r="D19" s="73"/>
      <c r="E19" s="74"/>
      <c r="F19" s="61"/>
      <c r="G19" s="82" t="s">
        <v>78</v>
      </c>
      <c r="H19" s="84">
        <v>0.95</v>
      </c>
      <c r="I19" s="62"/>
      <c r="L19" s="63"/>
      <c r="M19" s="87" t="s">
        <v>10</v>
      </c>
      <c r="N19" s="63"/>
    </row>
    <row r="20" spans="3:14" ht="17">
      <c r="C20" s="65" t="s">
        <v>58</v>
      </c>
      <c r="D20" s="73">
        <v>3000000</v>
      </c>
      <c r="E20" s="74"/>
      <c r="F20" s="61"/>
      <c r="G20" s="82" t="s">
        <v>79</v>
      </c>
      <c r="H20" s="82">
        <v>1.6425000000000001</v>
      </c>
      <c r="I20" s="62"/>
      <c r="J20" s="61" t="s">
        <v>10</v>
      </c>
      <c r="K20" s="62">
        <f>SQRT((K14+K18)/K18)</f>
        <v>3.6012739502623488</v>
      </c>
      <c r="L20" s="62">
        <f>SQRT((2*K12*K13)/K14)</f>
        <v>53.15832099034894</v>
      </c>
      <c r="M20" s="62">
        <f>K20*L20</f>
        <v>191.43767662222785</v>
      </c>
      <c r="N20" s="63"/>
    </row>
    <row r="21" spans="3:14" ht="21">
      <c r="C21" s="65" t="s">
        <v>59</v>
      </c>
      <c r="D21" s="73">
        <v>2400000</v>
      </c>
      <c r="E21" s="74"/>
      <c r="F21" s="61" t="s">
        <v>82</v>
      </c>
      <c r="G21" s="85" t="s">
        <v>81</v>
      </c>
      <c r="H21" s="82">
        <v>85.15</v>
      </c>
      <c r="I21" s="62"/>
      <c r="J21" s="77" t="s">
        <v>63</v>
      </c>
      <c r="K21" s="62">
        <f>M20*((K14/(K14+K18)))</f>
        <v>176.67669988884816</v>
      </c>
      <c r="M21" s="63"/>
      <c r="N21" s="63"/>
    </row>
    <row r="22" spans="3:14" ht="21">
      <c r="C22" s="65" t="s">
        <v>64</v>
      </c>
      <c r="D22" s="73">
        <v>6000000</v>
      </c>
      <c r="E22" s="76"/>
      <c r="F22" s="61" t="s">
        <v>83</v>
      </c>
      <c r="G22" s="85" t="s">
        <v>85</v>
      </c>
      <c r="H22" s="82">
        <v>24.58</v>
      </c>
      <c r="I22" s="62"/>
      <c r="J22" s="77" t="s">
        <v>66</v>
      </c>
      <c r="K22" s="62">
        <f>M20-K21</f>
        <v>14.760976733379692</v>
      </c>
      <c r="M22" s="63"/>
      <c r="N22" s="63"/>
    </row>
    <row r="23" spans="3:14" ht="17">
      <c r="C23" s="65" t="s">
        <v>67</v>
      </c>
      <c r="D23" s="73"/>
      <c r="E23" s="76">
        <f>SUM(D12:D22)</f>
        <v>18400000</v>
      </c>
      <c r="F23" s="63"/>
      <c r="G23" s="82" t="s">
        <v>80</v>
      </c>
      <c r="H23" s="86">
        <f>+H22*H20</f>
        <v>40.37265</v>
      </c>
      <c r="I23" s="62"/>
      <c r="J23" s="78" t="s">
        <v>62</v>
      </c>
      <c r="L23" s="63"/>
      <c r="M23" s="63"/>
      <c r="N23" s="63"/>
    </row>
    <row r="24" spans="3:14" ht="17">
      <c r="C24" s="65" t="s">
        <v>68</v>
      </c>
      <c r="D24" s="73"/>
      <c r="E24" s="76">
        <f>E11-E23</f>
        <v>600000</v>
      </c>
      <c r="F24" s="63"/>
      <c r="G24" s="62" t="s">
        <v>84</v>
      </c>
      <c r="H24" s="62">
        <f>+H16+H15</f>
        <v>112.2</v>
      </c>
      <c r="I24" s="62"/>
      <c r="J24" s="62" t="s">
        <v>1</v>
      </c>
      <c r="K24" s="62">
        <f>(K12/M20)*K13</f>
        <v>149.05634305366826</v>
      </c>
      <c r="L24" s="63"/>
      <c r="M24" s="63"/>
      <c r="N24" s="63"/>
    </row>
    <row r="25" spans="3:14" ht="17">
      <c r="C25" s="65" t="s">
        <v>69</v>
      </c>
      <c r="D25" s="73"/>
      <c r="E25" s="74"/>
      <c r="F25" s="61"/>
      <c r="G25" s="62"/>
      <c r="H25" s="62"/>
      <c r="I25" s="62"/>
      <c r="J25" s="62" t="s">
        <v>2</v>
      </c>
      <c r="K25" s="62">
        <f>L25*K14/(2*M20)</f>
        <v>11.493125337702672</v>
      </c>
      <c r="L25" s="62">
        <f>POWER(M20-K21,2)</f>
        <v>217.8864341233766</v>
      </c>
      <c r="M25" s="63"/>
      <c r="N25" s="63"/>
    </row>
    <row r="26" spans="3:14" ht="17">
      <c r="C26" s="65" t="s">
        <v>70</v>
      </c>
      <c r="D26" s="73">
        <v>120000</v>
      </c>
      <c r="E26" s="80"/>
      <c r="F26" s="61"/>
      <c r="G26" s="78" t="s">
        <v>62</v>
      </c>
      <c r="I26" s="62"/>
      <c r="J26" s="81" t="s">
        <v>60</v>
      </c>
      <c r="K26" s="62">
        <f>L26*K18/(2*M20)</f>
        <v>137.56321771596558</v>
      </c>
      <c r="L26" s="62">
        <f>POWER(K21,2)</f>
        <v>31214.65628361412</v>
      </c>
      <c r="M26" s="63"/>
      <c r="N26" s="63"/>
    </row>
    <row r="27" spans="3:14" ht="18" thickBot="1">
      <c r="C27" s="65" t="s">
        <v>71</v>
      </c>
      <c r="D27" s="73">
        <v>750000</v>
      </c>
      <c r="E27" s="76"/>
      <c r="F27" s="63"/>
      <c r="G27" s="62" t="s">
        <v>1</v>
      </c>
      <c r="H27" s="62">
        <f>(H12/H18)*H13</f>
        <v>536.79272536054361</v>
      </c>
      <c r="I27" s="62"/>
      <c r="J27" s="62" t="s">
        <v>65</v>
      </c>
      <c r="K27" s="62">
        <f>K12*(K16+K15)</f>
        <v>49255.8</v>
      </c>
      <c r="M27" s="63"/>
      <c r="N27" s="63"/>
    </row>
    <row r="28" spans="3:14" ht="18" thickBot="1">
      <c r="C28" s="65" t="s">
        <v>72</v>
      </c>
      <c r="D28" s="73"/>
      <c r="E28" s="76">
        <f>E24+D26</f>
        <v>720000</v>
      </c>
      <c r="F28" s="63"/>
      <c r="G28" s="62" t="s">
        <v>2</v>
      </c>
      <c r="H28" s="62">
        <f>+((H18/2)+H23)*H24*H17</f>
        <v>1352.1587647605436</v>
      </c>
      <c r="I28" s="62"/>
      <c r="J28" s="62" t="s">
        <v>55</v>
      </c>
      <c r="K28" s="79">
        <f>SUM(K24:K27)</f>
        <v>49553.912686107338</v>
      </c>
      <c r="L28" s="63"/>
      <c r="M28" s="63"/>
      <c r="N28" s="63"/>
    </row>
    <row r="29" spans="3:14" ht="18" thickBot="1">
      <c r="C29" s="65" t="s">
        <v>73</v>
      </c>
      <c r="D29" s="73"/>
      <c r="E29" s="76">
        <f>E28*0.3</f>
        <v>216000</v>
      </c>
      <c r="F29" s="63"/>
      <c r="G29" s="62" t="s">
        <v>65</v>
      </c>
      <c r="H29" s="62">
        <f>H12*(H16+H15)</f>
        <v>49255.8</v>
      </c>
      <c r="I29" s="62"/>
      <c r="J29" s="62"/>
      <c r="K29" s="110" t="s">
        <v>107</v>
      </c>
      <c r="L29" s="63"/>
      <c r="M29" s="63"/>
      <c r="N29" s="63"/>
    </row>
    <row r="30" spans="3:14" ht="18" thickBot="1">
      <c r="C30" s="65" t="s">
        <v>74</v>
      </c>
      <c r="D30" s="73"/>
      <c r="E30" s="74">
        <f>E28-E29</f>
        <v>504000</v>
      </c>
      <c r="F30" s="61"/>
      <c r="G30" s="62" t="s">
        <v>55</v>
      </c>
      <c r="H30" s="79">
        <f>SUM(H27:H29)</f>
        <v>51144.751490121089</v>
      </c>
      <c r="I30" s="62"/>
      <c r="J30" s="62"/>
      <c r="K30" s="62"/>
      <c r="L30" s="63"/>
      <c r="M30" s="63"/>
      <c r="N30" s="63"/>
    </row>
    <row r="31" spans="3:14" ht="17">
      <c r="C31" s="65" t="s">
        <v>75</v>
      </c>
      <c r="D31" s="73">
        <v>0</v>
      </c>
      <c r="E31" s="65"/>
      <c r="F31" s="61"/>
      <c r="G31" s="62"/>
      <c r="H31" s="110" t="s">
        <v>107</v>
      </c>
      <c r="I31" s="62"/>
      <c r="J31" s="62"/>
      <c r="K31" s="62"/>
      <c r="L31" s="63"/>
      <c r="M31" s="63"/>
      <c r="N31" s="63"/>
    </row>
    <row r="32" spans="3:14" ht="17">
      <c r="C32" s="65" t="s">
        <v>76</v>
      </c>
      <c r="D32" s="73"/>
      <c r="E32" s="74">
        <f>E30</f>
        <v>504000</v>
      </c>
      <c r="F32" s="61"/>
      <c r="G32" s="110" t="s">
        <v>108</v>
      </c>
      <c r="H32" s="110" t="s">
        <v>92</v>
      </c>
      <c r="I32" s="62"/>
      <c r="J32" s="62"/>
      <c r="K32" s="62"/>
      <c r="L32" s="63"/>
      <c r="M32" s="63"/>
      <c r="N32" s="63"/>
    </row>
    <row r="33" spans="3:14" ht="17">
      <c r="C33" s="82"/>
      <c r="D33" s="82"/>
      <c r="E33" s="82"/>
      <c r="F33" s="61"/>
      <c r="G33" s="62"/>
      <c r="H33" s="62"/>
      <c r="I33" s="62"/>
      <c r="J33" s="62"/>
      <c r="K33" s="62"/>
      <c r="L33" s="63"/>
      <c r="M33" s="63"/>
      <c r="N33" s="63"/>
    </row>
    <row r="34" spans="3:14" ht="17">
      <c r="C34" s="82"/>
      <c r="D34" s="82"/>
      <c r="E34" s="82"/>
      <c r="F34" s="61"/>
      <c r="G34" s="62"/>
      <c r="H34" s="111">
        <f>H28+H27</f>
        <v>1888.9514901210873</v>
      </c>
      <c r="I34" s="62"/>
      <c r="J34" s="62"/>
      <c r="K34" s="111">
        <f>K24+K25+K26</f>
        <v>298.11268610733651</v>
      </c>
      <c r="L34" s="63"/>
      <c r="M34" s="63"/>
      <c r="N34" s="63"/>
    </row>
    <row r="35" spans="3:14" ht="17">
      <c r="C35" s="82"/>
      <c r="D35" s="82"/>
      <c r="E35" s="82"/>
      <c r="F35" s="61"/>
      <c r="G35" s="61"/>
      <c r="H35" s="62"/>
      <c r="I35" s="62"/>
      <c r="J35" s="62"/>
      <c r="K35" s="62"/>
      <c r="L35" s="63"/>
      <c r="M35" s="63"/>
      <c r="N35" s="63"/>
    </row>
    <row r="36" spans="3:14" ht="17">
      <c r="C36" s="82"/>
      <c r="D36" s="82"/>
      <c r="E36" s="82"/>
      <c r="F36" s="61"/>
      <c r="G36" s="61"/>
      <c r="H36" s="62"/>
      <c r="I36" s="62"/>
      <c r="J36" s="62"/>
      <c r="K36" s="62"/>
      <c r="L36" s="63"/>
      <c r="M36" s="63"/>
      <c r="N36" s="63"/>
    </row>
    <row r="37" spans="3:14" ht="17">
      <c r="C37" s="82"/>
      <c r="D37" s="82"/>
      <c r="E37" s="82"/>
      <c r="F37" s="61"/>
      <c r="G37" s="61"/>
      <c r="H37" s="62"/>
      <c r="I37" s="62"/>
      <c r="J37" s="62"/>
      <c r="K37" s="62"/>
      <c r="L37" s="63"/>
      <c r="M37" s="63"/>
      <c r="N37" s="63"/>
    </row>
    <row r="38" spans="3:14" ht="17">
      <c r="C38" s="82"/>
      <c r="D38" s="82"/>
      <c r="E38" s="82"/>
      <c r="F38" s="61"/>
      <c r="G38" s="61"/>
      <c r="H38" s="63"/>
      <c r="I38" s="63"/>
      <c r="J38" s="63"/>
      <c r="K38" s="63"/>
      <c r="L38" s="63"/>
      <c r="M38" s="63"/>
      <c r="N38" s="63"/>
    </row>
    <row r="39" spans="3:14" ht="17">
      <c r="C39" s="82"/>
      <c r="D39" s="82"/>
      <c r="E39" s="82"/>
      <c r="F39" s="61"/>
      <c r="G39" s="61"/>
      <c r="H39" s="63"/>
      <c r="I39" s="63"/>
      <c r="J39" s="63"/>
      <c r="K39" s="63"/>
      <c r="L39" s="63"/>
      <c r="M39" s="63"/>
      <c r="N39" s="63"/>
    </row>
    <row r="40" spans="3:14" ht="17">
      <c r="C40" s="82"/>
      <c r="D40" s="82"/>
      <c r="E40" s="82"/>
      <c r="F40" s="61"/>
      <c r="G40" s="61"/>
      <c r="H40" s="63"/>
      <c r="I40" s="63"/>
      <c r="J40" s="63"/>
      <c r="K40" s="63"/>
      <c r="L40" s="63"/>
      <c r="M40" s="63"/>
      <c r="N40" s="63"/>
    </row>
    <row r="41" spans="3:14" ht="17">
      <c r="C41" s="82"/>
      <c r="D41" s="82"/>
      <c r="E41" s="82"/>
      <c r="F41" s="61"/>
      <c r="G41" s="61"/>
      <c r="H41" s="63"/>
      <c r="I41" s="63"/>
      <c r="J41" s="63"/>
      <c r="K41" s="63"/>
      <c r="L41" s="63"/>
      <c r="M41" s="63"/>
      <c r="N41" s="63"/>
    </row>
    <row r="42" spans="3:14" ht="17">
      <c r="C42" s="82"/>
      <c r="D42" s="82"/>
      <c r="E42" s="82"/>
      <c r="F42" s="61"/>
      <c r="G42" s="61"/>
      <c r="H42" s="63"/>
      <c r="I42" s="63"/>
      <c r="J42" s="63"/>
      <c r="K42" s="63"/>
      <c r="L42" s="63"/>
      <c r="M42" s="63"/>
      <c r="N42" s="63"/>
    </row>
    <row r="43" spans="3:14" ht="17">
      <c r="C43" s="82"/>
      <c r="D43" s="82"/>
      <c r="E43" s="82"/>
      <c r="F43" s="61"/>
      <c r="G43" s="61"/>
      <c r="H43" s="63"/>
      <c r="I43" s="63"/>
      <c r="J43" s="63"/>
      <c r="K43" s="63"/>
      <c r="L43" s="63"/>
      <c r="M43" s="63"/>
      <c r="N43" s="63"/>
    </row>
    <row r="44" spans="3:14" ht="17">
      <c r="C44" s="82"/>
      <c r="D44" s="82"/>
      <c r="E44" s="82"/>
      <c r="F44" s="61"/>
      <c r="G44" s="61"/>
      <c r="H44" s="63"/>
      <c r="I44" s="63"/>
      <c r="J44" s="63"/>
      <c r="K44" s="63"/>
      <c r="L44" s="63"/>
      <c r="M44" s="63"/>
      <c r="N44" s="63"/>
    </row>
    <row r="45" spans="3:14" ht="17">
      <c r="C45" s="82"/>
      <c r="D45" s="82"/>
      <c r="E45" s="82"/>
      <c r="F45" s="61"/>
      <c r="G45" s="61"/>
      <c r="H45" s="63"/>
      <c r="I45" s="63"/>
      <c r="J45" s="63"/>
      <c r="K45" s="63"/>
      <c r="L45" s="63"/>
      <c r="M45" s="63"/>
      <c r="N45" s="63"/>
    </row>
    <row r="46" spans="3:14" ht="17">
      <c r="C46" s="82"/>
      <c r="D46" s="82"/>
      <c r="E46" s="82"/>
      <c r="F46" s="61"/>
      <c r="G46" s="61"/>
      <c r="H46" s="63"/>
      <c r="I46" s="63"/>
      <c r="J46" s="63"/>
      <c r="K46" s="63"/>
      <c r="L46" s="63"/>
      <c r="M46" s="63"/>
      <c r="N46" s="63"/>
    </row>
    <row r="47" spans="3:14" ht="17">
      <c r="C47" s="82"/>
      <c r="D47" s="82"/>
      <c r="E47" s="82"/>
      <c r="F47" s="61"/>
      <c r="G47" s="61"/>
      <c r="H47" s="63"/>
      <c r="I47" s="63"/>
      <c r="J47" s="63"/>
      <c r="K47" s="63"/>
      <c r="L47" s="63"/>
      <c r="M47" s="63"/>
      <c r="N47" s="63"/>
    </row>
    <row r="48" spans="3:14" ht="17">
      <c r="C48" s="82"/>
      <c r="D48" s="82"/>
      <c r="E48" s="82"/>
      <c r="F48" s="61"/>
      <c r="G48" s="61"/>
      <c r="H48" s="63"/>
      <c r="I48" s="63"/>
      <c r="J48" s="63"/>
      <c r="K48" s="63"/>
      <c r="L48" s="63"/>
      <c r="M48" s="63"/>
      <c r="N48" s="63"/>
    </row>
    <row r="49" spans="3:14" ht="17">
      <c r="C49" s="82"/>
      <c r="D49" s="82"/>
      <c r="E49" s="82"/>
      <c r="F49" s="61"/>
      <c r="G49" s="61"/>
      <c r="H49" s="63"/>
      <c r="I49" s="63"/>
      <c r="J49" s="63"/>
      <c r="K49" s="63"/>
      <c r="L49" s="63"/>
      <c r="M49" s="63"/>
      <c r="N49" s="63"/>
    </row>
    <row r="50" spans="3:14" ht="17">
      <c r="C50" s="82"/>
      <c r="D50" s="82"/>
      <c r="E50" s="82"/>
      <c r="F50" s="61"/>
      <c r="G50" s="61"/>
      <c r="H50" s="63"/>
      <c r="I50" s="63"/>
      <c r="J50" s="63"/>
      <c r="K50" s="63"/>
      <c r="L50" s="63"/>
      <c r="M50" s="63"/>
      <c r="N50" s="63"/>
    </row>
    <row r="51" spans="3:14" ht="17">
      <c r="C51" s="82"/>
      <c r="D51" s="82"/>
      <c r="E51" s="82"/>
      <c r="F51" s="61"/>
      <c r="G51" s="61"/>
      <c r="H51" s="63"/>
      <c r="I51" s="63"/>
      <c r="J51" s="63"/>
      <c r="K51" s="63"/>
      <c r="L51" s="63"/>
      <c r="M51" s="63"/>
      <c r="N51" s="63"/>
    </row>
    <row r="52" spans="3:14" ht="17">
      <c r="C52" s="82"/>
      <c r="D52" s="82"/>
      <c r="E52" s="82"/>
      <c r="F52" s="61"/>
      <c r="G52" s="61"/>
      <c r="H52" s="63"/>
      <c r="I52" s="63"/>
      <c r="J52" s="63"/>
      <c r="K52" s="63"/>
      <c r="L52" s="63"/>
      <c r="M52" s="63"/>
      <c r="N52" s="63"/>
    </row>
    <row r="53" spans="3:14" ht="17">
      <c r="C53" s="82"/>
      <c r="D53" s="82"/>
      <c r="E53" s="82"/>
      <c r="F53" s="61"/>
      <c r="G53" s="61"/>
      <c r="H53" s="63"/>
      <c r="I53" s="63"/>
      <c r="J53" s="63"/>
      <c r="K53" s="63"/>
      <c r="L53" s="63"/>
      <c r="M53" s="63"/>
      <c r="N53" s="63"/>
    </row>
    <row r="54" spans="3:14" ht="17">
      <c r="C54" s="82"/>
      <c r="D54" s="82"/>
      <c r="E54" s="82"/>
      <c r="F54" s="61"/>
      <c r="G54" s="61"/>
      <c r="H54" s="63"/>
      <c r="I54" s="63"/>
      <c r="J54" s="63"/>
      <c r="K54" s="63"/>
      <c r="L54" s="63"/>
      <c r="M54" s="63"/>
      <c r="N54" s="63"/>
    </row>
    <row r="55" spans="3:14" ht="17">
      <c r="C55" s="82"/>
      <c r="D55" s="82"/>
      <c r="E55" s="82"/>
      <c r="F55" s="61"/>
      <c r="G55" s="61"/>
      <c r="H55" s="63"/>
      <c r="I55" s="63"/>
      <c r="J55" s="63"/>
      <c r="K55" s="63"/>
      <c r="L55" s="63"/>
      <c r="M55" s="63"/>
      <c r="N55" s="63"/>
    </row>
    <row r="56" spans="3:14" ht="17">
      <c r="C56" s="82"/>
      <c r="D56" s="82"/>
      <c r="E56" s="82"/>
      <c r="F56" s="61"/>
      <c r="G56" s="61"/>
      <c r="H56" s="63"/>
      <c r="I56" s="63"/>
      <c r="J56" s="63"/>
      <c r="K56" s="63"/>
      <c r="L56" s="63"/>
      <c r="M56" s="63"/>
      <c r="N56" s="63"/>
    </row>
    <row r="57" spans="3:14" ht="17">
      <c r="C57" s="82"/>
      <c r="D57" s="82"/>
      <c r="E57" s="82"/>
      <c r="F57" s="61"/>
      <c r="G57" s="61"/>
      <c r="H57" s="63"/>
      <c r="I57" s="63"/>
      <c r="J57" s="63"/>
      <c r="K57" s="63"/>
      <c r="L57" s="63"/>
      <c r="M57" s="63"/>
      <c r="N57" s="63"/>
    </row>
    <row r="58" spans="3:14" ht="17">
      <c r="C58" s="82"/>
      <c r="D58" s="82"/>
      <c r="E58" s="82"/>
      <c r="F58" s="61"/>
      <c r="G58" s="61"/>
      <c r="H58" s="63"/>
      <c r="I58" s="63"/>
      <c r="J58" s="63"/>
      <c r="K58" s="63"/>
      <c r="L58" s="63"/>
      <c r="M58" s="63"/>
      <c r="N58" s="63"/>
    </row>
    <row r="59" spans="3:14" ht="17">
      <c r="C59" s="82"/>
      <c r="D59" s="82"/>
      <c r="E59" s="82"/>
      <c r="F59" s="61"/>
      <c r="G59" s="61"/>
      <c r="H59" s="63"/>
      <c r="I59" s="63"/>
      <c r="J59" s="63"/>
      <c r="K59" s="63"/>
      <c r="L59" s="63"/>
      <c r="M59" s="63"/>
      <c r="N59" s="63"/>
    </row>
    <row r="60" spans="3:14" ht="17">
      <c r="C60" s="82"/>
      <c r="D60" s="82"/>
      <c r="E60" s="82"/>
      <c r="F60" s="61"/>
      <c r="G60" s="61"/>
      <c r="H60" s="63"/>
      <c r="I60" s="63"/>
      <c r="J60" s="63"/>
      <c r="K60" s="63"/>
      <c r="L60" s="63"/>
      <c r="M60" s="63"/>
      <c r="N60" s="63"/>
    </row>
    <row r="61" spans="3:14" ht="17">
      <c r="C61" s="82"/>
      <c r="D61" s="82"/>
      <c r="E61" s="82"/>
      <c r="F61" s="61"/>
      <c r="G61" s="61"/>
      <c r="H61" s="63"/>
      <c r="I61" s="63"/>
      <c r="J61" s="63"/>
      <c r="K61" s="63"/>
      <c r="L61" s="63"/>
      <c r="M61" s="63"/>
      <c r="N61" s="63"/>
    </row>
    <row r="62" spans="3:14" ht="17">
      <c r="C62" s="82"/>
      <c r="D62" s="82"/>
      <c r="E62" s="82"/>
      <c r="F62" s="61"/>
      <c r="G62" s="61"/>
      <c r="H62" s="63"/>
      <c r="I62" s="63"/>
      <c r="J62" s="63"/>
      <c r="K62" s="63"/>
      <c r="L62" s="63"/>
      <c r="M62" s="63"/>
      <c r="N62" s="63"/>
    </row>
    <row r="63" spans="3:14" ht="17">
      <c r="C63" s="82"/>
      <c r="D63" s="82"/>
      <c r="E63" s="82"/>
      <c r="F63" s="61"/>
      <c r="G63" s="61"/>
      <c r="H63" s="63"/>
      <c r="I63" s="63"/>
      <c r="J63" s="63"/>
      <c r="K63" s="63"/>
      <c r="L63" s="63"/>
      <c r="M63" s="63"/>
      <c r="N63" s="63"/>
    </row>
    <row r="64" spans="3:14">
      <c r="F64" s="63"/>
      <c r="G64" s="63"/>
      <c r="H64" s="63"/>
      <c r="I64" s="63"/>
      <c r="J64" s="63"/>
      <c r="K64" s="63"/>
      <c r="L64" s="63"/>
      <c r="M64" s="63"/>
      <c r="N64" s="63"/>
    </row>
    <row r="65" spans="6:14">
      <c r="F65" s="63"/>
      <c r="G65" s="63"/>
      <c r="H65" s="63"/>
      <c r="I65" s="63"/>
      <c r="J65" s="63"/>
      <c r="K65" s="63"/>
      <c r="L65" s="63"/>
      <c r="M65" s="63"/>
      <c r="N65" s="63"/>
    </row>
    <row r="66" spans="6:14">
      <c r="F66" s="63"/>
      <c r="G66" s="63"/>
      <c r="H66" s="63"/>
      <c r="I66" s="63"/>
      <c r="J66" s="63"/>
      <c r="K66" s="63"/>
      <c r="L66" s="63"/>
      <c r="M66" s="63"/>
      <c r="N66" s="63"/>
    </row>
    <row r="67" spans="6:14">
      <c r="F67" s="63"/>
      <c r="G67" s="63"/>
      <c r="H67" s="63"/>
      <c r="I67" s="63"/>
      <c r="J67" s="63"/>
      <c r="K67" s="63"/>
      <c r="L67" s="63"/>
      <c r="M67" s="63"/>
      <c r="N67" s="63"/>
    </row>
    <row r="68" spans="6:14">
      <c r="F68" s="63"/>
      <c r="G68" s="63"/>
      <c r="H68" s="63"/>
      <c r="I68" s="63"/>
      <c r="J68" s="63"/>
      <c r="K68" s="63"/>
      <c r="L68" s="63"/>
      <c r="M68" s="63"/>
      <c r="N68" s="63"/>
    </row>
    <row r="69" spans="6:14">
      <c r="F69" s="63"/>
      <c r="G69" s="63"/>
      <c r="H69" s="63"/>
      <c r="I69" s="63"/>
      <c r="J69" s="63"/>
      <c r="K69" s="63"/>
      <c r="L69" s="63"/>
      <c r="M69" s="63"/>
      <c r="N69" s="63"/>
    </row>
    <row r="70" spans="6:14">
      <c r="F70" s="63"/>
      <c r="G70" s="63"/>
      <c r="H70" s="63"/>
      <c r="I70" s="63"/>
      <c r="J70" s="63"/>
      <c r="K70" s="63"/>
      <c r="L70" s="63"/>
      <c r="M70" s="63"/>
      <c r="N70" s="63"/>
    </row>
    <row r="71" spans="6:14">
      <c r="F71" s="63"/>
      <c r="G71" s="63"/>
      <c r="H71" s="63"/>
      <c r="I71" s="63"/>
      <c r="J71" s="63"/>
      <c r="K71" s="63"/>
      <c r="L71" s="63"/>
      <c r="M71" s="63"/>
      <c r="N71" s="63"/>
    </row>
    <row r="72" spans="6:14">
      <c r="F72" s="63"/>
      <c r="G72" s="63"/>
      <c r="H72" s="63"/>
      <c r="I72" s="63"/>
      <c r="J72" s="63"/>
      <c r="K72" s="63"/>
      <c r="L72" s="63"/>
      <c r="M72" s="63"/>
      <c r="N72" s="63"/>
    </row>
    <row r="73" spans="6:14">
      <c r="F73" s="63"/>
      <c r="G73" s="63"/>
      <c r="H73" s="63"/>
      <c r="I73" s="63"/>
      <c r="J73" s="63"/>
      <c r="K73" s="63"/>
      <c r="L73" s="63"/>
      <c r="M73" s="63"/>
      <c r="N73" s="63"/>
    </row>
    <row r="74" spans="6:14">
      <c r="F74" s="63"/>
      <c r="G74" s="63"/>
      <c r="H74" s="63"/>
      <c r="I74" s="63"/>
      <c r="J74" s="63"/>
      <c r="K74" s="63"/>
      <c r="L74" s="63"/>
      <c r="M74" s="63"/>
      <c r="N74" s="63"/>
    </row>
    <row r="75" spans="6:14">
      <c r="F75" s="63"/>
      <c r="G75" s="63"/>
      <c r="H75" s="63"/>
      <c r="I75" s="63"/>
      <c r="J75" s="63"/>
      <c r="K75" s="63"/>
      <c r="L75" s="63"/>
      <c r="M75" s="63"/>
      <c r="N75" s="63"/>
    </row>
    <row r="76" spans="6:14">
      <c r="F76" s="63"/>
      <c r="G76" s="63"/>
      <c r="H76" s="63"/>
      <c r="I76" s="63"/>
      <c r="J76" s="63"/>
      <c r="K76" s="63"/>
      <c r="L76" s="63"/>
      <c r="M76" s="63"/>
      <c r="N76" s="63"/>
    </row>
    <row r="77" spans="6:14">
      <c r="F77" s="63"/>
      <c r="G77" s="63"/>
      <c r="H77" s="63"/>
      <c r="I77" s="63"/>
      <c r="J77" s="63"/>
      <c r="K77" s="63"/>
      <c r="L77" s="63"/>
      <c r="M77" s="63"/>
      <c r="N77" s="63"/>
    </row>
    <row r="78" spans="6:14">
      <c r="F78" s="63"/>
      <c r="G78" s="63"/>
      <c r="H78" s="63"/>
      <c r="I78" s="63"/>
      <c r="J78" s="63"/>
      <c r="K78" s="63"/>
      <c r="L78" s="63"/>
      <c r="M78" s="63"/>
      <c r="N78" s="63"/>
    </row>
    <row r="79" spans="6:14">
      <c r="F79" s="63"/>
      <c r="G79" s="63"/>
      <c r="H79" s="63"/>
      <c r="I79" s="63"/>
      <c r="J79" s="63"/>
      <c r="K79" s="63"/>
      <c r="L79" s="63"/>
      <c r="M79" s="63"/>
      <c r="N79" s="63"/>
    </row>
    <row r="80" spans="6:14">
      <c r="F80" s="63"/>
      <c r="G80" s="63"/>
      <c r="H80" s="63"/>
      <c r="I80" s="63"/>
      <c r="J80" s="63"/>
      <c r="K80" s="63"/>
      <c r="L80" s="63"/>
      <c r="M80" s="63"/>
      <c r="N80" s="63"/>
    </row>
    <row r="81" spans="6:14">
      <c r="F81" s="63"/>
      <c r="G81" s="63"/>
      <c r="H81" s="63"/>
      <c r="I81" s="63"/>
      <c r="J81" s="63"/>
      <c r="K81" s="63"/>
      <c r="L81" s="63"/>
      <c r="M81" s="63"/>
      <c r="N81" s="63"/>
    </row>
    <row r="82" spans="6:14">
      <c r="F82" s="63"/>
      <c r="G82" s="63"/>
      <c r="H82" s="63"/>
      <c r="I82" s="63"/>
      <c r="J82" s="63"/>
      <c r="K82" s="63"/>
      <c r="L82" s="63"/>
      <c r="M82" s="63"/>
      <c r="N82" s="63"/>
    </row>
    <row r="83" spans="6:14">
      <c r="F83" s="63"/>
      <c r="G83" s="63"/>
      <c r="H83" s="63"/>
      <c r="I83" s="63"/>
      <c r="J83" s="63"/>
      <c r="K83" s="63"/>
      <c r="L83" s="63"/>
      <c r="M83" s="63"/>
      <c r="N83" s="63"/>
    </row>
    <row r="84" spans="6:14">
      <c r="F84" s="63"/>
      <c r="G84" s="63"/>
      <c r="H84" s="63"/>
      <c r="I84" s="63"/>
      <c r="J84" s="63"/>
      <c r="K84" s="63"/>
      <c r="L84" s="63"/>
      <c r="M84" s="63"/>
      <c r="N84" s="63"/>
    </row>
    <row r="85" spans="6:14">
      <c r="F85" s="63"/>
      <c r="G85" s="63"/>
      <c r="H85" s="63"/>
      <c r="I85" s="63"/>
      <c r="J85" s="63"/>
      <c r="K85" s="63"/>
      <c r="L85" s="63"/>
      <c r="M85" s="63"/>
      <c r="N85" s="63"/>
    </row>
    <row r="86" spans="6:14">
      <c r="F86" s="63"/>
      <c r="G86" s="63"/>
      <c r="H86" s="63"/>
      <c r="I86" s="63"/>
      <c r="J86" s="63"/>
      <c r="K86" s="63"/>
      <c r="L86" s="63"/>
      <c r="M86" s="63"/>
      <c r="N86" s="63"/>
    </row>
    <row r="87" spans="6:14">
      <c r="F87" s="63"/>
      <c r="G87" s="63"/>
      <c r="H87" s="63"/>
      <c r="I87" s="63"/>
      <c r="J87" s="63"/>
      <c r="K87" s="63"/>
      <c r="L87" s="63"/>
      <c r="M87" s="63"/>
      <c r="N87" s="63"/>
    </row>
    <row r="88" spans="6:14">
      <c r="F88" s="63"/>
      <c r="G88" s="63"/>
      <c r="H88" s="63"/>
      <c r="I88" s="63"/>
      <c r="J88" s="63"/>
      <c r="K88" s="63"/>
      <c r="L88" s="63"/>
      <c r="M88" s="63"/>
      <c r="N88" s="63"/>
    </row>
    <row r="89" spans="6:14">
      <c r="F89" s="63"/>
      <c r="G89" s="63"/>
      <c r="H89" s="63"/>
      <c r="I89" s="63"/>
      <c r="J89" s="63"/>
      <c r="K89" s="63"/>
      <c r="L89" s="63"/>
      <c r="M89" s="63"/>
      <c r="N89" s="63"/>
    </row>
    <row r="90" spans="6:14">
      <c r="F90" s="63"/>
      <c r="G90" s="63"/>
      <c r="H90" s="63"/>
      <c r="I90" s="63"/>
      <c r="J90" s="63"/>
      <c r="K90" s="63"/>
      <c r="L90" s="63"/>
      <c r="M90" s="63"/>
      <c r="N90" s="63"/>
    </row>
    <row r="91" spans="6:14">
      <c r="F91" s="63"/>
      <c r="G91" s="63"/>
      <c r="H91" s="63"/>
      <c r="I91" s="63"/>
      <c r="J91" s="63"/>
      <c r="K91" s="63"/>
      <c r="L91" s="63"/>
      <c r="M91" s="63"/>
      <c r="N91" s="63"/>
    </row>
    <row r="92" spans="6:14">
      <c r="F92" s="63"/>
      <c r="G92" s="63"/>
      <c r="H92" s="63"/>
      <c r="I92" s="63"/>
      <c r="J92" s="63"/>
      <c r="K92" s="63"/>
      <c r="L92" s="63"/>
      <c r="M92" s="63"/>
      <c r="N92" s="63"/>
    </row>
    <row r="93" spans="6:14">
      <c r="F93" s="63"/>
      <c r="G93" s="63"/>
      <c r="H93" s="63"/>
      <c r="I93" s="63"/>
      <c r="J93" s="63"/>
      <c r="K93" s="63"/>
      <c r="L93" s="63"/>
      <c r="M93" s="63"/>
      <c r="N93" s="63"/>
    </row>
    <row r="94" spans="6:14">
      <c r="F94" s="63"/>
      <c r="G94" s="63"/>
      <c r="H94" s="63"/>
      <c r="I94" s="63"/>
      <c r="J94" s="63"/>
      <c r="K94" s="63"/>
      <c r="L94" s="63"/>
      <c r="M94" s="63"/>
      <c r="N94" s="63"/>
    </row>
    <row r="95" spans="6:14">
      <c r="F95" s="63"/>
      <c r="G95" s="63"/>
      <c r="H95" s="63"/>
      <c r="I95" s="63"/>
      <c r="J95" s="63"/>
      <c r="K95" s="63"/>
      <c r="L95" s="63"/>
      <c r="M95" s="63"/>
      <c r="N95" s="63"/>
    </row>
    <row r="96" spans="6:14">
      <c r="F96" s="63"/>
      <c r="G96" s="63"/>
      <c r="H96" s="63"/>
      <c r="I96" s="63"/>
      <c r="J96" s="63"/>
      <c r="K96" s="63"/>
      <c r="L96" s="63"/>
      <c r="M96" s="63"/>
      <c r="N96" s="63"/>
    </row>
    <row r="97" spans="6:14">
      <c r="F97" s="63"/>
      <c r="G97" s="63"/>
      <c r="H97" s="63"/>
      <c r="I97" s="63"/>
      <c r="J97" s="63"/>
      <c r="K97" s="63"/>
      <c r="L97" s="63"/>
      <c r="M97" s="63"/>
      <c r="N97" s="63"/>
    </row>
    <row r="98" spans="6:14">
      <c r="F98" s="63"/>
      <c r="G98" s="63"/>
      <c r="H98" s="63"/>
      <c r="I98" s="63"/>
      <c r="J98" s="63"/>
      <c r="K98" s="63"/>
      <c r="L98" s="63"/>
      <c r="M98" s="63"/>
      <c r="N98" s="63"/>
    </row>
    <row r="99" spans="6:14">
      <c r="F99" s="63"/>
      <c r="G99" s="63"/>
      <c r="H99" s="63"/>
      <c r="I99" s="63"/>
      <c r="J99" s="63"/>
      <c r="K99" s="63"/>
      <c r="L99" s="63"/>
      <c r="M99" s="63"/>
      <c r="N99" s="63"/>
    </row>
    <row r="100" spans="6:14">
      <c r="F100" s="63"/>
      <c r="G100" s="63"/>
      <c r="H100" s="63"/>
      <c r="I100" s="63"/>
      <c r="J100" s="63"/>
      <c r="K100" s="63"/>
      <c r="L100" s="63"/>
      <c r="M100" s="63"/>
      <c r="N100" s="63"/>
    </row>
    <row r="101" spans="6:14">
      <c r="F101" s="63"/>
      <c r="G101" s="63"/>
      <c r="H101" s="63"/>
      <c r="I101" s="63"/>
      <c r="J101" s="63"/>
      <c r="K101" s="63"/>
      <c r="L101" s="63"/>
      <c r="M101" s="63"/>
      <c r="N101" s="63"/>
    </row>
    <row r="102" spans="6:14">
      <c r="F102" s="63"/>
      <c r="G102" s="63"/>
      <c r="H102" s="63"/>
      <c r="I102" s="63"/>
      <c r="J102" s="63"/>
      <c r="K102" s="63"/>
      <c r="L102" s="63"/>
      <c r="M102" s="63"/>
      <c r="N102" s="63"/>
    </row>
    <row r="103" spans="6:14">
      <c r="F103" s="63"/>
      <c r="G103" s="63"/>
      <c r="H103" s="63"/>
      <c r="I103" s="63"/>
      <c r="J103" s="63"/>
      <c r="K103" s="63"/>
      <c r="L103" s="63"/>
      <c r="M103" s="63"/>
      <c r="N103" s="63"/>
    </row>
    <row r="104" spans="6:14">
      <c r="F104" s="63"/>
      <c r="G104" s="63"/>
      <c r="H104" s="63"/>
      <c r="I104" s="63"/>
      <c r="J104" s="63"/>
      <c r="K104" s="63"/>
      <c r="L104" s="63"/>
      <c r="M104" s="63"/>
      <c r="N104" s="63"/>
    </row>
    <row r="105" spans="6:14">
      <c r="F105" s="63"/>
      <c r="G105" s="63"/>
      <c r="H105" s="63"/>
      <c r="I105" s="63"/>
      <c r="J105" s="63"/>
      <c r="K105" s="63"/>
      <c r="L105" s="63"/>
      <c r="M105" s="63"/>
      <c r="N105" s="63"/>
    </row>
    <row r="106" spans="6:14">
      <c r="F106" s="63"/>
      <c r="G106" s="63"/>
      <c r="H106" s="63"/>
      <c r="I106" s="63"/>
      <c r="J106" s="63"/>
      <c r="K106" s="63"/>
      <c r="L106" s="63"/>
      <c r="M106" s="63"/>
      <c r="N106" s="63"/>
    </row>
    <row r="107" spans="6:14">
      <c r="F107" s="63"/>
      <c r="G107" s="63"/>
      <c r="H107" s="63"/>
      <c r="I107" s="63"/>
      <c r="J107" s="63"/>
      <c r="K107" s="63"/>
      <c r="L107" s="63"/>
      <c r="M107" s="63"/>
      <c r="N107" s="63"/>
    </row>
    <row r="108" spans="6:14">
      <c r="F108" s="63"/>
      <c r="G108" s="63"/>
      <c r="H108" s="63"/>
      <c r="I108" s="63"/>
      <c r="J108" s="63"/>
      <c r="K108" s="63"/>
      <c r="L108" s="63"/>
      <c r="M108" s="63"/>
      <c r="N108" s="63"/>
    </row>
    <row r="109" spans="6:14">
      <c r="F109" s="63"/>
      <c r="G109" s="63"/>
      <c r="H109" s="63"/>
      <c r="I109" s="63"/>
      <c r="J109" s="63"/>
      <c r="K109" s="63"/>
      <c r="L109" s="63"/>
      <c r="M109" s="63"/>
      <c r="N109" s="63"/>
    </row>
    <row r="110" spans="6:14">
      <c r="F110" s="63"/>
      <c r="G110" s="63"/>
      <c r="H110" s="63"/>
      <c r="I110" s="63"/>
      <c r="J110" s="63"/>
      <c r="K110" s="63"/>
      <c r="L110" s="63"/>
      <c r="M110" s="63"/>
      <c r="N110" s="63"/>
    </row>
    <row r="111" spans="6:14">
      <c r="F111" s="63"/>
      <c r="G111" s="63"/>
      <c r="H111" s="63"/>
      <c r="I111" s="63"/>
      <c r="J111" s="63"/>
      <c r="K111" s="63"/>
      <c r="L111" s="63"/>
      <c r="M111" s="63"/>
      <c r="N111" s="63"/>
    </row>
    <row r="112" spans="6:14">
      <c r="F112" s="63"/>
      <c r="G112" s="63"/>
      <c r="H112" s="63"/>
      <c r="I112" s="63"/>
      <c r="J112" s="63"/>
      <c r="K112" s="63"/>
      <c r="L112" s="63"/>
      <c r="M112" s="63"/>
      <c r="N112" s="63"/>
    </row>
    <row r="113" spans="6:14">
      <c r="F113" s="63"/>
      <c r="G113" s="63"/>
      <c r="H113" s="63"/>
      <c r="I113" s="63"/>
      <c r="J113" s="63"/>
      <c r="K113" s="63"/>
      <c r="L113" s="63"/>
      <c r="M113" s="63"/>
      <c r="N113" s="63"/>
    </row>
    <row r="114" spans="6:14">
      <c r="F114" s="63"/>
      <c r="G114" s="63"/>
      <c r="H114" s="63"/>
      <c r="I114" s="63"/>
      <c r="J114" s="63"/>
      <c r="K114" s="63"/>
      <c r="L114" s="63"/>
      <c r="M114" s="63"/>
      <c r="N114" s="63"/>
    </row>
    <row r="115" spans="6:14">
      <c r="F115" s="63"/>
      <c r="G115" s="63"/>
      <c r="H115" s="63"/>
      <c r="I115" s="63"/>
      <c r="J115" s="63"/>
      <c r="K115" s="63"/>
      <c r="L115" s="63"/>
      <c r="M115" s="63"/>
      <c r="N115" s="63"/>
    </row>
    <row r="116" spans="6:14">
      <c r="F116" s="63"/>
      <c r="G116" s="63"/>
      <c r="H116" s="63"/>
      <c r="I116" s="63"/>
      <c r="J116" s="63"/>
      <c r="K116" s="63"/>
      <c r="L116" s="63"/>
      <c r="M116" s="63"/>
      <c r="N116" s="63"/>
    </row>
    <row r="117" spans="6:14">
      <c r="F117" s="63"/>
      <c r="G117" s="63"/>
      <c r="H117" s="63"/>
      <c r="I117" s="63"/>
      <c r="J117" s="63"/>
      <c r="K117" s="63"/>
      <c r="L117" s="63"/>
      <c r="M117" s="63"/>
      <c r="N117" s="63"/>
    </row>
    <row r="118" spans="6:14">
      <c r="F118" s="63"/>
      <c r="G118" s="63"/>
      <c r="H118" s="63"/>
      <c r="I118" s="63"/>
      <c r="J118" s="63"/>
      <c r="K118" s="63"/>
      <c r="L118" s="63"/>
      <c r="M118" s="63"/>
      <c r="N118" s="63"/>
    </row>
    <row r="119" spans="6:14">
      <c r="F119" s="63"/>
      <c r="G119" s="63"/>
      <c r="H119" s="63"/>
      <c r="I119" s="63"/>
      <c r="J119" s="63"/>
      <c r="K119" s="63"/>
      <c r="L119" s="63"/>
      <c r="M119" s="63"/>
      <c r="N119" s="63"/>
    </row>
    <row r="120" spans="6:14">
      <c r="F120" s="63"/>
      <c r="G120" s="63"/>
      <c r="H120" s="63"/>
      <c r="I120" s="63"/>
      <c r="J120" s="63"/>
      <c r="K120" s="63"/>
      <c r="L120" s="63"/>
      <c r="M120" s="63"/>
      <c r="N120" s="63"/>
    </row>
    <row r="121" spans="6:14">
      <c r="F121" s="63"/>
      <c r="G121" s="63"/>
      <c r="H121" s="63"/>
      <c r="I121" s="63"/>
      <c r="J121" s="63"/>
      <c r="K121" s="63"/>
      <c r="L121" s="63"/>
      <c r="M121" s="63"/>
      <c r="N121" s="63"/>
    </row>
    <row r="122" spans="6:14">
      <c r="F122" s="63"/>
      <c r="G122" s="63"/>
      <c r="H122" s="63"/>
      <c r="I122" s="63"/>
      <c r="J122" s="63"/>
      <c r="K122" s="63"/>
      <c r="L122" s="63"/>
      <c r="M122" s="63"/>
      <c r="N122" s="63"/>
    </row>
    <row r="123" spans="6:14">
      <c r="F123" s="63"/>
      <c r="G123" s="63"/>
      <c r="H123" s="63"/>
      <c r="I123" s="63"/>
      <c r="J123" s="63"/>
      <c r="K123" s="63"/>
      <c r="L123" s="63"/>
      <c r="M123" s="63"/>
      <c r="N123" s="63"/>
    </row>
    <row r="124" spans="6:14">
      <c r="F124" s="63"/>
      <c r="G124" s="63"/>
      <c r="H124" s="63"/>
      <c r="I124" s="63"/>
      <c r="J124" s="63"/>
      <c r="K124" s="63"/>
      <c r="L124" s="63"/>
      <c r="M124" s="63"/>
      <c r="N124" s="63"/>
    </row>
    <row r="125" spans="6:14">
      <c r="F125" s="63"/>
      <c r="G125" s="63"/>
      <c r="H125" s="63"/>
      <c r="I125" s="63"/>
      <c r="J125" s="63"/>
      <c r="K125" s="63"/>
      <c r="L125" s="63"/>
      <c r="M125" s="63"/>
      <c r="N125" s="63"/>
    </row>
    <row r="126" spans="6:14">
      <c r="F126" s="63"/>
      <c r="G126" s="63"/>
      <c r="H126" s="63"/>
      <c r="I126" s="63"/>
      <c r="J126" s="63"/>
      <c r="K126" s="63"/>
      <c r="L126" s="63"/>
      <c r="M126" s="63"/>
      <c r="N126" s="63"/>
    </row>
  </sheetData>
  <mergeCells count="1">
    <mergeCell ref="J5:K5"/>
  </mergeCells>
  <pageMargins left="0.69" right="0.75" top="1.62" bottom="1" header="0" footer="0"/>
  <pageSetup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Pregunta #1</vt:lpstr>
      <vt:lpstr>Pregunta #2-a</vt:lpstr>
      <vt:lpstr>Pregunta #2-b</vt:lpstr>
      <vt:lpstr>Pregunta #3</vt:lpstr>
      <vt:lpstr>Preg. #4(b)-Inv. Falt.-Prob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Enrique Leon</cp:lastModifiedBy>
  <dcterms:created xsi:type="dcterms:W3CDTF">2018-07-03T03:39:41Z</dcterms:created>
  <dcterms:modified xsi:type="dcterms:W3CDTF">2018-07-16T17:24:01Z</dcterms:modified>
</cp:coreProperties>
</file>