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Pregunta #1" sheetId="7" r:id="rId1"/>
    <sheet name="Pregunta #2" sheetId="9" r:id="rId2"/>
    <sheet name="PREGUNTA #3" sheetId="5" r:id="rId3"/>
    <sheet name="pREGUNTA #3-A" sheetId="1" r:id="rId4"/>
    <sheet name="pREGUNTA #3-B" sheetId="6" r:id="rId5"/>
    <sheet name="Pregunta 4 Arbol" sheetId="11" r:id="rId6"/>
    <sheet name="Hoja1" sheetId="10" r:id="rId7"/>
  </sheets>
  <externalReferences>
    <externalReference r:id="rId8"/>
    <externalReference r:id="rId9"/>
    <externalReference r:id="rId10"/>
    <externalReference r:id="rId11"/>
  </externalReferences>
  <definedNames>
    <definedName name="MinimizeCosts">FALSE</definedName>
    <definedName name="TreeDiagram" localSheetId="0">[1]Árbol!$F$38:$X$116</definedName>
    <definedName name="TreeDiagram">[2]Arbol!$C$14:$Y$42</definedName>
    <definedName name="UseExpUtility">FALSE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B24" i="5"/>
  <c r="I14" i="1"/>
  <c r="E20" i="1"/>
  <c r="H20" i="1"/>
  <c r="E21" i="1"/>
  <c r="H21" i="1"/>
  <c r="E22" i="1"/>
  <c r="H22" i="1"/>
  <c r="H24" i="1"/>
  <c r="E7" i="1"/>
  <c r="E6" i="1"/>
  <c r="F7" i="1"/>
  <c r="G7" i="1"/>
  <c r="H7" i="1"/>
  <c r="I8" i="1"/>
  <c r="L8" i="1"/>
  <c r="E8" i="1"/>
  <c r="F8" i="1"/>
  <c r="G8" i="1"/>
  <c r="H8" i="1"/>
  <c r="I9" i="1"/>
  <c r="L9" i="1"/>
  <c r="E9" i="1"/>
  <c r="F9" i="1"/>
  <c r="G9" i="1"/>
  <c r="H9" i="1"/>
  <c r="I10" i="1"/>
  <c r="L10" i="1"/>
  <c r="L11" i="1"/>
  <c r="B14" i="7"/>
  <c r="C15" i="10"/>
  <c r="B15" i="10"/>
  <c r="C14" i="10"/>
  <c r="B14" i="10"/>
  <c r="D13" i="10"/>
  <c r="C13" i="10"/>
  <c r="B13" i="10"/>
  <c r="D12" i="10"/>
  <c r="C12" i="10"/>
  <c r="B12" i="10"/>
  <c r="H11" i="10"/>
  <c r="I11" i="10"/>
  <c r="D11" i="10"/>
  <c r="C11" i="10"/>
  <c r="B11" i="10"/>
  <c r="H10" i="10"/>
  <c r="I10" i="10"/>
  <c r="D10" i="10"/>
  <c r="C10" i="10"/>
  <c r="B10" i="10"/>
  <c r="H9" i="10"/>
  <c r="I9" i="10"/>
  <c r="D9" i="10"/>
  <c r="C9" i="10"/>
  <c r="B9" i="10"/>
  <c r="H8" i="10"/>
  <c r="I8" i="10"/>
  <c r="D8" i="10"/>
  <c r="E8" i="10"/>
  <c r="C8" i="10"/>
  <c r="B8" i="10"/>
  <c r="D7" i="10"/>
  <c r="A7" i="10"/>
  <c r="H15" i="6"/>
  <c r="H14" i="6"/>
  <c r="E9" i="10"/>
  <c r="F9" i="10"/>
  <c r="L7" i="9"/>
  <c r="L8" i="9"/>
  <c r="L6" i="9"/>
  <c r="E13" i="9"/>
  <c r="E15" i="9"/>
  <c r="D13" i="9"/>
  <c r="D14" i="9"/>
  <c r="C13" i="9"/>
  <c r="K7" i="9"/>
  <c r="K8" i="9"/>
  <c r="K6" i="9"/>
  <c r="C15" i="9"/>
  <c r="C16" i="9"/>
  <c r="I7" i="9"/>
  <c r="I8" i="9"/>
  <c r="I6" i="9"/>
  <c r="H7" i="9"/>
  <c r="H8" i="9"/>
  <c r="H6" i="9"/>
  <c r="G7" i="9"/>
  <c r="G8" i="9"/>
  <c r="G6" i="9"/>
  <c r="E10" i="10"/>
  <c r="G9" i="10"/>
  <c r="D16" i="9"/>
  <c r="D15" i="9"/>
  <c r="E16" i="9"/>
  <c r="J16" i="9"/>
  <c r="E14" i="9"/>
  <c r="J15" i="9"/>
  <c r="C14" i="9"/>
  <c r="J14" i="9"/>
  <c r="F10" i="10"/>
  <c r="E11" i="10"/>
  <c r="G10" i="10"/>
  <c r="E20" i="5"/>
  <c r="E24" i="5"/>
  <c r="C30" i="7"/>
  <c r="B30" i="7"/>
  <c r="C24" i="7"/>
  <c r="B18" i="7"/>
  <c r="B24" i="7"/>
  <c r="B17" i="7"/>
  <c r="B16" i="7"/>
  <c r="B15" i="7"/>
  <c r="D5" i="7"/>
  <c r="B29" i="5"/>
  <c r="C15" i="6"/>
  <c r="B15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E8" i="6"/>
  <c r="C8" i="6"/>
  <c r="B8" i="6"/>
  <c r="D7" i="6"/>
  <c r="A7" i="6"/>
  <c r="E18" i="1"/>
  <c r="E19" i="1"/>
  <c r="F20" i="1"/>
  <c r="F22" i="1"/>
  <c r="E17" i="1"/>
  <c r="F17" i="1"/>
  <c r="E24" i="1"/>
  <c r="E23" i="1"/>
  <c r="B16" i="1"/>
  <c r="C16" i="1"/>
  <c r="D16" i="1"/>
  <c r="A16" i="1"/>
  <c r="F21" i="1"/>
  <c r="F19" i="1"/>
  <c r="F18" i="1"/>
  <c r="F5" i="1"/>
  <c r="H8" i="6"/>
  <c r="I8" i="6"/>
  <c r="H9" i="6"/>
  <c r="I9" i="6"/>
  <c r="H10" i="6"/>
  <c r="I10" i="6"/>
  <c r="H11" i="6"/>
  <c r="I11" i="6"/>
  <c r="E10" i="1"/>
  <c r="F11" i="10"/>
  <c r="G11" i="10"/>
  <c r="C29" i="7"/>
  <c r="C28" i="7"/>
  <c r="J10" i="1"/>
  <c r="J9" i="1"/>
  <c r="J8" i="1"/>
  <c r="B29" i="7"/>
  <c r="B28" i="7"/>
  <c r="B26" i="7"/>
  <c r="C26" i="7"/>
  <c r="C35" i="7"/>
  <c r="F23" i="1"/>
  <c r="F10" i="1"/>
  <c r="E9" i="6"/>
  <c r="F9" i="6"/>
  <c r="E10" i="6"/>
  <c r="B30" i="5"/>
  <c r="B31" i="5"/>
  <c r="E12" i="10"/>
  <c r="H12" i="10"/>
  <c r="I12" i="10"/>
  <c r="G9" i="6"/>
  <c r="J11" i="1"/>
  <c r="B35" i="7"/>
  <c r="E34" i="7"/>
  <c r="E35" i="7"/>
  <c r="G10" i="1"/>
  <c r="H10" i="1"/>
  <c r="B33" i="5"/>
  <c r="B35" i="5"/>
  <c r="B36" i="5"/>
  <c r="F10" i="6"/>
  <c r="G10" i="6"/>
  <c r="E11" i="6"/>
  <c r="F12" i="10"/>
  <c r="H13" i="10"/>
  <c r="I13" i="10"/>
  <c r="G12" i="10"/>
  <c r="E13" i="10"/>
  <c r="B37" i="5"/>
  <c r="I11" i="1"/>
  <c r="I12" i="1"/>
  <c r="G11" i="6"/>
  <c r="F11" i="6"/>
  <c r="E12" i="6"/>
  <c r="F13" i="10"/>
  <c r="G13" i="10"/>
  <c r="F12" i="6"/>
  <c r="H13" i="6"/>
  <c r="I13" i="6"/>
  <c r="G12" i="6"/>
  <c r="E13" i="6"/>
  <c r="H12" i="6"/>
  <c r="I12" i="6"/>
  <c r="F13" i="6"/>
  <c r="G13" i="6"/>
</calcChain>
</file>

<file path=xl/sharedStrings.xml><?xml version="1.0" encoding="utf-8"?>
<sst xmlns="http://schemas.openxmlformats.org/spreadsheetml/2006/main" count="160" uniqueCount="116">
  <si>
    <t>n=2</t>
  </si>
  <si>
    <t>Ỹt</t>
  </si>
  <si>
    <t>Yt</t>
  </si>
  <si>
    <t>EMC</t>
  </si>
  <si>
    <t xml:space="preserve">Pronósitico movil doble ( Pronósticas mas de un termino) </t>
  </si>
  <si>
    <t>MT</t>
  </si>
  <si>
    <t>M`T</t>
  </si>
  <si>
    <t>A</t>
  </si>
  <si>
    <t>B</t>
  </si>
  <si>
    <t>alfa</t>
  </si>
  <si>
    <t>Regresión Lineal ( permite Pronósticar mas de un termino)</t>
  </si>
  <si>
    <t>beta</t>
  </si>
  <si>
    <t>At</t>
  </si>
  <si>
    <t>Tt</t>
  </si>
  <si>
    <t>Winter ( Pronóstica mas de un termino)</t>
  </si>
  <si>
    <t xml:space="preserve">gama </t>
  </si>
  <si>
    <t>St</t>
  </si>
  <si>
    <t>L=4</t>
  </si>
  <si>
    <t>Año</t>
  </si>
  <si>
    <t>Q</t>
  </si>
  <si>
    <t>No. Periodos</t>
  </si>
  <si>
    <t>año</t>
  </si>
  <si>
    <t>No. Datos</t>
  </si>
  <si>
    <t>Trimestre</t>
  </si>
  <si>
    <t xml:space="preserve">Cuentas por Cobrar </t>
  </si>
  <si>
    <t>Q1</t>
  </si>
  <si>
    <t>Q2</t>
  </si>
  <si>
    <t>Q3</t>
  </si>
  <si>
    <t>Q4</t>
  </si>
  <si>
    <t>R-a</t>
  </si>
  <si>
    <t xml:space="preserve">El metodo a ultilizar es el de Regresión Lineal poque posee un EMC de 356. </t>
  </si>
  <si>
    <t xml:space="preserve">Los rubros para el Q3 y Q4 son 210 y 238  respectivamente </t>
  </si>
  <si>
    <t>R-b</t>
  </si>
  <si>
    <t>No. Perd</t>
  </si>
  <si>
    <r>
      <t>Ỹ</t>
    </r>
    <r>
      <rPr>
        <b/>
        <sz val="7.5"/>
        <rFont val="Arial"/>
        <family val="2"/>
      </rPr>
      <t>t</t>
    </r>
  </si>
  <si>
    <t>Estado de Resultados</t>
  </si>
  <si>
    <t>VENTAS</t>
  </si>
  <si>
    <t>COSTO DE VENTAS</t>
  </si>
  <si>
    <t>UTILIDAD BRUTA</t>
  </si>
  <si>
    <t>GASTOS DE OPERACIÓN</t>
  </si>
  <si>
    <t>UTILIDAD DE OPERACIÓN</t>
  </si>
  <si>
    <t>GASTOS POR INTERESES</t>
  </si>
  <si>
    <t>-</t>
  </si>
  <si>
    <t>UTILIDAD ANTES DE IMPUESTOS</t>
  </si>
  <si>
    <t>IMPUESTOS</t>
  </si>
  <si>
    <t>UTILIDAD NETA.</t>
  </si>
  <si>
    <t>Activos</t>
  </si>
  <si>
    <t>Caja</t>
  </si>
  <si>
    <t>CxC</t>
  </si>
  <si>
    <t>Invt</t>
  </si>
  <si>
    <t>Acvo fijo</t>
  </si>
  <si>
    <t>Pasivos</t>
  </si>
  <si>
    <t>CxP</t>
  </si>
  <si>
    <t>Prestamos LP</t>
  </si>
  <si>
    <t>Capital social</t>
  </si>
  <si>
    <t>R-c</t>
  </si>
  <si>
    <t>Solucion problema de Inventarios</t>
  </si>
  <si>
    <t>Transporte</t>
  </si>
  <si>
    <t>D</t>
  </si>
  <si>
    <t>Co</t>
  </si>
  <si>
    <t>Ch</t>
  </si>
  <si>
    <t>Cu-local</t>
  </si>
  <si>
    <r>
      <t>s</t>
    </r>
    <r>
      <rPr>
        <vertAlign val="subscript"/>
        <sz val="14"/>
        <rFont val="Times New Roman"/>
        <family val="1"/>
      </rPr>
      <t>L</t>
    </r>
  </si>
  <si>
    <t>Ia</t>
  </si>
  <si>
    <t>NS</t>
  </si>
  <si>
    <t>Z</t>
  </si>
  <si>
    <t>Cs</t>
  </si>
  <si>
    <t>d</t>
  </si>
  <si>
    <t>p</t>
  </si>
  <si>
    <t>A)</t>
  </si>
  <si>
    <t>Descuento</t>
  </si>
  <si>
    <t>0-10.000</t>
  </si>
  <si>
    <t>10.001 - 30.000</t>
  </si>
  <si>
    <t>30.001 o mas</t>
  </si>
  <si>
    <t>Taiwan</t>
  </si>
  <si>
    <t>5000 uds</t>
  </si>
  <si>
    <t>20000 uds</t>
  </si>
  <si>
    <t>Q* - Optimo</t>
  </si>
  <si>
    <t>Mercado</t>
  </si>
  <si>
    <t>Numero de Pedidos</t>
  </si>
  <si>
    <t>Cu</t>
  </si>
  <si>
    <t>Costo de Ordenar</t>
  </si>
  <si>
    <t>Costo de Conservar</t>
  </si>
  <si>
    <t>Costo Compra</t>
  </si>
  <si>
    <t>Inventario Seg B =</t>
  </si>
  <si>
    <t>Punto Reorden R=</t>
  </si>
  <si>
    <t xml:space="preserve">L = </t>
  </si>
  <si>
    <t>Costo Total</t>
  </si>
  <si>
    <t>Q4 2014</t>
  </si>
  <si>
    <t>MILLAS RECORRIDAS ANUALES</t>
  </si>
  <si>
    <t>MIDTOWN</t>
  </si>
  <si>
    <t>FORNO</t>
  </si>
  <si>
    <t>HOPKINS</t>
  </si>
  <si>
    <t>MAXIMAX</t>
  </si>
  <si>
    <t>MINIMAX</t>
  </si>
  <si>
    <t>Laplace</t>
  </si>
  <si>
    <t>Arrepentimiento</t>
  </si>
  <si>
    <t>Valor Esperado</t>
  </si>
  <si>
    <t>Preg-c</t>
  </si>
  <si>
    <t>preg-d</t>
  </si>
  <si>
    <t>?</t>
  </si>
  <si>
    <t>china</t>
  </si>
  <si>
    <t xml:space="preserve">Se recomienda no pagar por nueva informacion y construir edificio con 4 apartamentos </t>
  </si>
  <si>
    <t>DMA</t>
  </si>
  <si>
    <t>dma</t>
  </si>
  <si>
    <t>2 pts</t>
  </si>
  <si>
    <t>3 pts</t>
  </si>
  <si>
    <r>
      <t xml:space="preserve"> 1 punto </t>
    </r>
    <r>
      <rPr>
        <sz val="12"/>
        <rFont val="Calibri"/>
        <family val="2"/>
      </rPr>
      <t>@</t>
    </r>
    <r>
      <rPr>
        <sz val="12"/>
        <rFont val="Arial"/>
        <family val="2"/>
      </rPr>
      <t xml:space="preserve"> seccion de la pregunta = 4 pts total</t>
    </r>
  </si>
  <si>
    <t>S =</t>
  </si>
  <si>
    <t>2,5 pts</t>
  </si>
  <si>
    <t>1 pts</t>
  </si>
  <si>
    <t>Estructura</t>
  </si>
  <si>
    <t>6 pts</t>
  </si>
  <si>
    <t>Resultado</t>
  </si>
  <si>
    <t>4 pts</t>
  </si>
  <si>
    <t>RESUELTO TODO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</si>
</sst>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_-* #,##0\ _€_-;\-* #,##0\ _€_-;_-* &quot;-&quot;??\ _€_-;_-@_-"/>
    <numFmt numFmtId="168" formatCode="_(* #,##0_);_(* \(#,##0\);_(* &quot;-&quot;??_);_(@_)"/>
    <numFmt numFmtId="169" formatCode="&quot;$&quot;#,##0.000_);[Red]\(&quot;$&quot;#,##0.000\)"/>
    <numFmt numFmtId="170" formatCode="_(* #,##0.0000_);_(* \(#,##0.00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b/>
      <sz val="12"/>
      <color theme="5"/>
      <name val="Arial"/>
      <family val="2"/>
    </font>
    <font>
      <sz val="14"/>
      <name val="Symbol"/>
      <family val="1"/>
    </font>
    <font>
      <vertAlign val="subscript"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9" fontId="17" fillId="0" borderId="0" applyFont="0" applyFill="0" applyBorder="0" applyAlignment="0" applyProtection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0" fillId="2" borderId="0" xfId="0" applyFill="1"/>
    <xf numFmtId="2" fontId="0" fillId="2" borderId="1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2" fillId="2" borderId="0" xfId="0" applyFont="1" applyFill="1"/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4" xfId="0" applyFill="1" applyBorder="1" applyAlignment="1">
      <alignment horizontal="center"/>
    </xf>
    <xf numFmtId="0" fontId="5" fillId="4" borderId="0" xfId="0" applyFont="1" applyFill="1"/>
    <xf numFmtId="0" fontId="3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/>
    <xf numFmtId="166" fontId="2" fillId="4" borderId="1" xfId="0" applyNumberFormat="1" applyFont="1" applyFill="1" applyBorder="1"/>
    <xf numFmtId="0" fontId="5" fillId="4" borderId="1" xfId="0" applyFont="1" applyFill="1" applyBorder="1"/>
    <xf numFmtId="0" fontId="2" fillId="4" borderId="0" xfId="0" applyFont="1" applyFill="1"/>
    <xf numFmtId="2" fontId="2" fillId="4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167" fontId="2" fillId="4" borderId="1" xfId="1" applyNumberFormat="1" applyFont="1" applyFill="1" applyBorder="1" applyAlignment="1">
      <alignment horizontal="center"/>
    </xf>
    <xf numFmtId="167" fontId="2" fillId="3" borderId="1" xfId="1" applyNumberFormat="1" applyFont="1" applyFill="1" applyBorder="1" applyAlignment="1">
      <alignment horizontal="center"/>
    </xf>
    <xf numFmtId="0" fontId="1" fillId="4" borderId="0" xfId="0" applyFont="1" applyFill="1"/>
    <xf numFmtId="167" fontId="11" fillId="4" borderId="1" xfId="1" applyNumberFormat="1" applyFont="1" applyFill="1" applyBorder="1"/>
    <xf numFmtId="167" fontId="2" fillId="4" borderId="1" xfId="1" applyNumberFormat="1" applyFont="1" applyFill="1" applyBorder="1"/>
    <xf numFmtId="167" fontId="5" fillId="4" borderId="1" xfId="1" applyNumberFormat="1" applyFont="1" applyFill="1" applyBorder="1" applyAlignment="1">
      <alignment horizontal="center"/>
    </xf>
    <xf numFmtId="164" fontId="11" fillId="4" borderId="1" xfId="1" applyNumberFormat="1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0" xfId="2"/>
    <xf numFmtId="0" fontId="1" fillId="0" borderId="1" xfId="2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168" fontId="0" fillId="0" borderId="1" xfId="3" applyNumberFormat="1" applyFont="1" applyBorder="1"/>
    <xf numFmtId="43" fontId="0" fillId="0" borderId="1" xfId="3" applyFont="1" applyBorder="1"/>
    <xf numFmtId="43" fontId="0" fillId="0" borderId="1" xfId="3" applyNumberFormat="1" applyFont="1" applyBorder="1"/>
    <xf numFmtId="9" fontId="0" fillId="0" borderId="1" xfId="4" applyFont="1" applyFill="1" applyBorder="1"/>
    <xf numFmtId="0" fontId="1" fillId="0" borderId="1" xfId="2" applyBorder="1"/>
    <xf numFmtId="0" fontId="1" fillId="0" borderId="0" xfId="2" applyAlignment="1">
      <alignment horizontal="right"/>
    </xf>
    <xf numFmtId="8" fontId="1" fillId="0" borderId="0" xfId="2" applyNumberFormat="1"/>
    <xf numFmtId="169" fontId="1" fillId="0" borderId="0" xfId="2" applyNumberFormat="1"/>
    <xf numFmtId="8" fontId="1" fillId="0" borderId="0" xfId="2" applyNumberFormat="1" applyAlignment="1">
      <alignment horizontal="right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43" fontId="1" fillId="0" borderId="1" xfId="3" applyFont="1" applyBorder="1" applyAlignment="1">
      <alignment horizontal="center"/>
    </xf>
    <xf numFmtId="43" fontId="1" fillId="0" borderId="1" xfId="5" applyFont="1" applyBorder="1"/>
    <xf numFmtId="43" fontId="1" fillId="0" borderId="1" xfId="2" applyNumberFormat="1" applyBorder="1"/>
    <xf numFmtId="43" fontId="7" fillId="0" borderId="1" xfId="3" applyFont="1" applyBorder="1"/>
    <xf numFmtId="43" fontId="7" fillId="0" borderId="1" xfId="5" applyFont="1" applyBorder="1"/>
    <xf numFmtId="43" fontId="1" fillId="0" borderId="1" xfId="3" applyFont="1" applyBorder="1"/>
    <xf numFmtId="0" fontId="1" fillId="0" borderId="1" xfId="2" applyFont="1" applyBorder="1"/>
    <xf numFmtId="43" fontId="7" fillId="0" borderId="1" xfId="2" applyNumberFormat="1" applyFont="1" applyBorder="1"/>
    <xf numFmtId="0" fontId="1" fillId="0" borderId="0" xfId="2" applyBorder="1"/>
    <xf numFmtId="43" fontId="1" fillId="0" borderId="0" xfId="2" applyNumberFormat="1" applyBorder="1"/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Alignment="1">
      <alignment horizontal="center"/>
    </xf>
    <xf numFmtId="43" fontId="1" fillId="0" borderId="0" xfId="2" applyNumberFormat="1"/>
    <xf numFmtId="0" fontId="2" fillId="3" borderId="1" xfId="0" applyFont="1" applyFill="1" applyBorder="1"/>
    <xf numFmtId="1" fontId="0" fillId="4" borderId="1" xfId="0" applyNumberFormat="1" applyFill="1" applyBorder="1"/>
    <xf numFmtId="170" fontId="1" fillId="0" borderId="1" xfId="2" applyNumberFormat="1" applyBorder="1"/>
    <xf numFmtId="10" fontId="7" fillId="0" borderId="1" xfId="7" applyNumberFormat="1" applyFont="1" applyBorder="1"/>
    <xf numFmtId="0" fontId="1" fillId="0" borderId="0" xfId="0" applyFont="1"/>
    <xf numFmtId="0" fontId="0" fillId="0" borderId="1" xfId="0" applyBorder="1"/>
    <xf numFmtId="165" fontId="0" fillId="0" borderId="0" xfId="1" applyFont="1"/>
    <xf numFmtId="165" fontId="0" fillId="0" borderId="1" xfId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8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167" fontId="0" fillId="0" borderId="0" xfId="0" applyNumberFormat="1"/>
    <xf numFmtId="167" fontId="0" fillId="5" borderId="0" xfId="0" applyNumberFormat="1" applyFill="1"/>
    <xf numFmtId="167" fontId="0" fillId="0" borderId="1" xfId="0" applyNumberForma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7" fontId="0" fillId="0" borderId="0" xfId="0" applyNumberFormat="1" applyFill="1"/>
    <xf numFmtId="165" fontId="0" fillId="5" borderId="0" xfId="1" applyFont="1" applyFill="1"/>
    <xf numFmtId="167" fontId="0" fillId="5" borderId="0" xfId="1" applyNumberFormat="1" applyFont="1" applyFill="1"/>
    <xf numFmtId="166" fontId="2" fillId="4" borderId="1" xfId="0" applyNumberFormat="1" applyFont="1" applyFill="1" applyBorder="1" applyAlignment="1">
      <alignment horizontal="center"/>
    </xf>
    <xf numFmtId="166" fontId="2" fillId="4" borderId="1" xfId="1" applyNumberFormat="1" applyFont="1" applyFill="1" applyBorder="1" applyAlignment="1">
      <alignment horizontal="center"/>
    </xf>
    <xf numFmtId="165" fontId="5" fillId="2" borderId="0" xfId="1" applyFont="1" applyFill="1"/>
    <xf numFmtId="0" fontId="1" fillId="2" borderId="0" xfId="0" applyFont="1" applyFill="1"/>
    <xf numFmtId="0" fontId="1" fillId="0" borderId="0" xfId="2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3" fontId="0" fillId="5" borderId="1" xfId="3" applyFont="1" applyFill="1" applyBorder="1"/>
    <xf numFmtId="43" fontId="7" fillId="5" borderId="1" xfId="2" applyNumberFormat="1" applyFont="1" applyFill="1" applyBorder="1"/>
    <xf numFmtId="0" fontId="2" fillId="5" borderId="1" xfId="2" applyFont="1" applyFill="1" applyBorder="1" applyAlignment="1">
      <alignment horizontal="center"/>
    </xf>
    <xf numFmtId="0" fontId="18" fillId="5" borderId="0" xfId="0" applyFont="1" applyFill="1"/>
    <xf numFmtId="0" fontId="0" fillId="5" borderId="0" xfId="0" applyFill="1"/>
    <xf numFmtId="2" fontId="4" fillId="5" borderId="1" xfId="0" applyNumberFormat="1" applyFont="1" applyFill="1" applyBorder="1"/>
    <xf numFmtId="1" fontId="5" fillId="2" borderId="0" xfId="0" applyNumberFormat="1" applyFont="1" applyFill="1"/>
    <xf numFmtId="0" fontId="20" fillId="2" borderId="0" xfId="0" applyFont="1" applyFill="1" applyAlignment="1">
      <alignment horizontal="right"/>
    </xf>
    <xf numFmtId="0" fontId="18" fillId="5" borderId="0" xfId="0" applyFont="1" applyFill="1" applyAlignment="1">
      <alignment horizontal="center"/>
    </xf>
    <xf numFmtId="0" fontId="0" fillId="5" borderId="1" xfId="0" applyFill="1" applyBorder="1"/>
    <xf numFmtId="167" fontId="2" fillId="5" borderId="1" xfId="1" applyNumberFormat="1" applyFont="1" applyFill="1" applyBorder="1" applyAlignment="1">
      <alignment horizontal="center"/>
    </xf>
    <xf numFmtId="167" fontId="2" fillId="5" borderId="1" xfId="1" applyNumberFormat="1" applyFont="1" applyFill="1" applyBorder="1"/>
    <xf numFmtId="0" fontId="1" fillId="5" borderId="1" xfId="0" applyFont="1" applyFill="1" applyBorder="1"/>
  </cellXfs>
  <cellStyles count="8">
    <cellStyle name="Millares" xfId="1" builtinId="3"/>
    <cellStyle name="Millares 2" xfId="5"/>
    <cellStyle name="Millares 3" xfId="3"/>
    <cellStyle name="Normal" xfId="0" builtinId="0"/>
    <cellStyle name="Normal 2" xfId="6"/>
    <cellStyle name="Normal 3" xfId="2"/>
    <cellStyle name="Porcentaje" xfId="7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Cuentas</a:t>
            </a:r>
            <a:r>
              <a:rPr lang="en-US" baseline="0"/>
              <a:t> por Cobrar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[3]Pronósticos!$C$11</c:f>
              <c:strCache>
                <c:ptCount val="1"/>
                <c:pt idx="0">
                  <c:v>Trimestre</c:v>
                </c:pt>
              </c:strCache>
            </c:strRef>
          </c:tx>
          <c:dPt>
            <c:idx val="6"/>
            <c:marker>
              <c:spPr>
                <a:solidFill>
                  <a:schemeClr val="accent2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2A1-4A81-97A8-AFEFB692E613}"/>
              </c:ext>
            </c:extLst>
          </c:dPt>
          <c:dPt>
            <c:idx val="7"/>
            <c:marker>
              <c:spPr>
                <a:solidFill>
                  <a:schemeClr val="accent2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2A1-4A81-97A8-AFEFB692E613}"/>
              </c:ext>
            </c:extLst>
          </c:dPt>
          <c:val>
            <c:numRef>
              <c:f>[3]Pronósticos!$C$12:$C$17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A1-4A81-97A8-AFEFB692E613}"/>
            </c:ext>
          </c:extLst>
        </c:ser>
        <c:ser>
          <c:idx val="0"/>
          <c:order val="1"/>
          <c:tx>
            <c:strRef>
              <c:f>[3]Pronósticos!$D$11</c:f>
              <c:strCache>
                <c:ptCount val="1"/>
                <c:pt idx="0">
                  <c:v>Cuentas por Cobrar </c:v>
                </c:pt>
              </c:strCache>
            </c:strRef>
          </c:tx>
          <c:val>
            <c:numRef>
              <c:f>[3]Pronósticos!$D$12:$D$17</c:f>
              <c:numCache>
                <c:formatCode>General</c:formatCode>
                <c:ptCount val="6"/>
                <c:pt idx="0">
                  <c:v>50</c:v>
                </c:pt>
                <c:pt idx="1">
                  <c:v>75</c:v>
                </c:pt>
                <c:pt idx="2">
                  <c:v>80</c:v>
                </c:pt>
                <c:pt idx="3">
                  <c:v>150</c:v>
                </c:pt>
                <c:pt idx="4">
                  <c:v>125</c:v>
                </c:pt>
                <c:pt idx="5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A1-4A81-97A8-AFEFB692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4108800"/>
        <c:axId val="243992256"/>
      </c:lineChart>
      <c:catAx>
        <c:axId val="2441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Trimestre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3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9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Cuentas por cobrar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41088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0</xdr:rowOff>
    </xdr:from>
    <xdr:to>
      <xdr:col>14</xdr:col>
      <xdr:colOff>0</xdr:colOff>
      <xdr:row>13</xdr:row>
      <xdr:rowOff>47625</xdr:rowOff>
    </xdr:to>
    <xdr:graphicFrame macro="">
      <xdr:nvGraphicFramePr>
        <xdr:cNvPr id="4110" name="Chart 1">
          <a:extLst>
            <a:ext uri="{FF2B5EF4-FFF2-40B4-BE49-F238E27FC236}">
              <a16:creationId xmlns:a16="http://schemas.microsoft.com/office/drawing/2014/main" xmlns="" id="{00000000-0008-0000-0200-00000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456811</xdr:colOff>
      <xdr:row>11</xdr:row>
      <xdr:rowOff>48597</xdr:rowOff>
    </xdr:from>
    <xdr:to>
      <xdr:col>9</xdr:col>
      <xdr:colOff>476250</xdr:colOff>
      <xdr:row>21</xdr:row>
      <xdr:rowOff>155510</xdr:rowOff>
    </xdr:to>
    <xdr:cxnSp macro="">
      <xdr:nvCxnSpPr>
        <xdr:cNvPr id="3" name="2 Conector recto de flecha"/>
        <xdr:cNvCxnSpPr/>
      </xdr:nvCxnSpPr>
      <xdr:spPr>
        <a:xfrm flipH="1" flipV="1">
          <a:off x="7697755" y="1905000"/>
          <a:ext cx="19439" cy="179808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126352</xdr:colOff>
      <xdr:row>22</xdr:row>
      <xdr:rowOff>68036</xdr:rowOff>
    </xdr:from>
    <xdr:to>
      <xdr:col>8</xdr:col>
      <xdr:colOff>719234</xdr:colOff>
      <xdr:row>22</xdr:row>
      <xdr:rowOff>68036</xdr:rowOff>
    </xdr:to>
    <xdr:cxnSp macro="">
      <xdr:nvCxnSpPr>
        <xdr:cNvPr id="5" name="4 Conector recto de flecha"/>
        <xdr:cNvCxnSpPr/>
      </xdr:nvCxnSpPr>
      <xdr:spPr>
        <a:xfrm flipH="1">
          <a:off x="5063801" y="3780842"/>
          <a:ext cx="213826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603250</xdr:colOff>
      <xdr:row>30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E2A3C6-66BD-4CC5-BB4D-D3C8F6AD1B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7250" cy="485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mileth/Mis%20documentos/Familia%20Lara%20Roldan/U_C_R/I%20semestre%202009/I%20parcial%202009/Soluci&#243;n%20primer%20parcial%20I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Primer%20parcial-2015/Solucion%20Final-1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respues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TS/Desktop/Metodos/Metodos/PRONOSTICOS/Pronosticos%20sin%20conexi&#243;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ol"/>
      <sheetName val="Pronóstico"/>
      <sheetName val="Inventario probabilístico"/>
      <sheetName val="Inventario determinístico"/>
      <sheetName val="Hoja1"/>
    </sheetNames>
    <sheetDataSet>
      <sheetData sheetId="0">
        <row r="38">
          <cell r="Q38">
            <v>0.2</v>
          </cell>
        </row>
        <row r="39">
          <cell r="Q39" t="str">
            <v>Éxito</v>
          </cell>
        </row>
        <row r="40">
          <cell r="X40">
            <v>10000000</v>
          </cell>
        </row>
        <row r="41">
          <cell r="Q41">
            <v>10000000</v>
          </cell>
          <cell r="R41">
            <v>10000000</v>
          </cell>
        </row>
        <row r="43">
          <cell r="Q43">
            <v>0.3</v>
          </cell>
        </row>
        <row r="44">
          <cell r="M44" t="str">
            <v>Publicar</v>
          </cell>
          <cell r="Q44" t="str">
            <v>Moderado</v>
          </cell>
        </row>
        <row r="45">
          <cell r="X45">
            <v>5000000</v>
          </cell>
        </row>
        <row r="46">
          <cell r="M46">
            <v>0</v>
          </cell>
          <cell r="N46">
            <v>-2500000</v>
          </cell>
          <cell r="Q46">
            <v>5000000</v>
          </cell>
          <cell r="R46">
            <v>5000000</v>
          </cell>
        </row>
        <row r="48">
          <cell r="Q48">
            <v>0.5</v>
          </cell>
        </row>
        <row r="49">
          <cell r="I49" t="str">
            <v>Sin Revisores</v>
          </cell>
          <cell r="Q49" t="str">
            <v>Pobre</v>
          </cell>
        </row>
        <row r="50">
          <cell r="K50">
            <v>2</v>
          </cell>
          <cell r="X50">
            <v>-12000000</v>
          </cell>
        </row>
        <row r="51">
          <cell r="I51">
            <v>0</v>
          </cell>
          <cell r="J51">
            <v>200000</v>
          </cell>
          <cell r="Q51">
            <v>-12000000</v>
          </cell>
          <cell r="R51">
            <v>-12000000</v>
          </cell>
        </row>
        <row r="54">
          <cell r="M54" t="str">
            <v>No publicar</v>
          </cell>
        </row>
        <row r="55">
          <cell r="X55">
            <v>200000</v>
          </cell>
        </row>
        <row r="56">
          <cell r="M56">
            <v>200000</v>
          </cell>
          <cell r="N56">
            <v>200000</v>
          </cell>
        </row>
        <row r="58">
          <cell r="U58">
            <v>0.76576576576576583</v>
          </cell>
        </row>
        <row r="59">
          <cell r="U59" t="str">
            <v>Éxito</v>
          </cell>
        </row>
        <row r="60">
          <cell r="X60">
            <v>9000000</v>
          </cell>
        </row>
        <row r="61">
          <cell r="U61">
            <v>10000000</v>
          </cell>
          <cell r="V61">
            <v>9000000</v>
          </cell>
        </row>
        <row r="63">
          <cell r="U63">
            <v>0.12162162162162161</v>
          </cell>
        </row>
        <row r="64">
          <cell r="Q64" t="str">
            <v>Publicar</v>
          </cell>
          <cell r="U64" t="str">
            <v>Moderado</v>
          </cell>
        </row>
        <row r="65">
          <cell r="X65">
            <v>4000000</v>
          </cell>
        </row>
        <row r="66">
          <cell r="Q66">
            <v>0</v>
          </cell>
          <cell r="R66">
            <v>5914414.4144144142</v>
          </cell>
          <cell r="U66">
            <v>5000000</v>
          </cell>
          <cell r="V66">
            <v>4000000</v>
          </cell>
        </row>
        <row r="68">
          <cell r="M68">
            <v>0.222</v>
          </cell>
          <cell r="U68">
            <v>0.11261261261261261</v>
          </cell>
        </row>
        <row r="69">
          <cell r="M69" t="str">
            <v>Muy Buena</v>
          </cell>
          <cell r="U69" t="str">
            <v>Pobre</v>
          </cell>
        </row>
        <row r="70">
          <cell r="G70">
            <v>2</v>
          </cell>
          <cell r="O70">
            <v>1</v>
          </cell>
          <cell r="X70">
            <v>-13000000</v>
          </cell>
        </row>
        <row r="71">
          <cell r="F71">
            <v>1006399.9999999998</v>
          </cell>
          <cell r="M71">
            <v>0</v>
          </cell>
          <cell r="N71">
            <v>5914414.4144144142</v>
          </cell>
          <cell r="U71">
            <v>-12000000</v>
          </cell>
          <cell r="V71">
            <v>-13000000</v>
          </cell>
        </row>
        <row r="74">
          <cell r="Q74" t="str">
            <v>No publicar</v>
          </cell>
        </row>
        <row r="75">
          <cell r="X75">
            <v>-800000</v>
          </cell>
        </row>
        <row r="76">
          <cell r="Q76">
            <v>200000</v>
          </cell>
          <cell r="R76">
            <v>-800000</v>
          </cell>
        </row>
        <row r="78">
          <cell r="U78">
            <v>8.0862533692722366E-2</v>
          </cell>
        </row>
        <row r="79">
          <cell r="U79" t="str">
            <v>Éxito</v>
          </cell>
        </row>
        <row r="80">
          <cell r="X80">
            <v>9000000</v>
          </cell>
        </row>
        <row r="81">
          <cell r="U81">
            <v>10000000</v>
          </cell>
          <cell r="V81">
            <v>9000000</v>
          </cell>
        </row>
        <row r="83">
          <cell r="U83">
            <v>0.66307277628032335</v>
          </cell>
        </row>
        <row r="84">
          <cell r="Q84" t="str">
            <v>Publicar</v>
          </cell>
          <cell r="U84" t="str">
            <v>Moderado</v>
          </cell>
        </row>
        <row r="85">
          <cell r="X85">
            <v>4000000</v>
          </cell>
        </row>
        <row r="86">
          <cell r="Q86">
            <v>0</v>
          </cell>
          <cell r="R86">
            <v>51212.938005390111</v>
          </cell>
          <cell r="U86">
            <v>5000000</v>
          </cell>
          <cell r="V86">
            <v>4000000</v>
          </cell>
        </row>
        <row r="88">
          <cell r="M88">
            <v>0.371</v>
          </cell>
          <cell r="U88">
            <v>0.2560646900269542</v>
          </cell>
        </row>
        <row r="89">
          <cell r="I89" t="str">
            <v>Con Revisores</v>
          </cell>
          <cell r="M89" t="str">
            <v>Aceptable</v>
          </cell>
          <cell r="U89" t="str">
            <v>Pobre</v>
          </cell>
        </row>
        <row r="90">
          <cell r="O90">
            <v>1</v>
          </cell>
          <cell r="X90">
            <v>-13000000</v>
          </cell>
        </row>
        <row r="91">
          <cell r="I91">
            <v>-1000000</v>
          </cell>
          <cell r="J91">
            <v>1006399.9999999998</v>
          </cell>
          <cell r="M91">
            <v>0</v>
          </cell>
          <cell r="N91">
            <v>51212.938005390111</v>
          </cell>
          <cell r="U91">
            <v>-12000000</v>
          </cell>
          <cell r="V91">
            <v>-13000000</v>
          </cell>
        </row>
        <row r="94">
          <cell r="Q94" t="str">
            <v>No publicar</v>
          </cell>
        </row>
        <row r="95">
          <cell r="X95">
            <v>-800000</v>
          </cell>
        </row>
        <row r="96">
          <cell r="Q96">
            <v>200000</v>
          </cell>
          <cell r="R96">
            <v>-800000</v>
          </cell>
        </row>
        <row r="98">
          <cell r="U98">
            <v>0</v>
          </cell>
        </row>
        <row r="99">
          <cell r="U99" t="str">
            <v>Éxito</v>
          </cell>
        </row>
        <row r="100">
          <cell r="X100">
            <v>9000000</v>
          </cell>
        </row>
        <row r="101">
          <cell r="U101">
            <v>10000000</v>
          </cell>
          <cell r="V101">
            <v>9000000</v>
          </cell>
        </row>
        <row r="103">
          <cell r="U103">
            <v>6.6339066339066333E-2</v>
          </cell>
        </row>
        <row r="104">
          <cell r="Q104" t="str">
            <v>Publicar</v>
          </cell>
          <cell r="U104" t="str">
            <v>Moderado</v>
          </cell>
        </row>
        <row r="105">
          <cell r="X105">
            <v>4000000</v>
          </cell>
        </row>
        <row r="106">
          <cell r="Q106">
            <v>0</v>
          </cell>
          <cell r="R106">
            <v>-11872235.872235872</v>
          </cell>
          <cell r="U106">
            <v>5000000</v>
          </cell>
          <cell r="V106">
            <v>4000000</v>
          </cell>
        </row>
        <row r="108">
          <cell r="M108">
            <v>0.40700000000000003</v>
          </cell>
          <cell r="U108">
            <v>0.93366093366093361</v>
          </cell>
        </row>
        <row r="109">
          <cell r="M109" t="str">
            <v>Dudosa</v>
          </cell>
          <cell r="U109" t="str">
            <v>Pobre</v>
          </cell>
        </row>
        <row r="110">
          <cell r="O110">
            <v>2</v>
          </cell>
          <cell r="X110">
            <v>-13000000</v>
          </cell>
        </row>
        <row r="111">
          <cell r="M111">
            <v>0</v>
          </cell>
          <cell r="N111">
            <v>-800000</v>
          </cell>
          <cell r="U111">
            <v>-12000000</v>
          </cell>
          <cell r="V111">
            <v>-13000000</v>
          </cell>
        </row>
        <row r="114">
          <cell r="Q114" t="str">
            <v>No publicar</v>
          </cell>
        </row>
        <row r="115">
          <cell r="X115">
            <v>-800000</v>
          </cell>
        </row>
        <row r="116">
          <cell r="Q116">
            <v>200000</v>
          </cell>
          <cell r="R116">
            <v>-800000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ol"/>
      <sheetName val="Inventario determinístico"/>
      <sheetName val="1. PRONÓSTICOS"/>
      <sheetName val="Golden"/>
    </sheetNames>
    <sheetDataSet>
      <sheetData sheetId="0">
        <row r="15">
          <cell r="F15" t="str">
            <v>Comprar</v>
          </cell>
        </row>
        <row r="16">
          <cell r="Y16">
            <v>10000</v>
          </cell>
        </row>
        <row r="17">
          <cell r="F17">
            <v>10000</v>
          </cell>
          <cell r="G17">
            <v>10000</v>
          </cell>
        </row>
        <row r="20">
          <cell r="N20" t="str">
            <v>Comprar</v>
          </cell>
        </row>
        <row r="21">
          <cell r="Y21">
            <v>20000</v>
          </cell>
        </row>
        <row r="22">
          <cell r="N22">
            <v>20000</v>
          </cell>
          <cell r="O22">
            <v>20000</v>
          </cell>
        </row>
        <row r="23">
          <cell r="C23">
            <v>0</v>
          </cell>
        </row>
        <row r="24">
          <cell r="D24">
            <v>1</v>
          </cell>
          <cell r="J24">
            <v>0.4</v>
          </cell>
        </row>
        <row r="25">
          <cell r="C25">
            <v>10000</v>
          </cell>
          <cell r="J25" t="str">
            <v>Disponible</v>
          </cell>
          <cell r="V25" t="str">
            <v>Comprar</v>
          </cell>
        </row>
        <row r="26">
          <cell r="L26">
            <v>1</v>
          </cell>
          <cell r="R26">
            <v>0.4</v>
          </cell>
          <cell r="Y26">
            <v>24000</v>
          </cell>
        </row>
        <row r="27">
          <cell r="J27">
            <v>0</v>
          </cell>
          <cell r="K27">
            <v>20000</v>
          </cell>
          <cell r="R27" t="str">
            <v>Disponible</v>
          </cell>
          <cell r="V27">
            <v>24000</v>
          </cell>
          <cell r="W27">
            <v>24000</v>
          </cell>
        </row>
        <row r="28">
          <cell r="T28">
            <v>1</v>
          </cell>
        </row>
        <row r="29">
          <cell r="R29">
            <v>0</v>
          </cell>
          <cell r="S29">
            <v>24000</v>
          </cell>
        </row>
        <row r="30">
          <cell r="V30" t="str">
            <v>No comprar</v>
          </cell>
        </row>
        <row r="31">
          <cell r="N31" t="str">
            <v>No comprar</v>
          </cell>
          <cell r="Y31">
            <v>0</v>
          </cell>
        </row>
        <row r="32">
          <cell r="F32" t="str">
            <v>No comprar</v>
          </cell>
          <cell r="V32">
            <v>0</v>
          </cell>
          <cell r="W32">
            <v>0</v>
          </cell>
        </row>
        <row r="33">
          <cell r="N33">
            <v>0</v>
          </cell>
          <cell r="O33">
            <v>9600</v>
          </cell>
        </row>
        <row r="34">
          <cell r="F34">
            <v>0</v>
          </cell>
          <cell r="G34">
            <v>8000</v>
          </cell>
          <cell r="R34">
            <v>0.6</v>
          </cell>
        </row>
        <row r="35">
          <cell r="R35" t="str">
            <v>Vendido</v>
          </cell>
        </row>
        <row r="36">
          <cell r="Y36">
            <v>0</v>
          </cell>
        </row>
        <row r="37">
          <cell r="R37">
            <v>0</v>
          </cell>
          <cell r="S37">
            <v>0</v>
          </cell>
        </row>
        <row r="39">
          <cell r="J39">
            <v>0.6</v>
          </cell>
        </row>
        <row r="40">
          <cell r="J40" t="str">
            <v>Vendido</v>
          </cell>
        </row>
        <row r="41">
          <cell r="Y41">
            <v>0</v>
          </cell>
        </row>
        <row r="42">
          <cell r="J42">
            <v>0</v>
          </cell>
          <cell r="K42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nósticos"/>
      <sheetName val="Sheet2"/>
      <sheetName val="Sheet3"/>
    </sheetNames>
    <sheetDataSet>
      <sheetData sheetId="0">
        <row r="11">
          <cell r="C11" t="str">
            <v>Trimestre</v>
          </cell>
          <cell r="D11" t="str">
            <v xml:space="preserve">Cuentas por Cobrar </v>
          </cell>
        </row>
        <row r="12">
          <cell r="C12" t="str">
            <v>Q1</v>
          </cell>
          <cell r="D12">
            <v>50</v>
          </cell>
        </row>
        <row r="13">
          <cell r="C13" t="str">
            <v>Q2</v>
          </cell>
          <cell r="D13">
            <v>75</v>
          </cell>
        </row>
        <row r="14">
          <cell r="C14" t="str">
            <v>Q3</v>
          </cell>
          <cell r="D14">
            <v>80</v>
          </cell>
        </row>
        <row r="15">
          <cell r="C15" t="str">
            <v>Q4</v>
          </cell>
          <cell r="D15">
            <v>150</v>
          </cell>
        </row>
        <row r="16">
          <cell r="C16" t="str">
            <v>Q1</v>
          </cell>
          <cell r="D16">
            <v>125</v>
          </cell>
        </row>
        <row r="17">
          <cell r="C17" t="str">
            <v>Q2</v>
          </cell>
          <cell r="D17">
            <v>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 móvil"/>
      <sheetName val="Suavización y regresión"/>
      <sheetName val="Descomposición de series"/>
      <sheetName val="Holt y Winter"/>
    </sheetNames>
    <sheetDataSet>
      <sheetData sheetId="0" refreshError="1">
        <row r="39">
          <cell r="A39" t="str">
            <v>años</v>
          </cell>
          <cell r="D39" t="str">
            <v>Yt</v>
          </cell>
        </row>
        <row r="40">
          <cell r="B40">
            <v>1</v>
          </cell>
          <cell r="C40">
            <v>1</v>
          </cell>
          <cell r="D40">
            <v>500</v>
          </cell>
        </row>
        <row r="41">
          <cell r="B41">
            <v>2</v>
          </cell>
          <cell r="C41">
            <v>2</v>
          </cell>
          <cell r="D41">
            <v>350</v>
          </cell>
        </row>
        <row r="42">
          <cell r="B42">
            <v>3</v>
          </cell>
          <cell r="C42">
            <v>3</v>
          </cell>
          <cell r="D42">
            <v>250</v>
          </cell>
        </row>
        <row r="43">
          <cell r="B43">
            <v>4</v>
          </cell>
          <cell r="C43">
            <v>4</v>
          </cell>
          <cell r="D43">
            <v>400</v>
          </cell>
        </row>
        <row r="44">
          <cell r="B44">
            <v>1</v>
          </cell>
          <cell r="C44">
            <v>5</v>
          </cell>
          <cell r="D44">
            <v>450</v>
          </cell>
        </row>
        <row r="45">
          <cell r="B45">
            <v>2</v>
          </cell>
          <cell r="C45">
            <v>6</v>
          </cell>
          <cell r="D45">
            <v>350</v>
          </cell>
        </row>
        <row r="46">
          <cell r="B46">
            <v>3</v>
          </cell>
          <cell r="C46">
            <v>7</v>
          </cell>
        </row>
        <row r="47">
          <cell r="B47">
            <v>4</v>
          </cell>
          <cell r="C47">
            <v>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topLeftCell="A16" zoomScale="110" zoomScaleNormal="110" workbookViewId="0">
      <selection activeCell="B41" sqref="B41"/>
    </sheetView>
  </sheetViews>
  <sheetFormatPr baseColWidth="10" defaultRowHeight="12.75" x14ac:dyDescent="0.2"/>
  <cols>
    <col min="1" max="1" width="29.28515625" style="45" customWidth="1"/>
    <col min="2" max="2" width="11.42578125" style="45"/>
    <col min="3" max="3" width="14.5703125" style="45" customWidth="1"/>
    <col min="4" max="4" width="8.28515625" style="45" customWidth="1"/>
    <col min="5" max="5" width="13.140625" style="45" customWidth="1"/>
    <col min="6" max="6" width="12.42578125" style="45" customWidth="1"/>
    <col min="7" max="11" width="9.7109375" style="45" customWidth="1"/>
    <col min="12" max="256" width="11.42578125" style="45"/>
    <col min="257" max="257" width="29.28515625" style="45" customWidth="1"/>
    <col min="258" max="259" width="11.42578125" style="45"/>
    <col min="260" max="260" width="8.28515625" style="45" customWidth="1"/>
    <col min="261" max="261" width="11.42578125" style="45"/>
    <col min="262" max="262" width="12.42578125" style="45" customWidth="1"/>
    <col min="263" max="267" width="9.7109375" style="45" customWidth="1"/>
    <col min="268" max="512" width="11.42578125" style="45"/>
    <col min="513" max="513" width="29.28515625" style="45" customWidth="1"/>
    <col min="514" max="515" width="11.42578125" style="45"/>
    <col min="516" max="516" width="8.28515625" style="45" customWidth="1"/>
    <col min="517" max="517" width="11.42578125" style="45"/>
    <col min="518" max="518" width="12.42578125" style="45" customWidth="1"/>
    <col min="519" max="523" width="9.7109375" style="45" customWidth="1"/>
    <col min="524" max="768" width="11.42578125" style="45"/>
    <col min="769" max="769" width="29.28515625" style="45" customWidth="1"/>
    <col min="770" max="771" width="11.42578125" style="45"/>
    <col min="772" max="772" width="8.28515625" style="45" customWidth="1"/>
    <col min="773" max="773" width="11.42578125" style="45"/>
    <col min="774" max="774" width="12.42578125" style="45" customWidth="1"/>
    <col min="775" max="779" width="9.7109375" style="45" customWidth="1"/>
    <col min="780" max="1024" width="11.42578125" style="45"/>
    <col min="1025" max="1025" width="29.28515625" style="45" customWidth="1"/>
    <col min="1026" max="1027" width="11.42578125" style="45"/>
    <col min="1028" max="1028" width="8.28515625" style="45" customWidth="1"/>
    <col min="1029" max="1029" width="11.42578125" style="45"/>
    <col min="1030" max="1030" width="12.42578125" style="45" customWidth="1"/>
    <col min="1031" max="1035" width="9.7109375" style="45" customWidth="1"/>
    <col min="1036" max="1280" width="11.42578125" style="45"/>
    <col min="1281" max="1281" width="29.28515625" style="45" customWidth="1"/>
    <col min="1282" max="1283" width="11.42578125" style="45"/>
    <col min="1284" max="1284" width="8.28515625" style="45" customWidth="1"/>
    <col min="1285" max="1285" width="11.42578125" style="45"/>
    <col min="1286" max="1286" width="12.42578125" style="45" customWidth="1"/>
    <col min="1287" max="1291" width="9.7109375" style="45" customWidth="1"/>
    <col min="1292" max="1536" width="11.42578125" style="45"/>
    <col min="1537" max="1537" width="29.28515625" style="45" customWidth="1"/>
    <col min="1538" max="1539" width="11.42578125" style="45"/>
    <col min="1540" max="1540" width="8.28515625" style="45" customWidth="1"/>
    <col min="1541" max="1541" width="11.42578125" style="45"/>
    <col min="1542" max="1542" width="12.42578125" style="45" customWidth="1"/>
    <col min="1543" max="1547" width="9.7109375" style="45" customWidth="1"/>
    <col min="1548" max="1792" width="11.42578125" style="45"/>
    <col min="1793" max="1793" width="29.28515625" style="45" customWidth="1"/>
    <col min="1794" max="1795" width="11.42578125" style="45"/>
    <col min="1796" max="1796" width="8.28515625" style="45" customWidth="1"/>
    <col min="1797" max="1797" width="11.42578125" style="45"/>
    <col min="1798" max="1798" width="12.42578125" style="45" customWidth="1"/>
    <col min="1799" max="1803" width="9.7109375" style="45" customWidth="1"/>
    <col min="1804" max="2048" width="11.42578125" style="45"/>
    <col min="2049" max="2049" width="29.28515625" style="45" customWidth="1"/>
    <col min="2050" max="2051" width="11.42578125" style="45"/>
    <col min="2052" max="2052" width="8.28515625" style="45" customWidth="1"/>
    <col min="2053" max="2053" width="11.42578125" style="45"/>
    <col min="2054" max="2054" width="12.42578125" style="45" customWidth="1"/>
    <col min="2055" max="2059" width="9.7109375" style="45" customWidth="1"/>
    <col min="2060" max="2304" width="11.42578125" style="45"/>
    <col min="2305" max="2305" width="29.28515625" style="45" customWidth="1"/>
    <col min="2306" max="2307" width="11.42578125" style="45"/>
    <col min="2308" max="2308" width="8.28515625" style="45" customWidth="1"/>
    <col min="2309" max="2309" width="11.42578125" style="45"/>
    <col min="2310" max="2310" width="12.42578125" style="45" customWidth="1"/>
    <col min="2311" max="2315" width="9.7109375" style="45" customWidth="1"/>
    <col min="2316" max="2560" width="11.42578125" style="45"/>
    <col min="2561" max="2561" width="29.28515625" style="45" customWidth="1"/>
    <col min="2562" max="2563" width="11.42578125" style="45"/>
    <col min="2564" max="2564" width="8.28515625" style="45" customWidth="1"/>
    <col min="2565" max="2565" width="11.42578125" style="45"/>
    <col min="2566" max="2566" width="12.42578125" style="45" customWidth="1"/>
    <col min="2567" max="2571" width="9.7109375" style="45" customWidth="1"/>
    <col min="2572" max="2816" width="11.42578125" style="45"/>
    <col min="2817" max="2817" width="29.28515625" style="45" customWidth="1"/>
    <col min="2818" max="2819" width="11.42578125" style="45"/>
    <col min="2820" max="2820" width="8.28515625" style="45" customWidth="1"/>
    <col min="2821" max="2821" width="11.42578125" style="45"/>
    <col min="2822" max="2822" width="12.42578125" style="45" customWidth="1"/>
    <col min="2823" max="2827" width="9.7109375" style="45" customWidth="1"/>
    <col min="2828" max="3072" width="11.42578125" style="45"/>
    <col min="3073" max="3073" width="29.28515625" style="45" customWidth="1"/>
    <col min="3074" max="3075" width="11.42578125" style="45"/>
    <col min="3076" max="3076" width="8.28515625" style="45" customWidth="1"/>
    <col min="3077" max="3077" width="11.42578125" style="45"/>
    <col min="3078" max="3078" width="12.42578125" style="45" customWidth="1"/>
    <col min="3079" max="3083" width="9.7109375" style="45" customWidth="1"/>
    <col min="3084" max="3328" width="11.42578125" style="45"/>
    <col min="3329" max="3329" width="29.28515625" style="45" customWidth="1"/>
    <col min="3330" max="3331" width="11.42578125" style="45"/>
    <col min="3332" max="3332" width="8.28515625" style="45" customWidth="1"/>
    <col min="3333" max="3333" width="11.42578125" style="45"/>
    <col min="3334" max="3334" width="12.42578125" style="45" customWidth="1"/>
    <col min="3335" max="3339" width="9.7109375" style="45" customWidth="1"/>
    <col min="3340" max="3584" width="11.42578125" style="45"/>
    <col min="3585" max="3585" width="29.28515625" style="45" customWidth="1"/>
    <col min="3586" max="3587" width="11.42578125" style="45"/>
    <col min="3588" max="3588" width="8.28515625" style="45" customWidth="1"/>
    <col min="3589" max="3589" width="11.42578125" style="45"/>
    <col min="3590" max="3590" width="12.42578125" style="45" customWidth="1"/>
    <col min="3591" max="3595" width="9.7109375" style="45" customWidth="1"/>
    <col min="3596" max="3840" width="11.42578125" style="45"/>
    <col min="3841" max="3841" width="29.28515625" style="45" customWidth="1"/>
    <col min="3842" max="3843" width="11.42578125" style="45"/>
    <col min="3844" max="3844" width="8.28515625" style="45" customWidth="1"/>
    <col min="3845" max="3845" width="11.42578125" style="45"/>
    <col min="3846" max="3846" width="12.42578125" style="45" customWidth="1"/>
    <col min="3847" max="3851" width="9.7109375" style="45" customWidth="1"/>
    <col min="3852" max="4096" width="11.42578125" style="45"/>
    <col min="4097" max="4097" width="29.28515625" style="45" customWidth="1"/>
    <col min="4098" max="4099" width="11.42578125" style="45"/>
    <col min="4100" max="4100" width="8.28515625" style="45" customWidth="1"/>
    <col min="4101" max="4101" width="11.42578125" style="45"/>
    <col min="4102" max="4102" width="12.42578125" style="45" customWidth="1"/>
    <col min="4103" max="4107" width="9.7109375" style="45" customWidth="1"/>
    <col min="4108" max="4352" width="11.42578125" style="45"/>
    <col min="4353" max="4353" width="29.28515625" style="45" customWidth="1"/>
    <col min="4354" max="4355" width="11.42578125" style="45"/>
    <col min="4356" max="4356" width="8.28515625" style="45" customWidth="1"/>
    <col min="4357" max="4357" width="11.42578125" style="45"/>
    <col min="4358" max="4358" width="12.42578125" style="45" customWidth="1"/>
    <col min="4359" max="4363" width="9.7109375" style="45" customWidth="1"/>
    <col min="4364" max="4608" width="11.42578125" style="45"/>
    <col min="4609" max="4609" width="29.28515625" style="45" customWidth="1"/>
    <col min="4610" max="4611" width="11.42578125" style="45"/>
    <col min="4612" max="4612" width="8.28515625" style="45" customWidth="1"/>
    <col min="4613" max="4613" width="11.42578125" style="45"/>
    <col min="4614" max="4614" width="12.42578125" style="45" customWidth="1"/>
    <col min="4615" max="4619" width="9.7109375" style="45" customWidth="1"/>
    <col min="4620" max="4864" width="11.42578125" style="45"/>
    <col min="4865" max="4865" width="29.28515625" style="45" customWidth="1"/>
    <col min="4866" max="4867" width="11.42578125" style="45"/>
    <col min="4868" max="4868" width="8.28515625" style="45" customWidth="1"/>
    <col min="4869" max="4869" width="11.42578125" style="45"/>
    <col min="4870" max="4870" width="12.42578125" style="45" customWidth="1"/>
    <col min="4871" max="4875" width="9.7109375" style="45" customWidth="1"/>
    <col min="4876" max="5120" width="11.42578125" style="45"/>
    <col min="5121" max="5121" width="29.28515625" style="45" customWidth="1"/>
    <col min="5122" max="5123" width="11.42578125" style="45"/>
    <col min="5124" max="5124" width="8.28515625" style="45" customWidth="1"/>
    <col min="5125" max="5125" width="11.42578125" style="45"/>
    <col min="5126" max="5126" width="12.42578125" style="45" customWidth="1"/>
    <col min="5127" max="5131" width="9.7109375" style="45" customWidth="1"/>
    <col min="5132" max="5376" width="11.42578125" style="45"/>
    <col min="5377" max="5377" width="29.28515625" style="45" customWidth="1"/>
    <col min="5378" max="5379" width="11.42578125" style="45"/>
    <col min="5380" max="5380" width="8.28515625" style="45" customWidth="1"/>
    <col min="5381" max="5381" width="11.42578125" style="45"/>
    <col min="5382" max="5382" width="12.42578125" style="45" customWidth="1"/>
    <col min="5383" max="5387" width="9.7109375" style="45" customWidth="1"/>
    <col min="5388" max="5632" width="11.42578125" style="45"/>
    <col min="5633" max="5633" width="29.28515625" style="45" customWidth="1"/>
    <col min="5634" max="5635" width="11.42578125" style="45"/>
    <col min="5636" max="5636" width="8.28515625" style="45" customWidth="1"/>
    <col min="5637" max="5637" width="11.42578125" style="45"/>
    <col min="5638" max="5638" width="12.42578125" style="45" customWidth="1"/>
    <col min="5639" max="5643" width="9.7109375" style="45" customWidth="1"/>
    <col min="5644" max="5888" width="11.42578125" style="45"/>
    <col min="5889" max="5889" width="29.28515625" style="45" customWidth="1"/>
    <col min="5890" max="5891" width="11.42578125" style="45"/>
    <col min="5892" max="5892" width="8.28515625" style="45" customWidth="1"/>
    <col min="5893" max="5893" width="11.42578125" style="45"/>
    <col min="5894" max="5894" width="12.42578125" style="45" customWidth="1"/>
    <col min="5895" max="5899" width="9.7109375" style="45" customWidth="1"/>
    <col min="5900" max="6144" width="11.42578125" style="45"/>
    <col min="6145" max="6145" width="29.28515625" style="45" customWidth="1"/>
    <col min="6146" max="6147" width="11.42578125" style="45"/>
    <col min="6148" max="6148" width="8.28515625" style="45" customWidth="1"/>
    <col min="6149" max="6149" width="11.42578125" style="45"/>
    <col min="6150" max="6150" width="12.42578125" style="45" customWidth="1"/>
    <col min="6151" max="6155" width="9.7109375" style="45" customWidth="1"/>
    <col min="6156" max="6400" width="11.42578125" style="45"/>
    <col min="6401" max="6401" width="29.28515625" style="45" customWidth="1"/>
    <col min="6402" max="6403" width="11.42578125" style="45"/>
    <col min="6404" max="6404" width="8.28515625" style="45" customWidth="1"/>
    <col min="6405" max="6405" width="11.42578125" style="45"/>
    <col min="6406" max="6406" width="12.42578125" style="45" customWidth="1"/>
    <col min="6407" max="6411" width="9.7109375" style="45" customWidth="1"/>
    <col min="6412" max="6656" width="11.42578125" style="45"/>
    <col min="6657" max="6657" width="29.28515625" style="45" customWidth="1"/>
    <col min="6658" max="6659" width="11.42578125" style="45"/>
    <col min="6660" max="6660" width="8.28515625" style="45" customWidth="1"/>
    <col min="6661" max="6661" width="11.42578125" style="45"/>
    <col min="6662" max="6662" width="12.42578125" style="45" customWidth="1"/>
    <col min="6663" max="6667" width="9.7109375" style="45" customWidth="1"/>
    <col min="6668" max="6912" width="11.42578125" style="45"/>
    <col min="6913" max="6913" width="29.28515625" style="45" customWidth="1"/>
    <col min="6914" max="6915" width="11.42578125" style="45"/>
    <col min="6916" max="6916" width="8.28515625" style="45" customWidth="1"/>
    <col min="6917" max="6917" width="11.42578125" style="45"/>
    <col min="6918" max="6918" width="12.42578125" style="45" customWidth="1"/>
    <col min="6919" max="6923" width="9.7109375" style="45" customWidth="1"/>
    <col min="6924" max="7168" width="11.42578125" style="45"/>
    <col min="7169" max="7169" width="29.28515625" style="45" customWidth="1"/>
    <col min="7170" max="7171" width="11.42578125" style="45"/>
    <col min="7172" max="7172" width="8.28515625" style="45" customWidth="1"/>
    <col min="7173" max="7173" width="11.42578125" style="45"/>
    <col min="7174" max="7174" width="12.42578125" style="45" customWidth="1"/>
    <col min="7175" max="7179" width="9.7109375" style="45" customWidth="1"/>
    <col min="7180" max="7424" width="11.42578125" style="45"/>
    <col min="7425" max="7425" width="29.28515625" style="45" customWidth="1"/>
    <col min="7426" max="7427" width="11.42578125" style="45"/>
    <col min="7428" max="7428" width="8.28515625" style="45" customWidth="1"/>
    <col min="7429" max="7429" width="11.42578125" style="45"/>
    <col min="7430" max="7430" width="12.42578125" style="45" customWidth="1"/>
    <col min="7431" max="7435" width="9.7109375" style="45" customWidth="1"/>
    <col min="7436" max="7680" width="11.42578125" style="45"/>
    <col min="7681" max="7681" width="29.28515625" style="45" customWidth="1"/>
    <col min="7682" max="7683" width="11.42578125" style="45"/>
    <col min="7684" max="7684" width="8.28515625" style="45" customWidth="1"/>
    <col min="7685" max="7685" width="11.42578125" style="45"/>
    <col min="7686" max="7686" width="12.42578125" style="45" customWidth="1"/>
    <col min="7687" max="7691" width="9.7109375" style="45" customWidth="1"/>
    <col min="7692" max="7936" width="11.42578125" style="45"/>
    <col min="7937" max="7937" width="29.28515625" style="45" customWidth="1"/>
    <col min="7938" max="7939" width="11.42578125" style="45"/>
    <col min="7940" max="7940" width="8.28515625" style="45" customWidth="1"/>
    <col min="7941" max="7941" width="11.42578125" style="45"/>
    <col min="7942" max="7942" width="12.42578125" style="45" customWidth="1"/>
    <col min="7943" max="7947" width="9.7109375" style="45" customWidth="1"/>
    <col min="7948" max="8192" width="11.42578125" style="45"/>
    <col min="8193" max="8193" width="29.28515625" style="45" customWidth="1"/>
    <col min="8194" max="8195" width="11.42578125" style="45"/>
    <col min="8196" max="8196" width="8.28515625" style="45" customWidth="1"/>
    <col min="8197" max="8197" width="11.42578125" style="45"/>
    <col min="8198" max="8198" width="12.42578125" style="45" customWidth="1"/>
    <col min="8199" max="8203" width="9.7109375" style="45" customWidth="1"/>
    <col min="8204" max="8448" width="11.42578125" style="45"/>
    <col min="8449" max="8449" width="29.28515625" style="45" customWidth="1"/>
    <col min="8450" max="8451" width="11.42578125" style="45"/>
    <col min="8452" max="8452" width="8.28515625" style="45" customWidth="1"/>
    <col min="8453" max="8453" width="11.42578125" style="45"/>
    <col min="8454" max="8454" width="12.42578125" style="45" customWidth="1"/>
    <col min="8455" max="8459" width="9.7109375" style="45" customWidth="1"/>
    <col min="8460" max="8704" width="11.42578125" style="45"/>
    <col min="8705" max="8705" width="29.28515625" style="45" customWidth="1"/>
    <col min="8706" max="8707" width="11.42578125" style="45"/>
    <col min="8708" max="8708" width="8.28515625" style="45" customWidth="1"/>
    <col min="8709" max="8709" width="11.42578125" style="45"/>
    <col min="8710" max="8710" width="12.42578125" style="45" customWidth="1"/>
    <col min="8711" max="8715" width="9.7109375" style="45" customWidth="1"/>
    <col min="8716" max="8960" width="11.42578125" style="45"/>
    <col min="8961" max="8961" width="29.28515625" style="45" customWidth="1"/>
    <col min="8962" max="8963" width="11.42578125" style="45"/>
    <col min="8964" max="8964" width="8.28515625" style="45" customWidth="1"/>
    <col min="8965" max="8965" width="11.42578125" style="45"/>
    <col min="8966" max="8966" width="12.42578125" style="45" customWidth="1"/>
    <col min="8967" max="8971" width="9.7109375" style="45" customWidth="1"/>
    <col min="8972" max="9216" width="11.42578125" style="45"/>
    <col min="9217" max="9217" width="29.28515625" style="45" customWidth="1"/>
    <col min="9218" max="9219" width="11.42578125" style="45"/>
    <col min="9220" max="9220" width="8.28515625" style="45" customWidth="1"/>
    <col min="9221" max="9221" width="11.42578125" style="45"/>
    <col min="9222" max="9222" width="12.42578125" style="45" customWidth="1"/>
    <col min="9223" max="9227" width="9.7109375" style="45" customWidth="1"/>
    <col min="9228" max="9472" width="11.42578125" style="45"/>
    <col min="9473" max="9473" width="29.28515625" style="45" customWidth="1"/>
    <col min="9474" max="9475" width="11.42578125" style="45"/>
    <col min="9476" max="9476" width="8.28515625" style="45" customWidth="1"/>
    <col min="9477" max="9477" width="11.42578125" style="45"/>
    <col min="9478" max="9478" width="12.42578125" style="45" customWidth="1"/>
    <col min="9479" max="9483" width="9.7109375" style="45" customWidth="1"/>
    <col min="9484" max="9728" width="11.42578125" style="45"/>
    <col min="9729" max="9729" width="29.28515625" style="45" customWidth="1"/>
    <col min="9730" max="9731" width="11.42578125" style="45"/>
    <col min="9732" max="9732" width="8.28515625" style="45" customWidth="1"/>
    <col min="9733" max="9733" width="11.42578125" style="45"/>
    <col min="9734" max="9734" width="12.42578125" style="45" customWidth="1"/>
    <col min="9735" max="9739" width="9.7109375" style="45" customWidth="1"/>
    <col min="9740" max="9984" width="11.42578125" style="45"/>
    <col min="9985" max="9985" width="29.28515625" style="45" customWidth="1"/>
    <col min="9986" max="9987" width="11.42578125" style="45"/>
    <col min="9988" max="9988" width="8.28515625" style="45" customWidth="1"/>
    <col min="9989" max="9989" width="11.42578125" style="45"/>
    <col min="9990" max="9990" width="12.42578125" style="45" customWidth="1"/>
    <col min="9991" max="9995" width="9.7109375" style="45" customWidth="1"/>
    <col min="9996" max="10240" width="11.42578125" style="45"/>
    <col min="10241" max="10241" width="29.28515625" style="45" customWidth="1"/>
    <col min="10242" max="10243" width="11.42578125" style="45"/>
    <col min="10244" max="10244" width="8.28515625" style="45" customWidth="1"/>
    <col min="10245" max="10245" width="11.42578125" style="45"/>
    <col min="10246" max="10246" width="12.42578125" style="45" customWidth="1"/>
    <col min="10247" max="10251" width="9.7109375" style="45" customWidth="1"/>
    <col min="10252" max="10496" width="11.42578125" style="45"/>
    <col min="10497" max="10497" width="29.28515625" style="45" customWidth="1"/>
    <col min="10498" max="10499" width="11.42578125" style="45"/>
    <col min="10500" max="10500" width="8.28515625" style="45" customWidth="1"/>
    <col min="10501" max="10501" width="11.42578125" style="45"/>
    <col min="10502" max="10502" width="12.42578125" style="45" customWidth="1"/>
    <col min="10503" max="10507" width="9.7109375" style="45" customWidth="1"/>
    <col min="10508" max="10752" width="11.42578125" style="45"/>
    <col min="10753" max="10753" width="29.28515625" style="45" customWidth="1"/>
    <col min="10754" max="10755" width="11.42578125" style="45"/>
    <col min="10756" max="10756" width="8.28515625" style="45" customWidth="1"/>
    <col min="10757" max="10757" width="11.42578125" style="45"/>
    <col min="10758" max="10758" width="12.42578125" style="45" customWidth="1"/>
    <col min="10759" max="10763" width="9.7109375" style="45" customWidth="1"/>
    <col min="10764" max="11008" width="11.42578125" style="45"/>
    <col min="11009" max="11009" width="29.28515625" style="45" customWidth="1"/>
    <col min="11010" max="11011" width="11.42578125" style="45"/>
    <col min="11012" max="11012" width="8.28515625" style="45" customWidth="1"/>
    <col min="11013" max="11013" width="11.42578125" style="45"/>
    <col min="11014" max="11014" width="12.42578125" style="45" customWidth="1"/>
    <col min="11015" max="11019" width="9.7109375" style="45" customWidth="1"/>
    <col min="11020" max="11264" width="11.42578125" style="45"/>
    <col min="11265" max="11265" width="29.28515625" style="45" customWidth="1"/>
    <col min="11266" max="11267" width="11.42578125" style="45"/>
    <col min="11268" max="11268" width="8.28515625" style="45" customWidth="1"/>
    <col min="11269" max="11269" width="11.42578125" style="45"/>
    <col min="11270" max="11270" width="12.42578125" style="45" customWidth="1"/>
    <col min="11271" max="11275" width="9.7109375" style="45" customWidth="1"/>
    <col min="11276" max="11520" width="11.42578125" style="45"/>
    <col min="11521" max="11521" width="29.28515625" style="45" customWidth="1"/>
    <col min="11522" max="11523" width="11.42578125" style="45"/>
    <col min="11524" max="11524" width="8.28515625" style="45" customWidth="1"/>
    <col min="11525" max="11525" width="11.42578125" style="45"/>
    <col min="11526" max="11526" width="12.42578125" style="45" customWidth="1"/>
    <col min="11527" max="11531" width="9.7109375" style="45" customWidth="1"/>
    <col min="11532" max="11776" width="11.42578125" style="45"/>
    <col min="11777" max="11777" width="29.28515625" style="45" customWidth="1"/>
    <col min="11778" max="11779" width="11.42578125" style="45"/>
    <col min="11780" max="11780" width="8.28515625" style="45" customWidth="1"/>
    <col min="11781" max="11781" width="11.42578125" style="45"/>
    <col min="11782" max="11782" width="12.42578125" style="45" customWidth="1"/>
    <col min="11783" max="11787" width="9.7109375" style="45" customWidth="1"/>
    <col min="11788" max="12032" width="11.42578125" style="45"/>
    <col min="12033" max="12033" width="29.28515625" style="45" customWidth="1"/>
    <col min="12034" max="12035" width="11.42578125" style="45"/>
    <col min="12036" max="12036" width="8.28515625" style="45" customWidth="1"/>
    <col min="12037" max="12037" width="11.42578125" style="45"/>
    <col min="12038" max="12038" width="12.42578125" style="45" customWidth="1"/>
    <col min="12039" max="12043" width="9.7109375" style="45" customWidth="1"/>
    <col min="12044" max="12288" width="11.42578125" style="45"/>
    <col min="12289" max="12289" width="29.28515625" style="45" customWidth="1"/>
    <col min="12290" max="12291" width="11.42578125" style="45"/>
    <col min="12292" max="12292" width="8.28515625" style="45" customWidth="1"/>
    <col min="12293" max="12293" width="11.42578125" style="45"/>
    <col min="12294" max="12294" width="12.42578125" style="45" customWidth="1"/>
    <col min="12295" max="12299" width="9.7109375" style="45" customWidth="1"/>
    <col min="12300" max="12544" width="11.42578125" style="45"/>
    <col min="12545" max="12545" width="29.28515625" style="45" customWidth="1"/>
    <col min="12546" max="12547" width="11.42578125" style="45"/>
    <col min="12548" max="12548" width="8.28515625" style="45" customWidth="1"/>
    <col min="12549" max="12549" width="11.42578125" style="45"/>
    <col min="12550" max="12550" width="12.42578125" style="45" customWidth="1"/>
    <col min="12551" max="12555" width="9.7109375" style="45" customWidth="1"/>
    <col min="12556" max="12800" width="11.42578125" style="45"/>
    <col min="12801" max="12801" width="29.28515625" style="45" customWidth="1"/>
    <col min="12802" max="12803" width="11.42578125" style="45"/>
    <col min="12804" max="12804" width="8.28515625" style="45" customWidth="1"/>
    <col min="12805" max="12805" width="11.42578125" style="45"/>
    <col min="12806" max="12806" width="12.42578125" style="45" customWidth="1"/>
    <col min="12807" max="12811" width="9.7109375" style="45" customWidth="1"/>
    <col min="12812" max="13056" width="11.42578125" style="45"/>
    <col min="13057" max="13057" width="29.28515625" style="45" customWidth="1"/>
    <col min="13058" max="13059" width="11.42578125" style="45"/>
    <col min="13060" max="13060" width="8.28515625" style="45" customWidth="1"/>
    <col min="13061" max="13061" width="11.42578125" style="45"/>
    <col min="13062" max="13062" width="12.42578125" style="45" customWidth="1"/>
    <col min="13063" max="13067" width="9.7109375" style="45" customWidth="1"/>
    <col min="13068" max="13312" width="11.42578125" style="45"/>
    <col min="13313" max="13313" width="29.28515625" style="45" customWidth="1"/>
    <col min="13314" max="13315" width="11.42578125" style="45"/>
    <col min="13316" max="13316" width="8.28515625" style="45" customWidth="1"/>
    <col min="13317" max="13317" width="11.42578125" style="45"/>
    <col min="13318" max="13318" width="12.42578125" style="45" customWidth="1"/>
    <col min="13319" max="13323" width="9.7109375" style="45" customWidth="1"/>
    <col min="13324" max="13568" width="11.42578125" style="45"/>
    <col min="13569" max="13569" width="29.28515625" style="45" customWidth="1"/>
    <col min="13570" max="13571" width="11.42578125" style="45"/>
    <col min="13572" max="13572" width="8.28515625" style="45" customWidth="1"/>
    <col min="13573" max="13573" width="11.42578125" style="45"/>
    <col min="13574" max="13574" width="12.42578125" style="45" customWidth="1"/>
    <col min="13575" max="13579" width="9.7109375" style="45" customWidth="1"/>
    <col min="13580" max="13824" width="11.42578125" style="45"/>
    <col min="13825" max="13825" width="29.28515625" style="45" customWidth="1"/>
    <col min="13826" max="13827" width="11.42578125" style="45"/>
    <col min="13828" max="13828" width="8.28515625" style="45" customWidth="1"/>
    <col min="13829" max="13829" width="11.42578125" style="45"/>
    <col min="13830" max="13830" width="12.42578125" style="45" customWidth="1"/>
    <col min="13831" max="13835" width="9.7109375" style="45" customWidth="1"/>
    <col min="13836" max="14080" width="11.42578125" style="45"/>
    <col min="14081" max="14081" width="29.28515625" style="45" customWidth="1"/>
    <col min="14082" max="14083" width="11.42578125" style="45"/>
    <col min="14084" max="14084" width="8.28515625" style="45" customWidth="1"/>
    <col min="14085" max="14085" width="11.42578125" style="45"/>
    <col min="14086" max="14086" width="12.42578125" style="45" customWidth="1"/>
    <col min="14087" max="14091" width="9.7109375" style="45" customWidth="1"/>
    <col min="14092" max="14336" width="11.42578125" style="45"/>
    <col min="14337" max="14337" width="29.28515625" style="45" customWidth="1"/>
    <col min="14338" max="14339" width="11.42578125" style="45"/>
    <col min="14340" max="14340" width="8.28515625" style="45" customWidth="1"/>
    <col min="14341" max="14341" width="11.42578125" style="45"/>
    <col min="14342" max="14342" width="12.42578125" style="45" customWidth="1"/>
    <col min="14343" max="14347" width="9.7109375" style="45" customWidth="1"/>
    <col min="14348" max="14592" width="11.42578125" style="45"/>
    <col min="14593" max="14593" width="29.28515625" style="45" customWidth="1"/>
    <col min="14594" max="14595" width="11.42578125" style="45"/>
    <col min="14596" max="14596" width="8.28515625" style="45" customWidth="1"/>
    <col min="14597" max="14597" width="11.42578125" style="45"/>
    <col min="14598" max="14598" width="12.42578125" style="45" customWidth="1"/>
    <col min="14599" max="14603" width="9.7109375" style="45" customWidth="1"/>
    <col min="14604" max="14848" width="11.42578125" style="45"/>
    <col min="14849" max="14849" width="29.28515625" style="45" customWidth="1"/>
    <col min="14850" max="14851" width="11.42578125" style="45"/>
    <col min="14852" max="14852" width="8.28515625" style="45" customWidth="1"/>
    <col min="14853" max="14853" width="11.42578125" style="45"/>
    <col min="14854" max="14854" width="12.42578125" style="45" customWidth="1"/>
    <col min="14855" max="14859" width="9.7109375" style="45" customWidth="1"/>
    <col min="14860" max="15104" width="11.42578125" style="45"/>
    <col min="15105" max="15105" width="29.28515625" style="45" customWidth="1"/>
    <col min="15106" max="15107" width="11.42578125" style="45"/>
    <col min="15108" max="15108" width="8.28515625" style="45" customWidth="1"/>
    <col min="15109" max="15109" width="11.42578125" style="45"/>
    <col min="15110" max="15110" width="12.42578125" style="45" customWidth="1"/>
    <col min="15111" max="15115" width="9.7109375" style="45" customWidth="1"/>
    <col min="15116" max="15360" width="11.42578125" style="45"/>
    <col min="15361" max="15361" width="29.28515625" style="45" customWidth="1"/>
    <col min="15362" max="15363" width="11.42578125" style="45"/>
    <col min="15364" max="15364" width="8.28515625" style="45" customWidth="1"/>
    <col min="15365" max="15365" width="11.42578125" style="45"/>
    <col min="15366" max="15366" width="12.42578125" style="45" customWidth="1"/>
    <col min="15367" max="15371" width="9.7109375" style="45" customWidth="1"/>
    <col min="15372" max="15616" width="11.42578125" style="45"/>
    <col min="15617" max="15617" width="29.28515625" style="45" customWidth="1"/>
    <col min="15618" max="15619" width="11.42578125" style="45"/>
    <col min="15620" max="15620" width="8.28515625" style="45" customWidth="1"/>
    <col min="15621" max="15621" width="11.42578125" style="45"/>
    <col min="15622" max="15622" width="12.42578125" style="45" customWidth="1"/>
    <col min="15623" max="15627" width="9.7109375" style="45" customWidth="1"/>
    <col min="15628" max="15872" width="11.42578125" style="45"/>
    <col min="15873" max="15873" width="29.28515625" style="45" customWidth="1"/>
    <col min="15874" max="15875" width="11.42578125" style="45"/>
    <col min="15876" max="15876" width="8.28515625" style="45" customWidth="1"/>
    <col min="15877" max="15877" width="11.42578125" style="45"/>
    <col min="15878" max="15878" width="12.42578125" style="45" customWidth="1"/>
    <col min="15879" max="15883" width="9.7109375" style="45" customWidth="1"/>
    <col min="15884" max="16128" width="11.42578125" style="45"/>
    <col min="16129" max="16129" width="29.28515625" style="45" customWidth="1"/>
    <col min="16130" max="16131" width="11.42578125" style="45"/>
    <col min="16132" max="16132" width="8.28515625" style="45" customWidth="1"/>
    <col min="16133" max="16133" width="11.42578125" style="45"/>
    <col min="16134" max="16134" width="12.42578125" style="45" customWidth="1"/>
    <col min="16135" max="16139" width="9.7109375" style="45" customWidth="1"/>
    <col min="16140" max="16384" width="11.42578125" style="45"/>
  </cols>
  <sheetData>
    <row r="2" spans="1:13" x14ac:dyDescent="0.2">
      <c r="B2" s="45" t="s">
        <v>56</v>
      </c>
    </row>
    <row r="3" spans="1:13" x14ac:dyDescent="0.2">
      <c r="I3" s="100" t="s">
        <v>57</v>
      </c>
      <c r="J3" s="100"/>
    </row>
    <row r="4" spans="1:13" ht="20.25" x14ac:dyDescent="0.35">
      <c r="B4" s="46" t="s">
        <v>58</v>
      </c>
      <c r="C4" s="46" t="s">
        <v>59</v>
      </c>
      <c r="D4" s="46" t="s">
        <v>60</v>
      </c>
      <c r="E4" s="46" t="s">
        <v>61</v>
      </c>
      <c r="F4" s="47" t="s">
        <v>8</v>
      </c>
      <c r="G4" s="48" t="s">
        <v>62</v>
      </c>
      <c r="H4" s="46" t="s">
        <v>63</v>
      </c>
      <c r="I4" s="49" t="s">
        <v>64</v>
      </c>
      <c r="J4" s="49" t="s">
        <v>65</v>
      </c>
      <c r="K4" s="49" t="s">
        <v>66</v>
      </c>
      <c r="L4" s="49" t="s">
        <v>67</v>
      </c>
      <c r="M4" s="49" t="s">
        <v>68</v>
      </c>
    </row>
    <row r="5" spans="1:13" x14ac:dyDescent="0.2">
      <c r="B5" s="50">
        <v>64000</v>
      </c>
      <c r="C5" s="51">
        <v>24</v>
      </c>
      <c r="D5" s="51">
        <f>E5*H5</f>
        <v>4.8000000000000001E-2</v>
      </c>
      <c r="E5" s="51">
        <v>0.04</v>
      </c>
      <c r="F5" s="51"/>
      <c r="G5" s="51"/>
      <c r="H5" s="52">
        <v>1.2</v>
      </c>
      <c r="I5" s="53"/>
      <c r="J5" s="52"/>
      <c r="K5" s="54"/>
      <c r="L5" s="54"/>
      <c r="M5" s="54"/>
    </row>
    <row r="6" spans="1:13" x14ac:dyDescent="0.2">
      <c r="A6" s="45" t="s">
        <v>69</v>
      </c>
    </row>
    <row r="7" spans="1:13" x14ac:dyDescent="0.2">
      <c r="A7" s="45" t="s">
        <v>70</v>
      </c>
      <c r="B7" s="55" t="s">
        <v>71</v>
      </c>
      <c r="C7" s="55" t="s">
        <v>72</v>
      </c>
      <c r="E7" s="55" t="s">
        <v>73</v>
      </c>
      <c r="G7" s="45" t="s">
        <v>74</v>
      </c>
    </row>
    <row r="8" spans="1:13" x14ac:dyDescent="0.2">
      <c r="B8" s="56">
        <v>0.04</v>
      </c>
      <c r="C8" s="57">
        <v>3.2000000000000001E-2</v>
      </c>
      <c r="E8" s="56">
        <v>0.03</v>
      </c>
      <c r="G8" s="57">
        <v>0.02</v>
      </c>
    </row>
    <row r="9" spans="1:13" x14ac:dyDescent="0.2">
      <c r="B9" s="56"/>
      <c r="C9" s="57"/>
      <c r="E9" s="56"/>
    </row>
    <row r="10" spans="1:13" x14ac:dyDescent="0.2">
      <c r="A10" s="45" t="s">
        <v>57</v>
      </c>
      <c r="B10" s="58" t="s">
        <v>59</v>
      </c>
      <c r="C10" s="57"/>
      <c r="E10" s="56" t="s">
        <v>74</v>
      </c>
    </row>
    <row r="11" spans="1:13" x14ac:dyDescent="0.2">
      <c r="A11" s="45" t="s">
        <v>75</v>
      </c>
      <c r="B11" s="56">
        <v>50</v>
      </c>
      <c r="C11" s="57"/>
      <c r="E11" s="56"/>
    </row>
    <row r="12" spans="1:13" x14ac:dyDescent="0.2">
      <c r="A12" s="45" t="s">
        <v>76</v>
      </c>
      <c r="B12" s="56">
        <v>150</v>
      </c>
      <c r="C12" s="57"/>
      <c r="E12" s="56">
        <v>900</v>
      </c>
    </row>
    <row r="13" spans="1:13" x14ac:dyDescent="0.2">
      <c r="B13" s="56"/>
      <c r="C13" s="57"/>
      <c r="E13" s="56"/>
    </row>
    <row r="14" spans="1:13" x14ac:dyDescent="0.2">
      <c r="A14" s="54" t="s">
        <v>77</v>
      </c>
      <c r="B14" s="51">
        <f>SQRT((2*$B$5*($C$5+B11))/($B$8*$H$5))</f>
        <v>14047.538337136986</v>
      </c>
      <c r="C14" s="57"/>
      <c r="E14" s="56"/>
    </row>
    <row r="15" spans="1:13" x14ac:dyDescent="0.2">
      <c r="A15" s="54" t="s">
        <v>77</v>
      </c>
      <c r="B15" s="51">
        <f>SQRT((2*$B$5*($C$5+B12))/($C$8*$H$5))</f>
        <v>24083.189157584591</v>
      </c>
      <c r="C15" s="57"/>
      <c r="E15" s="56"/>
    </row>
    <row r="16" spans="1:13" x14ac:dyDescent="0.2">
      <c r="A16" s="54" t="s">
        <v>77</v>
      </c>
      <c r="B16" s="51">
        <f>SQRT((2*$B$5*($C$5+B12+B11))/($C$8*$H$5))</f>
        <v>27325.202042558929</v>
      </c>
      <c r="C16" s="57"/>
      <c r="E16" s="56"/>
    </row>
    <row r="17" spans="1:8" x14ac:dyDescent="0.2">
      <c r="A17" s="54" t="s">
        <v>77</v>
      </c>
      <c r="B17" s="51">
        <f>SQRT((2*$B$5*($C$5+B11+B12+B11))/($C$8*$H$5))</f>
        <v>30221.405217715033</v>
      </c>
      <c r="C17" s="57"/>
      <c r="E17" s="56"/>
    </row>
    <row r="18" spans="1:8" x14ac:dyDescent="0.2">
      <c r="A18" s="54" t="s">
        <v>77</v>
      </c>
      <c r="B18" s="51">
        <f>SQRT((2*$B$5*($C$5+(B11*3)+B12))/($E$8*$H$5))</f>
        <v>33941.125496954279</v>
      </c>
      <c r="C18" s="57"/>
      <c r="E18" s="56"/>
    </row>
    <row r="19" spans="1:8" x14ac:dyDescent="0.2">
      <c r="B19" s="56"/>
      <c r="C19" s="57"/>
      <c r="E19" s="56"/>
    </row>
    <row r="22" spans="1:8" x14ac:dyDescent="0.2">
      <c r="B22" s="59" t="s">
        <v>78</v>
      </c>
      <c r="C22" s="60" t="s">
        <v>101</v>
      </c>
      <c r="D22" s="54"/>
      <c r="E22" s="61" t="s">
        <v>70</v>
      </c>
      <c r="F22" s="47"/>
    </row>
    <row r="24" spans="1:8" x14ac:dyDescent="0.2">
      <c r="A24" s="54" t="s">
        <v>77</v>
      </c>
      <c r="B24" s="104">
        <f>+B18</f>
        <v>33941.125496954279</v>
      </c>
      <c r="C24" s="62">
        <f>+B5/0.5</f>
        <v>128000</v>
      </c>
      <c r="D24" s="54"/>
      <c r="E24" s="63"/>
      <c r="F24" s="51"/>
      <c r="H24" s="106" t="s">
        <v>106</v>
      </c>
    </row>
    <row r="25" spans="1:8" x14ac:dyDescent="0.2">
      <c r="A25" s="54"/>
      <c r="B25" s="51"/>
      <c r="C25" s="62"/>
      <c r="D25" s="54"/>
      <c r="E25" s="54"/>
      <c r="F25" s="51"/>
    </row>
    <row r="26" spans="1:8" x14ac:dyDescent="0.2">
      <c r="A26" s="54" t="s">
        <v>79</v>
      </c>
      <c r="B26" s="51">
        <f>B5/B24</f>
        <v>1.8856180831641269</v>
      </c>
      <c r="C26" s="51">
        <f>B5/C24</f>
        <v>0.5</v>
      </c>
      <c r="D26" s="54"/>
      <c r="E26" s="51"/>
      <c r="F26" s="51"/>
    </row>
    <row r="27" spans="1:8" x14ac:dyDescent="0.2">
      <c r="A27" s="54" t="s">
        <v>80</v>
      </c>
      <c r="B27" s="54"/>
      <c r="C27" s="62"/>
      <c r="D27" s="54"/>
      <c r="E27" s="54"/>
      <c r="F27" s="54"/>
    </row>
    <row r="28" spans="1:8" x14ac:dyDescent="0.2">
      <c r="A28" s="54" t="s">
        <v>81</v>
      </c>
      <c r="B28" s="63">
        <f>+B5*(C5+B12+(3*B11))/B24</f>
        <v>610.94025894517711</v>
      </c>
      <c r="C28" s="63">
        <f>+B5*(C5+E12)/C24</f>
        <v>462</v>
      </c>
      <c r="D28" s="54"/>
      <c r="E28" s="63"/>
      <c r="F28" s="63"/>
    </row>
    <row r="29" spans="1:8" x14ac:dyDescent="0.2">
      <c r="A29" s="54" t="s">
        <v>82</v>
      </c>
      <c r="B29" s="51">
        <f>+B24*E8*H5/2</f>
        <v>610.94025894517699</v>
      </c>
      <c r="C29" s="51">
        <f>+C24*G8*H5/2</f>
        <v>1536</v>
      </c>
      <c r="D29" s="54"/>
      <c r="E29" s="51"/>
      <c r="F29" s="51"/>
    </row>
    <row r="30" spans="1:8" x14ac:dyDescent="0.2">
      <c r="A30" s="54" t="s">
        <v>83</v>
      </c>
      <c r="B30" s="51">
        <f>+B5*E8</f>
        <v>1920</v>
      </c>
      <c r="C30" s="51">
        <f>+B5*G8</f>
        <v>1280</v>
      </c>
      <c r="D30" s="54"/>
      <c r="E30" s="51"/>
      <c r="F30" s="51"/>
    </row>
    <row r="31" spans="1:8" x14ac:dyDescent="0.2">
      <c r="A31" s="54" t="s">
        <v>84</v>
      </c>
      <c r="B31" s="64"/>
      <c r="C31" s="65"/>
      <c r="D31" s="54"/>
      <c r="E31" s="64"/>
      <c r="F31" s="66"/>
    </row>
    <row r="32" spans="1:8" x14ac:dyDescent="0.2">
      <c r="A32" s="54" t="s">
        <v>85</v>
      </c>
      <c r="B32" s="66"/>
      <c r="C32" s="62"/>
      <c r="D32" s="54"/>
      <c r="E32" s="51"/>
      <c r="F32" s="66"/>
    </row>
    <row r="33" spans="1:6" x14ac:dyDescent="0.2">
      <c r="A33" s="67" t="s">
        <v>86</v>
      </c>
      <c r="B33" s="66"/>
      <c r="C33" s="62"/>
      <c r="D33" s="54"/>
      <c r="E33" s="51"/>
      <c r="F33" s="66"/>
    </row>
    <row r="34" spans="1:6" x14ac:dyDescent="0.2">
      <c r="A34" s="54" t="s">
        <v>80</v>
      </c>
      <c r="B34" s="54"/>
      <c r="C34" s="62"/>
      <c r="D34" s="54"/>
      <c r="E34" s="77">
        <f>+(B35-C28)/140800</f>
        <v>1.9033242314562174E-2</v>
      </c>
      <c r="F34" s="54"/>
    </row>
    <row r="35" spans="1:6" x14ac:dyDescent="0.2">
      <c r="A35" s="54" t="s">
        <v>87</v>
      </c>
      <c r="B35" s="105">
        <f>SUM(B28:B30)</f>
        <v>3141.880517890354</v>
      </c>
      <c r="C35" s="68">
        <f>SUM(C28:C30)</f>
        <v>3278</v>
      </c>
      <c r="D35" s="54"/>
      <c r="E35" s="78">
        <f>(1-(E34/G8))</f>
        <v>4.833788427189134E-2</v>
      </c>
      <c r="F35" s="68"/>
    </row>
    <row r="37" spans="1:6" s="69" customFormat="1" x14ac:dyDescent="0.2">
      <c r="B37" s="106" t="s">
        <v>106</v>
      </c>
      <c r="C37" s="106" t="s">
        <v>105</v>
      </c>
      <c r="E37" s="106" t="s">
        <v>105</v>
      </c>
      <c r="F37" s="70"/>
    </row>
    <row r="38" spans="1:6" x14ac:dyDescent="0.2">
      <c r="B38" s="71"/>
      <c r="C38" s="71"/>
    </row>
    <row r="39" spans="1:6" x14ac:dyDescent="0.2">
      <c r="A39" s="72"/>
      <c r="B39" s="73"/>
      <c r="C39" s="73"/>
    </row>
    <row r="40" spans="1:6" x14ac:dyDescent="0.2">
      <c r="A40" s="45" t="s">
        <v>115</v>
      </c>
      <c r="B40" s="106" t="s">
        <v>114</v>
      </c>
    </row>
    <row r="41" spans="1:6" x14ac:dyDescent="0.2">
      <c r="A41" s="72"/>
      <c r="B41" s="74"/>
      <c r="F41" s="74"/>
    </row>
  </sheetData>
  <mergeCells count="1">
    <mergeCell ref="I3:J3"/>
  </mergeCells>
  <pageMargins left="0.75" right="0.75" top="1" bottom="1" header="0" footer="0"/>
  <pageSetup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I25" sqref="I25"/>
    </sheetView>
  </sheetViews>
  <sheetFormatPr baseColWidth="10" defaultRowHeight="12.75" x14ac:dyDescent="0.2"/>
  <cols>
    <col min="3" max="5" width="11.85546875" bestFit="1" customWidth="1"/>
    <col min="10" max="10" width="14.28515625" customWidth="1"/>
    <col min="11" max="11" width="13.5703125" customWidth="1"/>
    <col min="12" max="12" width="11.85546875" bestFit="1" customWidth="1"/>
  </cols>
  <sheetData>
    <row r="2" spans="2:12" x14ac:dyDescent="0.2">
      <c r="C2" s="79" t="s">
        <v>89</v>
      </c>
      <c r="K2" s="79" t="s">
        <v>98</v>
      </c>
      <c r="L2" s="79" t="s">
        <v>99</v>
      </c>
    </row>
    <row r="3" spans="2:12" ht="13.5" thickBot="1" x14ac:dyDescent="0.25"/>
    <row r="4" spans="2:12" ht="13.5" thickBot="1" x14ac:dyDescent="0.25">
      <c r="C4" s="85">
        <v>12000</v>
      </c>
      <c r="D4" s="86">
        <v>15000</v>
      </c>
      <c r="E4" s="87">
        <v>18000</v>
      </c>
      <c r="G4" s="79" t="s">
        <v>93</v>
      </c>
      <c r="H4" s="79" t="s">
        <v>94</v>
      </c>
      <c r="I4" s="79" t="s">
        <v>95</v>
      </c>
      <c r="J4" s="91" t="s">
        <v>96</v>
      </c>
      <c r="K4" s="92" t="s">
        <v>97</v>
      </c>
    </row>
    <row r="5" spans="2:12" x14ac:dyDescent="0.2">
      <c r="C5" s="83"/>
      <c r="D5" s="83"/>
      <c r="E5" s="83"/>
    </row>
    <row r="6" spans="2:12" x14ac:dyDescent="0.2">
      <c r="B6" s="79" t="s">
        <v>91</v>
      </c>
      <c r="C6" s="84">
        <v>10764</v>
      </c>
      <c r="D6" s="84">
        <v>12114</v>
      </c>
      <c r="E6" s="84">
        <v>13464</v>
      </c>
      <c r="G6" s="93">
        <f>MAX(C6:E6)</f>
        <v>13464</v>
      </c>
      <c r="H6" s="88">
        <f>MIN(C6:E6)</f>
        <v>10764</v>
      </c>
      <c r="I6" s="88">
        <f>AVERAGE(C6:E6)</f>
        <v>12114</v>
      </c>
      <c r="K6" s="81">
        <f>SUMPRODUCT(C6:E6,$C$9:$E$9)</f>
        <v>11574</v>
      </c>
      <c r="L6" s="83">
        <f>SUMPRODUCT(C6:E6,$C$10:$E$10)</f>
        <v>12114</v>
      </c>
    </row>
    <row r="7" spans="2:12" x14ac:dyDescent="0.2">
      <c r="B7" s="79" t="s">
        <v>90</v>
      </c>
      <c r="C7" s="84">
        <v>11160</v>
      </c>
      <c r="D7" s="84">
        <v>11160</v>
      </c>
      <c r="E7" s="84">
        <v>12960</v>
      </c>
      <c r="G7" s="88">
        <f t="shared" ref="G7:G8" si="0">MAX(C7:E7)</f>
        <v>12960</v>
      </c>
      <c r="H7" s="89">
        <f t="shared" ref="H7:H8" si="1">MIN(C7:E7)</f>
        <v>11160</v>
      </c>
      <c r="I7" s="88">
        <f t="shared" ref="I7:I8" si="2">AVERAGE(C7:E7)</f>
        <v>11760</v>
      </c>
      <c r="K7" s="94">
        <f t="shared" ref="K7:K8" si="3">SUMPRODUCT(C7:E7,$C$9:$E$9)</f>
        <v>11340</v>
      </c>
      <c r="L7" s="95">
        <f t="shared" ref="L7:L8" si="4">SUMPRODUCT(C7:E7,$C$10:$E$10)</f>
        <v>11700</v>
      </c>
    </row>
    <row r="8" spans="2:12" x14ac:dyDescent="0.2">
      <c r="B8" s="79" t="s">
        <v>92</v>
      </c>
      <c r="C8" s="84">
        <v>11700</v>
      </c>
      <c r="D8" s="84">
        <v>11700</v>
      </c>
      <c r="E8" s="84">
        <v>11700</v>
      </c>
      <c r="G8" s="89">
        <f t="shared" si="0"/>
        <v>11700</v>
      </c>
      <c r="H8" s="88">
        <f t="shared" si="1"/>
        <v>11700</v>
      </c>
      <c r="I8" s="89">
        <f t="shared" si="2"/>
        <v>11700</v>
      </c>
      <c r="K8" s="81">
        <f t="shared" si="3"/>
        <v>11700</v>
      </c>
      <c r="L8" s="95">
        <f t="shared" si="4"/>
        <v>11700</v>
      </c>
    </row>
    <row r="9" spans="2:12" x14ac:dyDescent="0.2">
      <c r="C9" s="82">
        <v>0.5</v>
      </c>
      <c r="D9" s="82">
        <v>0.4</v>
      </c>
      <c r="E9" s="82">
        <v>0.1</v>
      </c>
    </row>
    <row r="10" spans="2:12" x14ac:dyDescent="0.2">
      <c r="C10" s="82">
        <v>0.3</v>
      </c>
      <c r="D10" s="82">
        <v>0.4</v>
      </c>
      <c r="E10" s="82">
        <v>0.3</v>
      </c>
    </row>
    <row r="12" spans="2:12" x14ac:dyDescent="0.2">
      <c r="B12" s="79" t="s">
        <v>96</v>
      </c>
    </row>
    <row r="13" spans="2:12" x14ac:dyDescent="0.2">
      <c r="C13" s="88">
        <f>MAX(C6:C10)</f>
        <v>11700</v>
      </c>
      <c r="D13" s="88">
        <f>MAX(D6:D10)</f>
        <v>12114</v>
      </c>
      <c r="E13" s="88">
        <f>MAX(E6:E10)</f>
        <v>13464</v>
      </c>
    </row>
    <row r="14" spans="2:12" x14ac:dyDescent="0.2">
      <c r="B14" s="79" t="s">
        <v>91</v>
      </c>
      <c r="C14" s="90">
        <f>+$C$13-C6</f>
        <v>936</v>
      </c>
      <c r="D14" s="90">
        <f>+$D$13-D6</f>
        <v>0</v>
      </c>
      <c r="E14" s="90">
        <f>+$E$13-E6</f>
        <v>0</v>
      </c>
      <c r="J14" s="89">
        <f>MAX(C14:E14)</f>
        <v>936</v>
      </c>
      <c r="K14" s="88"/>
    </row>
    <row r="15" spans="2:12" x14ac:dyDescent="0.2">
      <c r="B15" s="79" t="s">
        <v>90</v>
      </c>
      <c r="C15" s="90">
        <f>+$C$13-C7</f>
        <v>540</v>
      </c>
      <c r="D15" s="90">
        <f>+$D$13-D7</f>
        <v>954</v>
      </c>
      <c r="E15" s="90">
        <f>+$E$13-E7</f>
        <v>504</v>
      </c>
      <c r="J15" s="88">
        <f t="shared" ref="J15:J16" si="5">MAX(C15:E15)</f>
        <v>954</v>
      </c>
      <c r="K15" s="88"/>
    </row>
    <row r="16" spans="2:12" x14ac:dyDescent="0.2">
      <c r="B16" s="79" t="s">
        <v>92</v>
      </c>
      <c r="C16" s="90">
        <f>+$C$13-C8</f>
        <v>0</v>
      </c>
      <c r="D16" s="90">
        <f>+$D$13-D8</f>
        <v>414</v>
      </c>
      <c r="E16" s="90">
        <f>+$E$13-E8</f>
        <v>1764</v>
      </c>
      <c r="J16" s="88">
        <f t="shared" si="5"/>
        <v>1764</v>
      </c>
      <c r="K16" s="88"/>
    </row>
    <row r="17" spans="3:6" x14ac:dyDescent="0.2">
      <c r="C17" s="80"/>
      <c r="D17" s="80"/>
      <c r="E17" s="80"/>
    </row>
    <row r="21" spans="3:6" ht="15.75" x14ac:dyDescent="0.25">
      <c r="C21" s="107" t="s">
        <v>107</v>
      </c>
      <c r="D21" s="108"/>
      <c r="E21" s="108"/>
      <c r="F21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workbookViewId="0">
      <selection activeCell="B37" sqref="B37"/>
    </sheetView>
  </sheetViews>
  <sheetFormatPr baseColWidth="10" defaultColWidth="9.140625" defaultRowHeight="12.75" x14ac:dyDescent="0.2"/>
  <cols>
    <col min="1" max="1" width="30.42578125" style="23" customWidth="1"/>
    <col min="2" max="2" width="10.85546875" style="23" bestFit="1" customWidth="1"/>
    <col min="3" max="3" width="8.7109375" style="23" bestFit="1" customWidth="1"/>
    <col min="4" max="4" width="17.85546875" style="23" bestFit="1" customWidth="1"/>
    <col min="5" max="16384" width="9.140625" style="23"/>
  </cols>
  <sheetData>
    <row r="1" spans="1:5" ht="13.5" thickBot="1" x14ac:dyDescent="0.25">
      <c r="A1" s="24" t="s">
        <v>21</v>
      </c>
      <c r="B1" s="24" t="s">
        <v>22</v>
      </c>
      <c r="C1" s="24" t="s">
        <v>23</v>
      </c>
      <c r="D1" s="24" t="s">
        <v>24</v>
      </c>
      <c r="E1" s="24"/>
    </row>
    <row r="2" spans="1:5" ht="13.5" thickTop="1" x14ac:dyDescent="0.2">
      <c r="A2" s="17">
        <v>2018</v>
      </c>
      <c r="B2" s="17">
        <v>1</v>
      </c>
      <c r="C2" s="17" t="s">
        <v>25</v>
      </c>
      <c r="D2" s="17">
        <v>50</v>
      </c>
      <c r="E2" s="17"/>
    </row>
    <row r="3" spans="1:5" x14ac:dyDescent="0.2">
      <c r="A3" s="17"/>
      <c r="B3" s="17">
        <v>2</v>
      </c>
      <c r="C3" s="17" t="s">
        <v>26</v>
      </c>
      <c r="D3" s="17">
        <v>75</v>
      </c>
      <c r="E3" s="17"/>
    </row>
    <row r="4" spans="1:5" x14ac:dyDescent="0.2">
      <c r="A4" s="17"/>
      <c r="B4" s="17">
        <v>3</v>
      </c>
      <c r="C4" s="17" t="s">
        <v>27</v>
      </c>
      <c r="D4" s="17">
        <v>80</v>
      </c>
      <c r="E4" s="17"/>
    </row>
    <row r="5" spans="1:5" x14ac:dyDescent="0.2">
      <c r="A5" s="18"/>
      <c r="B5" s="18">
        <v>4</v>
      </c>
      <c r="C5" s="18" t="s">
        <v>28</v>
      </c>
      <c r="D5" s="18">
        <v>150</v>
      </c>
      <c r="E5" s="18"/>
    </row>
    <row r="6" spans="1:5" x14ac:dyDescent="0.2">
      <c r="A6" s="16">
        <v>2019</v>
      </c>
      <c r="B6" s="16">
        <v>5</v>
      </c>
      <c r="C6" s="16" t="s">
        <v>25</v>
      </c>
      <c r="D6" s="16">
        <v>125</v>
      </c>
      <c r="E6" s="16"/>
    </row>
    <row r="7" spans="1:5" x14ac:dyDescent="0.2">
      <c r="A7" s="17"/>
      <c r="B7" s="17">
        <v>6</v>
      </c>
      <c r="C7" s="17" t="s">
        <v>26</v>
      </c>
      <c r="D7" s="17">
        <v>200</v>
      </c>
      <c r="E7" s="17"/>
    </row>
    <row r="8" spans="1:5" x14ac:dyDescent="0.2">
      <c r="A8" s="17"/>
      <c r="B8" s="17">
        <v>7</v>
      </c>
      <c r="C8" s="17" t="s">
        <v>27</v>
      </c>
      <c r="D8" s="17" t="s">
        <v>100</v>
      </c>
      <c r="E8" s="17"/>
    </row>
    <row r="9" spans="1:5" x14ac:dyDescent="0.2">
      <c r="A9" s="18"/>
      <c r="B9" s="18">
        <v>8</v>
      </c>
      <c r="C9" s="18" t="s">
        <v>28</v>
      </c>
      <c r="D9" s="18" t="s">
        <v>100</v>
      </c>
      <c r="E9" s="18"/>
    </row>
    <row r="13" spans="1:5" x14ac:dyDescent="0.2">
      <c r="A13" s="25" t="s">
        <v>29</v>
      </c>
    </row>
    <row r="14" spans="1:5" x14ac:dyDescent="0.2">
      <c r="A14" s="25" t="s">
        <v>30</v>
      </c>
    </row>
    <row r="15" spans="1:5" x14ac:dyDescent="0.2">
      <c r="A15" s="25" t="s">
        <v>31</v>
      </c>
    </row>
    <row r="17" spans="1:7" x14ac:dyDescent="0.2">
      <c r="A17" s="25" t="s">
        <v>32</v>
      </c>
    </row>
    <row r="19" spans="1:7" x14ac:dyDescent="0.2">
      <c r="A19" s="33" t="s">
        <v>46</v>
      </c>
      <c r="B19" s="33"/>
      <c r="C19" s="33"/>
      <c r="D19" s="33" t="s">
        <v>51</v>
      </c>
    </row>
    <row r="20" spans="1:7" x14ac:dyDescent="0.2">
      <c r="A20" s="43" t="s">
        <v>47</v>
      </c>
      <c r="B20" s="44">
        <v>2000</v>
      </c>
      <c r="D20" s="43" t="s">
        <v>52</v>
      </c>
      <c r="E20" s="44">
        <f>+B24-E21-E22</f>
        <v>4000</v>
      </c>
    </row>
    <row r="21" spans="1:7" x14ac:dyDescent="0.2">
      <c r="A21" s="43" t="s">
        <v>48</v>
      </c>
      <c r="B21" s="76">
        <v>448</v>
      </c>
      <c r="D21" s="43" t="s">
        <v>53</v>
      </c>
      <c r="E21" s="44">
        <v>1448</v>
      </c>
    </row>
    <row r="22" spans="1:7" x14ac:dyDescent="0.2">
      <c r="A22" s="43" t="s">
        <v>49</v>
      </c>
      <c r="B22" s="44">
        <v>1000</v>
      </c>
      <c r="D22" s="43" t="s">
        <v>54</v>
      </c>
      <c r="E22" s="44">
        <v>3000</v>
      </c>
    </row>
    <row r="23" spans="1:7" x14ac:dyDescent="0.2">
      <c r="A23" s="43" t="s">
        <v>50</v>
      </c>
      <c r="B23" s="44">
        <v>5000</v>
      </c>
    </row>
    <row r="24" spans="1:7" x14ac:dyDescent="0.2">
      <c r="A24" s="44"/>
      <c r="B24" s="113">
        <f>SUM(B20:B23)</f>
        <v>8448</v>
      </c>
      <c r="D24" s="44"/>
      <c r="E24" s="113">
        <f>SUM(E20:E23)</f>
        <v>8448</v>
      </c>
      <c r="G24" s="106" t="s">
        <v>110</v>
      </c>
    </row>
    <row r="26" spans="1:7" x14ac:dyDescent="0.2">
      <c r="A26" s="38" t="s">
        <v>55</v>
      </c>
    </row>
    <row r="27" spans="1:7" x14ac:dyDescent="0.2">
      <c r="A27" s="23" t="s">
        <v>35</v>
      </c>
    </row>
    <row r="28" spans="1:7" x14ac:dyDescent="0.2">
      <c r="B28" s="33" t="s">
        <v>88</v>
      </c>
    </row>
    <row r="29" spans="1:7" x14ac:dyDescent="0.2">
      <c r="A29" s="23" t="s">
        <v>36</v>
      </c>
      <c r="B29" s="39">
        <f>332*10</f>
        <v>3320</v>
      </c>
    </row>
    <row r="30" spans="1:7" x14ac:dyDescent="0.2">
      <c r="A30" s="23" t="s">
        <v>37</v>
      </c>
      <c r="B30" s="39">
        <f>+B29*60%</f>
        <v>1992</v>
      </c>
    </row>
    <row r="31" spans="1:7" x14ac:dyDescent="0.2">
      <c r="A31" s="23" t="s">
        <v>38</v>
      </c>
      <c r="B31" s="40">
        <f>+B29-B30</f>
        <v>1328</v>
      </c>
    </row>
    <row r="32" spans="1:7" x14ac:dyDescent="0.2">
      <c r="A32" s="23" t="s">
        <v>39</v>
      </c>
      <c r="B32" s="39">
        <v>15</v>
      </c>
    </row>
    <row r="33" spans="1:5" x14ac:dyDescent="0.2">
      <c r="A33" s="23" t="s">
        <v>40</v>
      </c>
      <c r="B33" s="40">
        <f>+B31-B32</f>
        <v>1313</v>
      </c>
    </row>
    <row r="34" spans="1:5" x14ac:dyDescent="0.2">
      <c r="A34" s="23" t="s">
        <v>41</v>
      </c>
      <c r="B34" s="41" t="s">
        <v>42</v>
      </c>
    </row>
    <row r="35" spans="1:5" x14ac:dyDescent="0.2">
      <c r="A35" s="23" t="s">
        <v>43</v>
      </c>
      <c r="B35" s="40">
        <f>+B33</f>
        <v>1313</v>
      </c>
    </row>
    <row r="36" spans="1:5" x14ac:dyDescent="0.2">
      <c r="A36" s="23" t="s">
        <v>44</v>
      </c>
      <c r="B36" s="42">
        <f>-(+B35*40%)</f>
        <v>-525.20000000000005</v>
      </c>
    </row>
    <row r="37" spans="1:5" x14ac:dyDescent="0.2">
      <c r="A37" s="23" t="s">
        <v>45</v>
      </c>
      <c r="B37" s="115">
        <f>+B35+B36</f>
        <v>787.8</v>
      </c>
      <c r="E37" s="106" t="s">
        <v>110</v>
      </c>
    </row>
  </sheetData>
  <pageMargins left="0.11811023622047245" right="0.11811023622047245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zoomScale="98" zoomScaleNormal="98" workbookViewId="0">
      <selection activeCell="N27" sqref="N27"/>
    </sheetView>
  </sheetViews>
  <sheetFormatPr baseColWidth="10" defaultColWidth="11.42578125" defaultRowHeight="12.75" x14ac:dyDescent="0.2"/>
  <cols>
    <col min="1" max="2" width="11.42578125" style="2"/>
    <col min="3" max="4" width="14.28515625" style="2" customWidth="1"/>
    <col min="5" max="7" width="11.42578125" style="2"/>
    <col min="8" max="8" width="11.85546875" style="2" bestFit="1" customWidth="1"/>
    <col min="9" max="9" width="11.42578125" style="2"/>
    <col min="10" max="10" width="11.7109375" style="2" customWidth="1"/>
    <col min="11" max="16384" width="11.42578125" style="2"/>
  </cols>
  <sheetData>
    <row r="2" spans="1:12" ht="15.75" x14ac:dyDescent="0.25">
      <c r="A2" s="19" t="s">
        <v>4</v>
      </c>
    </row>
    <row r="4" spans="1:12" x14ac:dyDescent="0.2">
      <c r="A4" s="6" t="s">
        <v>18</v>
      </c>
      <c r="B4" s="6" t="s">
        <v>19</v>
      </c>
      <c r="C4" s="6" t="s">
        <v>20</v>
      </c>
      <c r="D4" s="8" t="s">
        <v>2</v>
      </c>
      <c r="E4" s="9" t="s">
        <v>0</v>
      </c>
    </row>
    <row r="5" spans="1:12" x14ac:dyDescent="0.2">
      <c r="A5" s="3">
        <v>2013</v>
      </c>
      <c r="B5" s="3">
        <v>1</v>
      </c>
      <c r="C5" s="3">
        <v>1</v>
      </c>
      <c r="D5" s="3">
        <v>50</v>
      </c>
      <c r="E5" s="8" t="s">
        <v>5</v>
      </c>
      <c r="F5" s="9" t="str">
        <f>+E4</f>
        <v>n=2</v>
      </c>
    </row>
    <row r="6" spans="1:12" x14ac:dyDescent="0.2">
      <c r="A6" s="3"/>
      <c r="B6" s="3">
        <v>2</v>
      </c>
      <c r="C6" s="3">
        <v>2</v>
      </c>
      <c r="D6" s="3">
        <v>75</v>
      </c>
      <c r="E6" s="7">
        <f>+(D6+D5)/2</f>
        <v>62.5</v>
      </c>
      <c r="F6" s="8" t="s">
        <v>6</v>
      </c>
      <c r="G6" s="8" t="s">
        <v>7</v>
      </c>
      <c r="H6" s="8" t="s">
        <v>8</v>
      </c>
    </row>
    <row r="7" spans="1:12" x14ac:dyDescent="0.2">
      <c r="A7" s="3"/>
      <c r="B7" s="3">
        <v>3</v>
      </c>
      <c r="C7" s="3">
        <v>3</v>
      </c>
      <c r="D7" s="3">
        <v>80</v>
      </c>
      <c r="E7" s="7">
        <f>+(D7+D6)/2</f>
        <v>77.5</v>
      </c>
      <c r="F7" s="12">
        <f>+(E7+E6)/2</f>
        <v>70</v>
      </c>
      <c r="G7" s="7">
        <f>2*E7-F7</f>
        <v>85</v>
      </c>
      <c r="H7" s="7">
        <f>+(2/(2-1))*(E7-F7)</f>
        <v>15</v>
      </c>
      <c r="I7" s="8" t="s">
        <v>1</v>
      </c>
      <c r="J7" s="8" t="s">
        <v>3</v>
      </c>
      <c r="L7" s="99" t="s">
        <v>104</v>
      </c>
    </row>
    <row r="8" spans="1:12" x14ac:dyDescent="0.2">
      <c r="A8" s="3"/>
      <c r="B8" s="3">
        <v>4</v>
      </c>
      <c r="C8" s="3">
        <v>4</v>
      </c>
      <c r="D8" s="3">
        <v>150</v>
      </c>
      <c r="E8" s="7">
        <f>+(D8+D7)/2</f>
        <v>115</v>
      </c>
      <c r="F8" s="12">
        <f>+(E8+E7)/2</f>
        <v>96.25</v>
      </c>
      <c r="G8" s="7">
        <f>2*E8-F8</f>
        <v>133.75</v>
      </c>
      <c r="H8" s="7">
        <f>(2/(2-1))*(E8-F8)</f>
        <v>37.5</v>
      </c>
      <c r="I8" s="7">
        <f>+G7+H7*1</f>
        <v>100</v>
      </c>
      <c r="J8" s="7">
        <f>POWER(D8-I8,2)</f>
        <v>2500</v>
      </c>
      <c r="L8" s="2">
        <f>+ABS(I8-D8)</f>
        <v>50</v>
      </c>
    </row>
    <row r="9" spans="1:12" x14ac:dyDescent="0.2">
      <c r="A9" s="3">
        <v>2014</v>
      </c>
      <c r="B9" s="3">
        <v>1</v>
      </c>
      <c r="C9" s="3">
        <v>5</v>
      </c>
      <c r="D9" s="3">
        <v>125</v>
      </c>
      <c r="E9" s="7">
        <f>+(D9+D8)/2</f>
        <v>137.5</v>
      </c>
      <c r="F9" s="12">
        <f>+(E9+E8)/2</f>
        <v>126.25</v>
      </c>
      <c r="G9" s="7">
        <f>2*E9-F9</f>
        <v>148.75</v>
      </c>
      <c r="H9" s="7">
        <f>(2/(2-1))*(E9-F9)</f>
        <v>22.5</v>
      </c>
      <c r="I9" s="7">
        <f>+G8+H8*1</f>
        <v>171.25</v>
      </c>
      <c r="J9" s="7">
        <f>POWER(D9-I9,2)</f>
        <v>2139.0625</v>
      </c>
      <c r="L9" s="2">
        <f t="shared" ref="L9:L10" si="0">+ABS(I9-D9)</f>
        <v>46.25</v>
      </c>
    </row>
    <row r="10" spans="1:12" x14ac:dyDescent="0.2">
      <c r="A10" s="3"/>
      <c r="B10" s="3">
        <v>2</v>
      </c>
      <c r="C10" s="3">
        <v>6</v>
      </c>
      <c r="D10" s="3">
        <v>200</v>
      </c>
      <c r="E10" s="7">
        <f>+(D10+D9)/2</f>
        <v>162.5</v>
      </c>
      <c r="F10" s="12">
        <f>+(E10+E9)/2</f>
        <v>150</v>
      </c>
      <c r="G10" s="7">
        <f>2*E10-F10</f>
        <v>175</v>
      </c>
      <c r="H10" s="7">
        <f>(2/(2-1))*(E10-F10)</f>
        <v>25</v>
      </c>
      <c r="I10" s="7">
        <f>+G9+H9*1</f>
        <v>171.25</v>
      </c>
      <c r="J10" s="7">
        <f>POWER(D10-I10,2)</f>
        <v>826.5625</v>
      </c>
      <c r="L10" s="2">
        <f t="shared" si="0"/>
        <v>28.75</v>
      </c>
    </row>
    <row r="11" spans="1:12" x14ac:dyDescent="0.2">
      <c r="A11" s="10"/>
      <c r="B11" s="10">
        <v>3</v>
      </c>
      <c r="C11" s="10">
        <v>7</v>
      </c>
      <c r="D11" s="10"/>
      <c r="E11" s="11"/>
      <c r="F11" s="11"/>
      <c r="G11" s="11"/>
      <c r="H11" s="11"/>
      <c r="I11" s="75">
        <f>+$G$10+$H$10*1</f>
        <v>200</v>
      </c>
      <c r="J11" s="109">
        <f>+AVERAGE(J8:J10)</f>
        <v>1821.875</v>
      </c>
      <c r="L11" s="2">
        <f>SUM(L8:L10)</f>
        <v>125</v>
      </c>
    </row>
    <row r="12" spans="1:12" x14ac:dyDescent="0.2">
      <c r="A12" s="13"/>
      <c r="B12" s="10">
        <v>4</v>
      </c>
      <c r="C12" s="10">
        <v>8</v>
      </c>
      <c r="D12" s="13"/>
      <c r="E12" s="11"/>
      <c r="F12" s="11"/>
      <c r="G12" s="11"/>
      <c r="H12" s="11"/>
      <c r="I12" s="75">
        <f>+$G$10+$H$10*2</f>
        <v>225</v>
      </c>
    </row>
    <row r="14" spans="1:12" ht="15.75" x14ac:dyDescent="0.25">
      <c r="A14" s="19" t="s">
        <v>10</v>
      </c>
      <c r="H14" s="111" t="s">
        <v>108</v>
      </c>
      <c r="I14" s="2">
        <f>SUM(I11:I12)</f>
        <v>425</v>
      </c>
    </row>
    <row r="16" spans="1:12" x14ac:dyDescent="0.2">
      <c r="A16" s="6" t="str">
        <f>+A4</f>
        <v>Año</v>
      </c>
      <c r="B16" s="6" t="str">
        <f>+B4</f>
        <v>Q</v>
      </c>
      <c r="C16" s="6" t="str">
        <f>+C4</f>
        <v>No. Periodos</v>
      </c>
      <c r="D16" s="6" t="str">
        <f>+D4</f>
        <v>Yt</v>
      </c>
      <c r="E16" s="1" t="s">
        <v>1</v>
      </c>
      <c r="F16" s="6" t="s">
        <v>3</v>
      </c>
    </row>
    <row r="17" spans="1:10" x14ac:dyDescent="0.2">
      <c r="A17" s="3">
        <v>2013</v>
      </c>
      <c r="B17" s="3">
        <v>1</v>
      </c>
      <c r="C17" s="3">
        <v>1</v>
      </c>
      <c r="D17" s="3">
        <v>50</v>
      </c>
      <c r="E17" s="20">
        <f t="shared" ref="E17:E24" si="1">FORECAST(C17,$D$17:$D$22,$C$17:$C$22)</f>
        <v>44.047619047619044</v>
      </c>
      <c r="F17" s="20">
        <f t="shared" ref="F17:F22" si="2">POWER(D17-E17,2)</f>
        <v>35.430839002267618</v>
      </c>
    </row>
    <row r="18" spans="1:10" x14ac:dyDescent="0.2">
      <c r="A18" s="3"/>
      <c r="B18" s="3">
        <v>2</v>
      </c>
      <c r="C18" s="3">
        <v>2</v>
      </c>
      <c r="D18" s="3">
        <v>75</v>
      </c>
      <c r="E18" s="20">
        <f t="shared" si="1"/>
        <v>71.761904761904759</v>
      </c>
      <c r="F18" s="20">
        <f t="shared" si="2"/>
        <v>10.485260770975074</v>
      </c>
    </row>
    <row r="19" spans="1:10" x14ac:dyDescent="0.2">
      <c r="A19" s="3"/>
      <c r="B19" s="3">
        <v>3</v>
      </c>
      <c r="C19" s="3">
        <v>3</v>
      </c>
      <c r="D19" s="3">
        <v>80</v>
      </c>
      <c r="E19" s="20">
        <f t="shared" si="1"/>
        <v>99.476190476190467</v>
      </c>
      <c r="F19" s="20">
        <f t="shared" si="2"/>
        <v>379.32199546485225</v>
      </c>
      <c r="H19" s="99" t="s">
        <v>103</v>
      </c>
    </row>
    <row r="20" spans="1:10" x14ac:dyDescent="0.2">
      <c r="A20" s="3"/>
      <c r="B20" s="3">
        <v>4</v>
      </c>
      <c r="C20" s="3">
        <v>4</v>
      </c>
      <c r="D20" s="3">
        <v>150</v>
      </c>
      <c r="E20" s="20">
        <f t="shared" si="1"/>
        <v>127.19047619047619</v>
      </c>
      <c r="F20" s="20">
        <f t="shared" si="2"/>
        <v>520.27437641723361</v>
      </c>
      <c r="H20" s="2">
        <f t="shared" ref="H20:H22" si="3">+ABS(D20-E20)</f>
        <v>22.80952380952381</v>
      </c>
    </row>
    <row r="21" spans="1:10" x14ac:dyDescent="0.2">
      <c r="A21" s="3">
        <v>2014</v>
      </c>
      <c r="B21" s="3">
        <v>1</v>
      </c>
      <c r="C21" s="3">
        <v>5</v>
      </c>
      <c r="D21" s="3">
        <v>125</v>
      </c>
      <c r="E21" s="20">
        <f t="shared" si="1"/>
        <v>154.90476190476193</v>
      </c>
      <c r="F21" s="20">
        <f t="shared" si="2"/>
        <v>894.29478458050016</v>
      </c>
      <c r="H21" s="2">
        <f t="shared" si="3"/>
        <v>29.904761904761926</v>
      </c>
    </row>
    <row r="22" spans="1:10" x14ac:dyDescent="0.2">
      <c r="A22" s="3"/>
      <c r="B22" s="3">
        <v>2</v>
      </c>
      <c r="C22" s="3">
        <v>6</v>
      </c>
      <c r="D22" s="3">
        <v>200</v>
      </c>
      <c r="E22" s="20">
        <f t="shared" si="1"/>
        <v>182.61904761904759</v>
      </c>
      <c r="F22" s="20">
        <f t="shared" si="2"/>
        <v>302.09750566893518</v>
      </c>
      <c r="H22" s="2">
        <f t="shared" si="3"/>
        <v>17.380952380952408</v>
      </c>
    </row>
    <row r="23" spans="1:10" ht="15" x14ac:dyDescent="0.2">
      <c r="A23" s="10"/>
      <c r="B23" s="10">
        <v>3</v>
      </c>
      <c r="C23" s="10">
        <v>7</v>
      </c>
      <c r="D23" s="10"/>
      <c r="E23" s="21">
        <f t="shared" si="1"/>
        <v>210.33333333333331</v>
      </c>
      <c r="F23" s="109">
        <f>+AVERAGE(F20:F22)</f>
        <v>572.22222222222297</v>
      </c>
      <c r="J23" s="112" t="s">
        <v>109</v>
      </c>
    </row>
    <row r="24" spans="1:10" x14ac:dyDescent="0.2">
      <c r="A24" s="13"/>
      <c r="B24" s="10">
        <v>4</v>
      </c>
      <c r="C24" s="10">
        <v>8</v>
      </c>
      <c r="D24" s="13"/>
      <c r="E24" s="21">
        <f t="shared" si="1"/>
        <v>238.04761904761904</v>
      </c>
      <c r="F24" s="22"/>
      <c r="H24" s="98">
        <f>SUM(H20:H23)</f>
        <v>70.095238095238145</v>
      </c>
    </row>
    <row r="25" spans="1:10" x14ac:dyDescent="0.2">
      <c r="F25" s="4"/>
    </row>
    <row r="26" spans="1:10" ht="15.75" x14ac:dyDescent="0.25">
      <c r="D26" s="111" t="s">
        <v>108</v>
      </c>
      <c r="E26" s="110">
        <f>SUM(E23:E24)</f>
        <v>448.38095238095235</v>
      </c>
    </row>
  </sheetData>
  <phoneticPr fontId="9" type="noConversion"/>
  <pageMargins left="0.75" right="0.75" top="1" bottom="1" header="0" footer="0"/>
  <pageSetup orientation="portrait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J16" sqref="J16"/>
    </sheetView>
  </sheetViews>
  <sheetFormatPr baseColWidth="10" defaultColWidth="11.42578125" defaultRowHeight="12.75" x14ac:dyDescent="0.2"/>
  <cols>
    <col min="1" max="16384" width="11.42578125" style="14"/>
  </cols>
  <sheetData>
    <row r="2" spans="1:10" ht="15.75" x14ac:dyDescent="0.25">
      <c r="A2" s="5" t="s">
        <v>14</v>
      </c>
    </row>
    <row r="3" spans="1:10" ht="15.75" x14ac:dyDescent="0.25">
      <c r="E3" s="101" t="s">
        <v>17</v>
      </c>
      <c r="F3" s="102"/>
      <c r="G3" s="102"/>
      <c r="H3" s="102"/>
      <c r="I3" s="103"/>
    </row>
    <row r="4" spans="1:10" ht="15.75" x14ac:dyDescent="0.25">
      <c r="E4" s="26"/>
      <c r="F4" s="26"/>
      <c r="G4" s="26"/>
      <c r="H4" s="26"/>
      <c r="I4" s="26"/>
    </row>
    <row r="5" spans="1:10" x14ac:dyDescent="0.2">
      <c r="A5" s="25"/>
      <c r="B5" s="25"/>
      <c r="C5" s="25"/>
      <c r="D5" s="25"/>
      <c r="E5" s="27" t="s">
        <v>9</v>
      </c>
      <c r="F5" s="27" t="s">
        <v>11</v>
      </c>
      <c r="G5" s="27" t="s">
        <v>15</v>
      </c>
      <c r="H5" s="25"/>
    </row>
    <row r="6" spans="1:10" x14ac:dyDescent="0.2">
      <c r="A6" s="25"/>
      <c r="B6" s="25"/>
      <c r="C6" s="25"/>
      <c r="D6" s="25"/>
      <c r="E6" s="27">
        <v>0.4</v>
      </c>
      <c r="F6" s="27">
        <v>0.1</v>
      </c>
      <c r="G6" s="27">
        <v>0.3</v>
      </c>
      <c r="H6" s="25"/>
    </row>
    <row r="7" spans="1:10" x14ac:dyDescent="0.2">
      <c r="A7" s="28" t="str">
        <f>+'[4]Promedio móvil'!A39</f>
        <v>años</v>
      </c>
      <c r="B7" s="28" t="s">
        <v>19</v>
      </c>
      <c r="C7" s="28" t="s">
        <v>33</v>
      </c>
      <c r="D7" s="28" t="str">
        <f>+'[4]Promedio móvil'!D39</f>
        <v>Yt</v>
      </c>
      <c r="E7" s="28" t="s">
        <v>12</v>
      </c>
      <c r="F7" s="28" t="s">
        <v>13</v>
      </c>
      <c r="G7" s="28" t="s">
        <v>16</v>
      </c>
      <c r="H7" s="28" t="s">
        <v>34</v>
      </c>
      <c r="I7" s="8" t="s">
        <v>3</v>
      </c>
    </row>
    <row r="8" spans="1:10" x14ac:dyDescent="0.2">
      <c r="A8" s="29">
        <v>2011</v>
      </c>
      <c r="B8" s="28">
        <f>+'[4]Promedio móvil'!B40</f>
        <v>1</v>
      </c>
      <c r="C8" s="28">
        <f>+'[4]Promedio móvil'!C40</f>
        <v>1</v>
      </c>
      <c r="D8" s="29">
        <f>+'[4]Promedio móvil'!D40</f>
        <v>500</v>
      </c>
      <c r="E8" s="29">
        <f>+D8</f>
        <v>500</v>
      </c>
      <c r="F8" s="29">
        <v>0</v>
      </c>
      <c r="G8" s="29">
        <v>1</v>
      </c>
      <c r="H8" s="34">
        <f>+D8</f>
        <v>500</v>
      </c>
      <c r="I8" s="15">
        <f t="shared" ref="I8:I13" si="0">POWER(H8-D8,2)</f>
        <v>0</v>
      </c>
    </row>
    <row r="9" spans="1:10" x14ac:dyDescent="0.2">
      <c r="A9" s="29"/>
      <c r="B9" s="28">
        <f>+'[4]Promedio móvil'!B41</f>
        <v>2</v>
      </c>
      <c r="C9" s="28">
        <f>+'[4]Promedio móvil'!C41</f>
        <v>2</v>
      </c>
      <c r="D9" s="29">
        <f>+'[4]Promedio móvil'!D41</f>
        <v>350</v>
      </c>
      <c r="E9" s="30">
        <f>+$E$6*(D9/$G$8)+(1-$E$6)*(E8+F8)</f>
        <v>440</v>
      </c>
      <c r="F9" s="30">
        <f>+$F$6*(E9-E8)+(1-$F$6)*F8</f>
        <v>-6</v>
      </c>
      <c r="G9" s="31">
        <f>+$G$6*(D9/E9)+(1-$G$6)*$G$8</f>
        <v>0.9386363636363636</v>
      </c>
      <c r="H9" s="34">
        <f>+D8</f>
        <v>500</v>
      </c>
      <c r="I9" s="15">
        <f t="shared" si="0"/>
        <v>22500</v>
      </c>
    </row>
    <row r="10" spans="1:10" x14ac:dyDescent="0.2">
      <c r="A10" s="29"/>
      <c r="B10" s="28">
        <f>+'[4]Promedio móvil'!B42</f>
        <v>3</v>
      </c>
      <c r="C10" s="28">
        <f>+'[4]Promedio móvil'!C42</f>
        <v>3</v>
      </c>
      <c r="D10" s="29">
        <f>+'[4]Promedio móvil'!D42</f>
        <v>250</v>
      </c>
      <c r="E10" s="30">
        <f>+$E$6*(D10/$G$8)+(1-$E$6)*(E9+F9)</f>
        <v>360.4</v>
      </c>
      <c r="F10" s="30">
        <f>+$F$6*(E10-E9)+(1-$F$6)*F9</f>
        <v>-13.360000000000003</v>
      </c>
      <c r="G10" s="31">
        <f>+$G$6*(D10/E10)+(1-$G$6)*$G$8</f>
        <v>0.90810210876803543</v>
      </c>
      <c r="H10" s="34">
        <f>+D8</f>
        <v>500</v>
      </c>
      <c r="I10" s="15">
        <f t="shared" si="0"/>
        <v>62500</v>
      </c>
    </row>
    <row r="11" spans="1:10" x14ac:dyDescent="0.2">
      <c r="A11" s="29"/>
      <c r="B11" s="28">
        <f>+'[4]Promedio móvil'!B43</f>
        <v>4</v>
      </c>
      <c r="C11" s="28">
        <f>+'[4]Promedio móvil'!C43</f>
        <v>4</v>
      </c>
      <c r="D11" s="29">
        <f>+'[4]Promedio móvil'!D43</f>
        <v>400</v>
      </c>
      <c r="E11" s="30">
        <f>+$E$6*(D11/$G$8)+(1-$E$6)*(E10+F10)</f>
        <v>368.22399999999993</v>
      </c>
      <c r="F11" s="30">
        <f>+$F$6*(E11-E10)+(1-$F$6)*F10</f>
        <v>-11.241600000000007</v>
      </c>
      <c r="G11" s="31">
        <f>+$G$6*(D11/E11)+(1-$G$6)*$G$8</f>
        <v>1.0258885895541845</v>
      </c>
      <c r="H11" s="34">
        <f>+D8</f>
        <v>500</v>
      </c>
      <c r="I11" s="15">
        <f t="shared" si="0"/>
        <v>10000</v>
      </c>
    </row>
    <row r="12" spans="1:10" x14ac:dyDescent="0.2">
      <c r="A12" s="29">
        <v>2012</v>
      </c>
      <c r="B12" s="28">
        <f>+'[4]Promedio móvil'!B44</f>
        <v>1</v>
      </c>
      <c r="C12" s="28">
        <f>+'[4]Promedio móvil'!C44</f>
        <v>5</v>
      </c>
      <c r="D12" s="29">
        <f>+'[4]Promedio móvil'!D44</f>
        <v>450</v>
      </c>
      <c r="E12" s="30">
        <f>+$E$6*(D12/G8)+(1-$E$6)*(E11+F11)</f>
        <v>394.18943999999999</v>
      </c>
      <c r="F12" s="30">
        <f>+$F$6*(E12-E11)+(1-$F$6)*F11</f>
        <v>-7.5208960000000014</v>
      </c>
      <c r="G12" s="31">
        <f>+$G$6*(D12/E12)+(1-$G$6)*G8</f>
        <v>1.0424749277910641</v>
      </c>
      <c r="H12" s="36">
        <f>+(E11+F11)*G8</f>
        <v>356.98239999999993</v>
      </c>
      <c r="I12" s="15">
        <f t="shared" si="0"/>
        <v>8652.2739097600133</v>
      </c>
    </row>
    <row r="13" spans="1:10" x14ac:dyDescent="0.2">
      <c r="A13" s="29"/>
      <c r="B13" s="28">
        <f>+'[4]Promedio móvil'!B45</f>
        <v>2</v>
      </c>
      <c r="C13" s="28">
        <f>+'[4]Promedio móvil'!C45</f>
        <v>6</v>
      </c>
      <c r="D13" s="29">
        <f>+'[4]Promedio móvil'!D45</f>
        <v>350</v>
      </c>
      <c r="E13" s="30">
        <f>+$E$6*(D13/G9)+(1-$E$6)*(E12+F12)</f>
        <v>381.15366877288136</v>
      </c>
      <c r="F13" s="30">
        <f>+$F$6*(E13-E12)+(1-$F$6)*F12</f>
        <v>-8.0723835227118652</v>
      </c>
      <c r="G13" s="31">
        <f>+$G$6*(D13/E13)+(1-$G$6)*G9</f>
        <v>0.93252489657219906</v>
      </c>
      <c r="H13" s="36">
        <f>+(E12+F12)*G9</f>
        <v>362.94115607272727</v>
      </c>
      <c r="I13" s="15">
        <f t="shared" si="0"/>
        <v>167.47352049868582</v>
      </c>
    </row>
    <row r="14" spans="1:10" x14ac:dyDescent="0.2">
      <c r="A14" s="28"/>
      <c r="B14" s="28">
        <f>+'[4]Promedio móvil'!B46</f>
        <v>3</v>
      </c>
      <c r="C14" s="28">
        <f>+'[4]Promedio móvil'!C46</f>
        <v>7</v>
      </c>
      <c r="D14" s="32"/>
      <c r="E14" s="32"/>
      <c r="F14" s="30"/>
      <c r="G14" s="28"/>
      <c r="H14" s="37">
        <f>+(E10+F10*4)*G10</f>
        <v>278.75102330743613</v>
      </c>
      <c r="I14" s="15"/>
    </row>
    <row r="15" spans="1:10" x14ac:dyDescent="0.2">
      <c r="A15" s="28"/>
      <c r="B15" s="28">
        <f>+'[4]Promedio móvil'!B47</f>
        <v>4</v>
      </c>
      <c r="C15" s="28">
        <f>+'[4]Promedio móvil'!C47</f>
        <v>8</v>
      </c>
      <c r="D15" s="32"/>
      <c r="E15" s="32"/>
      <c r="F15" s="30"/>
      <c r="G15" s="28"/>
      <c r="H15" s="114">
        <f>+(E11+F11*4)*G11</f>
        <v>331.62628332667066</v>
      </c>
      <c r="I15" s="15"/>
      <c r="J15" s="106" t="s">
        <v>106</v>
      </c>
    </row>
    <row r="17" spans="9:9" x14ac:dyDescent="0.2">
      <c r="I17" s="35"/>
    </row>
  </sheetData>
  <mergeCells count="1">
    <mergeCell ref="E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32"/>
  <sheetViews>
    <sheetView workbookViewId="0">
      <selection activeCell="I20" sqref="I20"/>
    </sheetView>
  </sheetViews>
  <sheetFormatPr baseColWidth="10" defaultRowHeight="12.75" x14ac:dyDescent="0.2"/>
  <sheetData>
    <row r="14" spans="9:10" x14ac:dyDescent="0.2">
      <c r="I14" s="116" t="s">
        <v>111</v>
      </c>
      <c r="J14" s="116" t="s">
        <v>112</v>
      </c>
    </row>
    <row r="15" spans="9:10" x14ac:dyDescent="0.2">
      <c r="I15" s="116" t="s">
        <v>113</v>
      </c>
      <c r="J15" s="116" t="s">
        <v>114</v>
      </c>
    </row>
    <row r="32" spans="2:2" x14ac:dyDescent="0.2">
      <c r="B32" s="79" t="s">
        <v>102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H25" sqref="H25"/>
    </sheetView>
  </sheetViews>
  <sheetFormatPr baseColWidth="10" defaultColWidth="11.42578125" defaultRowHeight="12.75" x14ac:dyDescent="0.2"/>
  <cols>
    <col min="1" max="16384" width="11.42578125" style="14"/>
  </cols>
  <sheetData>
    <row r="2" spans="1:9" ht="15.75" x14ac:dyDescent="0.25">
      <c r="A2" s="5" t="s">
        <v>14</v>
      </c>
    </row>
    <row r="3" spans="1:9" ht="15.75" x14ac:dyDescent="0.25">
      <c r="E3" s="101" t="s">
        <v>17</v>
      </c>
      <c r="F3" s="102"/>
      <c r="G3" s="102"/>
      <c r="H3" s="102"/>
      <c r="I3" s="103"/>
    </row>
    <row r="4" spans="1:9" ht="15.75" x14ac:dyDescent="0.25">
      <c r="E4" s="26"/>
      <c r="F4" s="26"/>
      <c r="G4" s="26"/>
      <c r="H4" s="26"/>
      <c r="I4" s="26"/>
    </row>
    <row r="5" spans="1:9" x14ac:dyDescent="0.2">
      <c r="A5" s="25"/>
      <c r="B5" s="25"/>
      <c r="C5" s="25"/>
      <c r="D5" s="25"/>
      <c r="E5" s="27" t="s">
        <v>9</v>
      </c>
      <c r="F5" s="27" t="s">
        <v>11</v>
      </c>
      <c r="G5" s="27" t="s">
        <v>15</v>
      </c>
      <c r="H5" s="25"/>
    </row>
    <row r="6" spans="1:9" x14ac:dyDescent="0.2">
      <c r="A6" s="25"/>
      <c r="B6" s="25"/>
      <c r="C6" s="25"/>
      <c r="D6" s="25"/>
      <c r="E6" s="27">
        <v>0.4</v>
      </c>
      <c r="F6" s="27">
        <v>0.1</v>
      </c>
      <c r="G6" s="27">
        <v>0.3</v>
      </c>
      <c r="H6" s="25"/>
    </row>
    <row r="7" spans="1:9" x14ac:dyDescent="0.2">
      <c r="A7" s="28" t="str">
        <f>+'[4]Promedio móvil'!A39</f>
        <v>años</v>
      </c>
      <c r="B7" s="28" t="s">
        <v>19</v>
      </c>
      <c r="C7" s="28" t="s">
        <v>33</v>
      </c>
      <c r="D7" s="28" t="str">
        <f>+'[4]Promedio móvil'!D39</f>
        <v>Yt</v>
      </c>
      <c r="E7" s="28" t="s">
        <v>12</v>
      </c>
      <c r="F7" s="28" t="s">
        <v>13</v>
      </c>
      <c r="G7" s="28" t="s">
        <v>16</v>
      </c>
      <c r="H7" s="28" t="s">
        <v>34</v>
      </c>
      <c r="I7" s="8" t="s">
        <v>3</v>
      </c>
    </row>
    <row r="8" spans="1:9" x14ac:dyDescent="0.2">
      <c r="A8" s="29">
        <v>2018</v>
      </c>
      <c r="B8" s="28">
        <f>+'[4]Promedio móvil'!B40</f>
        <v>1</v>
      </c>
      <c r="C8" s="28">
        <f>+'[4]Promedio móvil'!C40</f>
        <v>1</v>
      </c>
      <c r="D8" s="29">
        <f>+'[4]Promedio móvil'!D40</f>
        <v>500</v>
      </c>
      <c r="E8" s="31">
        <f>+D8</f>
        <v>500</v>
      </c>
      <c r="F8" s="31">
        <v>0</v>
      </c>
      <c r="G8" s="31">
        <v>1</v>
      </c>
      <c r="H8" s="96">
        <f>+D8</f>
        <v>500</v>
      </c>
      <c r="I8" s="15">
        <f t="shared" ref="I8:I13" si="0">POWER(H8-D8,2)</f>
        <v>0</v>
      </c>
    </row>
    <row r="9" spans="1:9" x14ac:dyDescent="0.2">
      <c r="A9" s="29"/>
      <c r="B9" s="28">
        <f>+'[4]Promedio móvil'!B41</f>
        <v>2</v>
      </c>
      <c r="C9" s="28">
        <f>+'[4]Promedio móvil'!C41</f>
        <v>2</v>
      </c>
      <c r="D9" s="29">
        <f>+'[4]Promedio móvil'!D41</f>
        <v>350</v>
      </c>
      <c r="E9" s="31">
        <f>+$E$6*(D9/$G$8)+(1-$E$6)*(E8+F8)</f>
        <v>440</v>
      </c>
      <c r="F9" s="31">
        <f>+$F$6*(E9-E8)+(1-$F$6)*F8</f>
        <v>-6</v>
      </c>
      <c r="G9" s="31">
        <f>+$G$6*(D9/E9)+(1-$G$6)*$G$8</f>
        <v>0.9386363636363636</v>
      </c>
      <c r="H9" s="96">
        <f>+D8</f>
        <v>500</v>
      </c>
      <c r="I9" s="15">
        <f t="shared" si="0"/>
        <v>22500</v>
      </c>
    </row>
    <row r="10" spans="1:9" x14ac:dyDescent="0.2">
      <c r="A10" s="29"/>
      <c r="B10" s="28">
        <f>+'[4]Promedio móvil'!B42</f>
        <v>3</v>
      </c>
      <c r="C10" s="28">
        <f>+'[4]Promedio móvil'!C42</f>
        <v>3</v>
      </c>
      <c r="D10" s="29">
        <f>+'[4]Promedio móvil'!D42</f>
        <v>250</v>
      </c>
      <c r="E10" s="31">
        <f>+$E$6*(D10/$G$8)+(1-$E$6)*(E9+F9)</f>
        <v>360.4</v>
      </c>
      <c r="F10" s="31">
        <f>+$F$6*(E10-E9)+(1-$F$6)*F9</f>
        <v>-13.360000000000003</v>
      </c>
      <c r="G10" s="31">
        <f>+$G$6*(D10/E10)+(1-$G$6)*$G$8</f>
        <v>0.90810210876803543</v>
      </c>
      <c r="H10" s="96">
        <f>+D8</f>
        <v>500</v>
      </c>
      <c r="I10" s="15">
        <f t="shared" si="0"/>
        <v>62500</v>
      </c>
    </row>
    <row r="11" spans="1:9" x14ac:dyDescent="0.2">
      <c r="A11" s="29"/>
      <c r="B11" s="28">
        <f>+'[4]Promedio móvil'!B43</f>
        <v>4</v>
      </c>
      <c r="C11" s="28">
        <f>+'[4]Promedio móvil'!C43</f>
        <v>4</v>
      </c>
      <c r="D11" s="29">
        <f>+'[4]Promedio móvil'!D43</f>
        <v>400</v>
      </c>
      <c r="E11" s="31">
        <f>+$E$6*(D11/$G$8)+(1-$E$6)*(E10+F10)</f>
        <v>368.22399999999993</v>
      </c>
      <c r="F11" s="31">
        <f>+$F$6*(E11-E10)+(1-$F$6)*F10</f>
        <v>-11.241600000000007</v>
      </c>
      <c r="G11" s="31">
        <f>+$G$6*(D11/E11)+(1-$G$6)*$G$8</f>
        <v>1.0258885895541845</v>
      </c>
      <c r="H11" s="96">
        <f>+D8</f>
        <v>500</v>
      </c>
      <c r="I11" s="15">
        <f t="shared" si="0"/>
        <v>10000</v>
      </c>
    </row>
    <row r="12" spans="1:9" x14ac:dyDescent="0.2">
      <c r="A12" s="29">
        <v>2019</v>
      </c>
      <c r="B12" s="28">
        <f>+'[4]Promedio móvil'!B44</f>
        <v>1</v>
      </c>
      <c r="C12" s="28">
        <f>+'[4]Promedio móvil'!C44</f>
        <v>5</v>
      </c>
      <c r="D12" s="29">
        <f>+'[4]Promedio móvil'!D44</f>
        <v>450</v>
      </c>
      <c r="E12" s="31">
        <f>+$E$6*(D12/G8)+(1-$E$6)*(E11+F11)</f>
        <v>394.18943999999999</v>
      </c>
      <c r="F12" s="31">
        <f>+$F$6*(E12-E11)+(1-$F$6)*F11</f>
        <v>-7.5208960000000014</v>
      </c>
      <c r="G12" s="31">
        <f>+$G$6*(D12/E12)+(1-$G$6)*G8</f>
        <v>1.0424749277910641</v>
      </c>
      <c r="H12" s="97">
        <f>+(E11+F11)*G8</f>
        <v>356.98239999999993</v>
      </c>
      <c r="I12" s="15">
        <f t="shared" si="0"/>
        <v>8652.2739097600133</v>
      </c>
    </row>
    <row r="13" spans="1:9" x14ac:dyDescent="0.2">
      <c r="A13" s="29"/>
      <c r="B13" s="28">
        <f>+'[4]Promedio móvil'!B45</f>
        <v>2</v>
      </c>
      <c r="C13" s="28">
        <f>+'[4]Promedio móvil'!C45</f>
        <v>6</v>
      </c>
      <c r="D13" s="29">
        <f>+'[4]Promedio móvil'!D45</f>
        <v>350</v>
      </c>
      <c r="E13" s="31">
        <f>+$E$6*(D13/G9)+(1-$E$6)*(E12+F12)</f>
        <v>381.15366877288136</v>
      </c>
      <c r="F13" s="31">
        <f>+$F$6*(E13-E12)+(1-$F$6)*F12</f>
        <v>-8.0723835227118652</v>
      </c>
      <c r="G13" s="31">
        <f>+$G$6*(D13/E13)+(1-$G$6)*G9</f>
        <v>0.93252489657219906</v>
      </c>
      <c r="H13" s="97">
        <f>+(E12+F12)*G9</f>
        <v>362.94115607272727</v>
      </c>
      <c r="I13" s="15">
        <f t="shared" si="0"/>
        <v>167.47352049868582</v>
      </c>
    </row>
    <row r="14" spans="1:9" x14ac:dyDescent="0.2">
      <c r="A14" s="28"/>
      <c r="B14" s="28">
        <f>+'[4]Promedio móvil'!B46</f>
        <v>3</v>
      </c>
      <c r="C14" s="28">
        <f>+'[4]Promedio móvil'!C46</f>
        <v>7</v>
      </c>
      <c r="D14" s="32"/>
      <c r="E14" s="32"/>
      <c r="F14" s="30"/>
      <c r="G14" s="28"/>
      <c r="H14" s="37" t="s">
        <v>100</v>
      </c>
      <c r="I14" s="15"/>
    </row>
    <row r="15" spans="1:9" x14ac:dyDescent="0.2">
      <c r="A15" s="28"/>
      <c r="B15" s="28">
        <f>+'[4]Promedio móvil'!B47</f>
        <v>4</v>
      </c>
      <c r="C15" s="28">
        <f>+'[4]Promedio móvil'!C47</f>
        <v>8</v>
      </c>
      <c r="D15" s="32"/>
      <c r="E15" s="32"/>
      <c r="F15" s="30"/>
      <c r="G15" s="28"/>
      <c r="H15" s="37" t="s">
        <v>100</v>
      </c>
      <c r="I15" s="15"/>
    </row>
    <row r="17" spans="9:9" x14ac:dyDescent="0.2">
      <c r="I17" s="35"/>
    </row>
  </sheetData>
  <mergeCells count="1"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Pregunta #1</vt:lpstr>
      <vt:lpstr>Pregunta #2</vt:lpstr>
      <vt:lpstr>PREGUNTA #3</vt:lpstr>
      <vt:lpstr>pREGUNTA #3-A</vt:lpstr>
      <vt:lpstr>pREGUNTA #3-B</vt:lpstr>
      <vt:lpstr>Pregunta 4 Arbol</vt:lpstr>
      <vt:lpstr>Hoja1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Fernando</cp:lastModifiedBy>
  <cp:lastPrinted>2012-05-17T20:08:42Z</cp:lastPrinted>
  <dcterms:created xsi:type="dcterms:W3CDTF">2007-09-24T16:46:15Z</dcterms:created>
  <dcterms:modified xsi:type="dcterms:W3CDTF">2019-11-06T17:26:34Z</dcterms:modified>
</cp:coreProperties>
</file>