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2840" yWindow="0" windowWidth="24920" windowHeight="19680" tabRatio="500"/>
  </bookViews>
  <sheets>
    <sheet name="Primera pregunta" sheetId="2" r:id="rId1"/>
    <sheet name="Segunda pregunta" sheetId="3" r:id="rId2"/>
    <sheet name="Tercera pregunta" sheetId="1" r:id="rId3"/>
  </sheets>
  <definedNames>
    <definedName name="cuatrob">'Segunda pregunta'!$O$40</definedName>
    <definedName name="dosb">'Segunda pregunta'!$J$28</definedName>
    <definedName name="tresb">'Segunda pregunta'!$N$28</definedName>
    <definedName name="unob">'Segunda pregunta'!$F$28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S41" i="3" l="1"/>
  <c r="S40" i="3"/>
  <c r="S39" i="3"/>
  <c r="S15" i="3"/>
  <c r="S16" i="3"/>
  <c r="S17" i="3"/>
  <c r="S4" i="3"/>
  <c r="S5" i="3"/>
  <c r="S6" i="3"/>
  <c r="S7" i="3"/>
  <c r="S8" i="3"/>
  <c r="S9" i="3"/>
  <c r="D15" i="1"/>
  <c r="C15" i="1"/>
  <c r="C11" i="1"/>
  <c r="C8" i="1"/>
  <c r="D7" i="1"/>
  <c r="D6" i="1"/>
  <c r="O45" i="3"/>
  <c r="O44" i="3"/>
  <c r="O43" i="3"/>
  <c r="P41" i="3"/>
  <c r="Q41" i="3"/>
  <c r="P40" i="3"/>
  <c r="Q40" i="3"/>
  <c r="P39" i="3"/>
  <c r="Q39" i="3"/>
  <c r="F33" i="3"/>
  <c r="F32" i="3"/>
  <c r="F31" i="3"/>
  <c r="G33" i="3"/>
  <c r="G31" i="3"/>
  <c r="F30" i="3"/>
  <c r="G32" i="3"/>
  <c r="G30" i="3"/>
  <c r="K33" i="3"/>
  <c r="K32" i="3"/>
  <c r="K31" i="3"/>
  <c r="L33" i="3"/>
  <c r="L32" i="3"/>
  <c r="L31" i="3"/>
  <c r="K30" i="3"/>
  <c r="L30" i="3"/>
  <c r="F29" i="3"/>
  <c r="G29" i="3"/>
  <c r="K29" i="3"/>
  <c r="F26" i="3"/>
  <c r="G28" i="3"/>
  <c r="K28" i="3"/>
  <c r="K26" i="3"/>
  <c r="L28" i="3"/>
  <c r="P28" i="3"/>
  <c r="P26" i="3"/>
  <c r="Q28" i="3"/>
  <c r="P29" i="3"/>
  <c r="Q29" i="3"/>
  <c r="I30" i="3"/>
  <c r="P30" i="3"/>
  <c r="Q30" i="3"/>
  <c r="I31" i="3"/>
  <c r="P31" i="3"/>
  <c r="Q31" i="3"/>
  <c r="I32" i="3"/>
  <c r="P32" i="3"/>
  <c r="Q32" i="3"/>
  <c r="I33" i="3"/>
  <c r="N29" i="3"/>
  <c r="N30" i="3"/>
  <c r="N31" i="3"/>
  <c r="N32" i="3"/>
  <c r="P33" i="3"/>
  <c r="N33" i="3"/>
  <c r="E29" i="3"/>
  <c r="E31" i="3"/>
  <c r="E32" i="3"/>
  <c r="E33" i="3"/>
  <c r="J29" i="3"/>
  <c r="J30" i="3"/>
  <c r="J31" i="3"/>
  <c r="J32" i="3"/>
  <c r="J33" i="3"/>
  <c r="O29" i="3"/>
  <c r="O30" i="3"/>
  <c r="O31" i="3"/>
  <c r="O32" i="3"/>
  <c r="O33" i="3"/>
  <c r="P37" i="3"/>
  <c r="O40" i="3"/>
  <c r="O41" i="3"/>
  <c r="Q33" i="3"/>
  <c r="O21" i="3"/>
  <c r="O20" i="3"/>
  <c r="O19" i="3"/>
  <c r="P17" i="3"/>
  <c r="P16" i="3"/>
  <c r="Q16" i="3"/>
  <c r="O17" i="3"/>
  <c r="Q15" i="3"/>
  <c r="O16" i="3"/>
  <c r="Q17" i="3"/>
  <c r="F2" i="3"/>
  <c r="G4" i="3"/>
  <c r="K4" i="3"/>
  <c r="K2" i="3"/>
  <c r="L4" i="3"/>
  <c r="P4" i="3"/>
  <c r="P2" i="3"/>
  <c r="Q4" i="3"/>
  <c r="P5" i="3"/>
  <c r="Q5" i="3"/>
  <c r="P6" i="3"/>
  <c r="Q6" i="3"/>
  <c r="P7" i="3"/>
  <c r="Q7" i="3"/>
  <c r="P8" i="3"/>
  <c r="Q8" i="3"/>
  <c r="P9" i="3"/>
  <c r="O9" i="3"/>
  <c r="K9" i="3"/>
  <c r="L9" i="3"/>
  <c r="N9" i="3"/>
  <c r="O8" i="3"/>
  <c r="K8" i="3"/>
  <c r="L8" i="3"/>
  <c r="N8" i="3"/>
  <c r="O7" i="3"/>
  <c r="K7" i="3"/>
  <c r="L7" i="3"/>
  <c r="N7" i="3"/>
  <c r="O6" i="3"/>
  <c r="K6" i="3"/>
  <c r="L6" i="3"/>
  <c r="N6" i="3"/>
  <c r="O5" i="3"/>
  <c r="K5" i="3"/>
  <c r="L5" i="3"/>
  <c r="N5" i="3"/>
  <c r="J6" i="3"/>
  <c r="J7" i="3"/>
  <c r="J8" i="3"/>
  <c r="J9" i="3"/>
  <c r="J5" i="3"/>
  <c r="F6" i="3"/>
  <c r="G6" i="3"/>
  <c r="I6" i="3"/>
  <c r="F7" i="3"/>
  <c r="G7" i="3"/>
  <c r="I7" i="3"/>
  <c r="F8" i="3"/>
  <c r="G8" i="3"/>
  <c r="I8" i="3"/>
  <c r="F9" i="3"/>
  <c r="G9" i="3"/>
  <c r="I9" i="3"/>
  <c r="F5" i="3"/>
  <c r="G5" i="3"/>
  <c r="I5" i="3"/>
  <c r="E6" i="3"/>
  <c r="E7" i="3"/>
  <c r="E8" i="3"/>
  <c r="E9" i="3"/>
  <c r="E5" i="3"/>
  <c r="Q9" i="3"/>
  <c r="C21" i="3"/>
  <c r="P13" i="3"/>
  <c r="C14" i="3"/>
  <c r="E15" i="2"/>
  <c r="E14" i="2"/>
  <c r="E13" i="2"/>
  <c r="K8" i="2"/>
  <c r="K14" i="2"/>
  <c r="K30" i="2"/>
  <c r="M30" i="2"/>
  <c r="N30" i="2"/>
  <c r="K28" i="2"/>
  <c r="L24" i="2"/>
  <c r="L25" i="2"/>
  <c r="L26" i="2"/>
  <c r="L27" i="2"/>
  <c r="M23" i="2"/>
  <c r="L14" i="2"/>
  <c r="K31" i="2"/>
  <c r="M31" i="2"/>
  <c r="N31" i="2"/>
  <c r="L28" i="2"/>
  <c r="M24" i="2"/>
  <c r="M25" i="2"/>
  <c r="M26" i="2"/>
  <c r="M27" i="2"/>
  <c r="N23" i="2"/>
  <c r="M14" i="2"/>
  <c r="K32" i="2"/>
  <c r="M32" i="2"/>
  <c r="N32" i="2"/>
  <c r="M28" i="2"/>
  <c r="N24" i="2"/>
  <c r="N25" i="2"/>
  <c r="K43" i="2"/>
  <c r="M43" i="2"/>
  <c r="N43" i="2"/>
  <c r="K41" i="2"/>
  <c r="M37" i="2"/>
  <c r="M38" i="2"/>
  <c r="M39" i="2"/>
  <c r="M40" i="2"/>
  <c r="N36" i="2"/>
  <c r="K44" i="2"/>
  <c r="M44" i="2"/>
  <c r="N44" i="2"/>
  <c r="L41" i="2"/>
  <c r="N37" i="2"/>
  <c r="N38" i="2"/>
  <c r="N39" i="2"/>
  <c r="N40" i="2"/>
  <c r="O36" i="2"/>
  <c r="K45" i="2"/>
  <c r="M45" i="2"/>
  <c r="N45" i="2"/>
  <c r="M41" i="2"/>
  <c r="O37" i="2"/>
  <c r="O38" i="2"/>
  <c r="K16" i="2"/>
  <c r="K17" i="2"/>
  <c r="K18" i="2"/>
  <c r="K19" i="2"/>
  <c r="L13" i="2"/>
  <c r="L16" i="2"/>
  <c r="L17" i="2"/>
  <c r="L18" i="2"/>
  <c r="L19" i="2"/>
  <c r="M13" i="2"/>
  <c r="M16" i="2"/>
  <c r="M17" i="2"/>
  <c r="C9" i="2"/>
  <c r="L6" i="2"/>
  <c r="E20" i="2"/>
  <c r="F20" i="2"/>
  <c r="H20" i="2"/>
  <c r="E21" i="2"/>
  <c r="F21" i="2"/>
  <c r="H21" i="2"/>
  <c r="E19" i="2"/>
  <c r="F19" i="2"/>
  <c r="H19" i="2"/>
  <c r="G20" i="2"/>
  <c r="G21" i="2"/>
  <c r="G19" i="2"/>
  <c r="F14" i="2"/>
  <c r="C20" i="2"/>
  <c r="C26" i="2"/>
  <c r="D26" i="2"/>
  <c r="E25" i="2"/>
  <c r="E26" i="2"/>
  <c r="F26" i="2"/>
  <c r="F15" i="2"/>
  <c r="C21" i="2"/>
  <c r="C27" i="2"/>
  <c r="D27" i="2"/>
  <c r="E27" i="2"/>
  <c r="F27" i="2"/>
  <c r="F13" i="2"/>
  <c r="C19" i="2"/>
  <c r="C25" i="2"/>
  <c r="D25" i="2"/>
  <c r="F25" i="2"/>
  <c r="K6" i="2"/>
  <c r="D20" i="2"/>
  <c r="D21" i="2"/>
  <c r="D19" i="2"/>
  <c r="O39" i="2"/>
  <c r="O40" i="2"/>
  <c r="N26" i="2"/>
  <c r="N27" i="2"/>
  <c r="M18" i="2"/>
  <c r="M19" i="2"/>
  <c r="D9" i="2"/>
  <c r="C2" i="1"/>
  <c r="C4" i="1"/>
  <c r="C3" i="1"/>
  <c r="C5" i="1"/>
  <c r="C14" i="1"/>
  <c r="H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I3" i="1"/>
  <c r="G17" i="1"/>
  <c r="G16" i="1"/>
  <c r="G14" i="1"/>
  <c r="G13" i="1"/>
  <c r="G12" i="1"/>
  <c r="G11" i="1"/>
  <c r="G10" i="1"/>
  <c r="G15" i="1"/>
  <c r="G9" i="1"/>
  <c r="G8" i="1"/>
  <c r="G7" i="1"/>
  <c r="G6" i="1"/>
  <c r="G5" i="1"/>
  <c r="G4" i="1"/>
  <c r="D14" i="1"/>
  <c r="D13" i="1"/>
  <c r="C6" i="1"/>
  <c r="C7" i="1"/>
  <c r="C10" i="1"/>
  <c r="C9" i="1"/>
  <c r="I29" i="3"/>
  <c r="E30" i="3"/>
</calcChain>
</file>

<file path=xl/sharedStrings.xml><?xml version="1.0" encoding="utf-8"?>
<sst xmlns="http://schemas.openxmlformats.org/spreadsheetml/2006/main" count="233" uniqueCount="139">
  <si>
    <t>Dimensiones del local</t>
  </si>
  <si>
    <t>Total</t>
  </si>
  <si>
    <t>Total de clientes</t>
  </si>
  <si>
    <t>Total de mesas</t>
  </si>
  <si>
    <t>Mesas a lo largo</t>
  </si>
  <si>
    <t>Mesas a lo ancho</t>
  </si>
  <si>
    <t>Mesas de 4 personas</t>
  </si>
  <si>
    <t>Mesas de 2 personas</t>
  </si>
  <si>
    <t>Tiempo de ciclo</t>
  </si>
  <si>
    <t>Tiempos</t>
  </si>
  <si>
    <t>Horas</t>
  </si>
  <si>
    <t>Minutos</t>
  </si>
  <si>
    <t>Cocineros</t>
  </si>
  <si>
    <t>Parrillas</t>
  </si>
  <si>
    <t>Freidoras</t>
  </si>
  <si>
    <t>Mini refrigerador</t>
  </si>
  <si>
    <t>Horno</t>
  </si>
  <si>
    <t>Plancha</t>
  </si>
  <si>
    <t>Triturador</t>
  </si>
  <si>
    <t>Mesa de trabajo</t>
  </si>
  <si>
    <t>Batidora</t>
  </si>
  <si>
    <t>Licuadora</t>
  </si>
  <si>
    <t>Juego de Ollas</t>
  </si>
  <si>
    <t>Juego de sartenes</t>
  </si>
  <si>
    <t>Microondas</t>
  </si>
  <si>
    <t>Juego de cucharas</t>
  </si>
  <si>
    <t>Juego de pinzas</t>
  </si>
  <si>
    <t>Juego de espátulas</t>
  </si>
  <si>
    <t>Capacidad productiva en comensales por cocinero</t>
  </si>
  <si>
    <t>Relaciones</t>
  </si>
  <si>
    <t>Estimado de Necesidades</t>
  </si>
  <si>
    <t>Contratación y compra</t>
  </si>
  <si>
    <t>CD =</t>
  </si>
  <si>
    <t>Cálculo de los tiempos estándar ajustados por desperdicios</t>
  </si>
  <si>
    <t>Sub proceso</t>
  </si>
  <si>
    <t>Tstd</t>
  </si>
  <si>
    <t>ai</t>
  </si>
  <si>
    <t>Tstd ajustado</t>
  </si>
  <si>
    <t>Pp =</t>
  </si>
  <si>
    <t>Vi</t>
  </si>
  <si>
    <t>Mes</t>
  </si>
  <si>
    <t>Demanda</t>
  </si>
  <si>
    <t>Inv. Inicial</t>
  </si>
  <si>
    <t>P producción</t>
  </si>
  <si>
    <t>A transitorio</t>
  </si>
  <si>
    <t>Disponible</t>
  </si>
  <si>
    <t>Despacho</t>
  </si>
  <si>
    <t>Inv. Final</t>
  </si>
  <si>
    <t>Desperdicio</t>
  </si>
  <si>
    <t>MRP C</t>
  </si>
  <si>
    <t>A</t>
  </si>
  <si>
    <t>C</t>
  </si>
  <si>
    <t>B</t>
  </si>
  <si>
    <t>D</t>
  </si>
  <si>
    <t>E</t>
  </si>
  <si>
    <t>Plan de Compras</t>
  </si>
  <si>
    <t>PNM</t>
  </si>
  <si>
    <t>F. Pedido</t>
  </si>
  <si>
    <t>PNCT</t>
  </si>
  <si>
    <t>Merma</t>
  </si>
  <si>
    <t>PNM 1=</t>
  </si>
  <si>
    <t>Fp 1=</t>
  </si>
  <si>
    <t>Inv seg</t>
  </si>
  <si>
    <t>PNM 2=</t>
  </si>
  <si>
    <t>PNM 3=</t>
  </si>
  <si>
    <t>Fp 2=</t>
  </si>
  <si>
    <t>MRP E</t>
  </si>
  <si>
    <t>Fp -1=</t>
  </si>
  <si>
    <t>Fp 0=</t>
  </si>
  <si>
    <t>PNM 0=</t>
  </si>
  <si>
    <t>Fp -2=</t>
  </si>
  <si>
    <t>Balance del Flujo del Proceso</t>
  </si>
  <si>
    <t>Tstd/Trp</t>
  </si>
  <si>
    <t>Trp =</t>
  </si>
  <si>
    <t># de células</t>
  </si>
  <si>
    <t># de máquinas</t>
  </si>
  <si>
    <t>Sub Proceso</t>
  </si>
  <si>
    <t>Máquinas</t>
  </si>
  <si>
    <t>Personas</t>
  </si>
  <si>
    <t># personas</t>
  </si>
  <si>
    <t>Carga de trabajo esperada por célula</t>
  </si>
  <si>
    <t>T carga/hrs-und</t>
  </si>
  <si>
    <t>Carga</t>
  </si>
  <si>
    <t>T disponible</t>
  </si>
  <si>
    <t>U</t>
  </si>
  <si>
    <t>Área para comensales</t>
  </si>
  <si>
    <t>Área para cocina y bodega</t>
  </si>
  <si>
    <t>Dos jornadas de</t>
  </si>
  <si>
    <t>Q</t>
  </si>
  <si>
    <t>TM</t>
  </si>
  <si>
    <t>O1</t>
  </si>
  <si>
    <t>O2</t>
  </si>
  <si>
    <t>O3</t>
  </si>
  <si>
    <t>O4</t>
  </si>
  <si>
    <t>A1</t>
  </si>
  <si>
    <t>ORD</t>
  </si>
  <si>
    <t>TC</t>
  </si>
  <si>
    <t>A2</t>
  </si>
  <si>
    <t>A3</t>
  </si>
  <si>
    <t>A4</t>
  </si>
  <si>
    <t>KANBAN</t>
  </si>
  <si>
    <t>Qk</t>
  </si>
  <si>
    <t>250 unidades</t>
  </si>
  <si>
    <t>Pr</t>
  </si>
  <si>
    <t>180 unidades</t>
  </si>
  <si>
    <t>Tr</t>
  </si>
  <si>
    <t>horas</t>
  </si>
  <si>
    <t>Este es el tiempo de reorden.</t>
  </si>
  <si>
    <t>Cuando queden 15 horas por</t>
  </si>
  <si>
    <t>procesar, se pide otro lote.</t>
  </si>
  <si>
    <t>O2-O1</t>
  </si>
  <si>
    <t>0-1</t>
  </si>
  <si>
    <t>150 unidades</t>
  </si>
  <si>
    <t>Cuando queden 25 horas por</t>
  </si>
  <si>
    <t>- -</t>
  </si>
  <si>
    <t>117.67-118.67</t>
  </si>
  <si>
    <t>202-203</t>
  </si>
  <si>
    <t>33.33-34.33</t>
  </si>
  <si>
    <t>75-76</t>
  </si>
  <si>
    <t>CMI</t>
  </si>
  <si>
    <t>DBR</t>
  </si>
  <si>
    <t>105-106</t>
  </si>
  <si>
    <t>190-191</t>
  </si>
  <si>
    <t>R/ Aunque hay un aumento en el tiempo muerto, es mejor método DBR que el Kanban.</t>
  </si>
  <si>
    <t>El costo de mantenimiento del inventario es menor. El tiempo muerto de no cuellos de botella no afecta al sistema.</t>
  </si>
  <si>
    <t>Clientes</t>
  </si>
  <si>
    <t>MPS</t>
  </si>
  <si>
    <t>10 pts</t>
  </si>
  <si>
    <t>MRP</t>
  </si>
  <si>
    <t>CRP</t>
  </si>
  <si>
    <t>15 pts</t>
  </si>
  <si>
    <t>35 pts</t>
  </si>
  <si>
    <t>5 pts cada uno</t>
  </si>
  <si>
    <t>MPS producto A</t>
  </si>
  <si>
    <t>Área</t>
  </si>
  <si>
    <t>Item</t>
  </si>
  <si>
    <t>Puntos</t>
  </si>
  <si>
    <t>Mesas</t>
  </si>
  <si>
    <t>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</si>
</sst>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"/>
    <numFmt numFmtId="166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6" fillId="0" borderId="1" xfId="0" applyFont="1" applyBorder="1"/>
    <xf numFmtId="1" fontId="0" fillId="0" borderId="0" xfId="0" applyNumberFormat="1"/>
    <xf numFmtId="0" fontId="0" fillId="0" borderId="2" xfId="0" applyBorder="1"/>
    <xf numFmtId="0" fontId="0" fillId="0" borderId="1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Fill="1" applyBorder="1"/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" xfId="13" applyNumberFormat="1" applyFont="1" applyBorder="1" applyAlignment="1">
      <alignment horizontal="center"/>
    </xf>
    <xf numFmtId="9" fontId="0" fillId="0" borderId="1" xfId="13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164" fontId="0" fillId="0" borderId="0" xfId="158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71">
    <cellStyle name="Currency" xfId="158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1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tabSelected="1" zoomScale="120" zoomScaleNormal="120" zoomScalePageLayoutView="120" workbookViewId="0">
      <selection activeCell="D32" sqref="D32"/>
    </sheetView>
  </sheetViews>
  <sheetFormatPr baseColWidth="10" defaultRowHeight="15" x14ac:dyDescent="0"/>
  <cols>
    <col min="1" max="1" width="6.33203125" customWidth="1"/>
    <col min="2" max="2" width="13" customWidth="1"/>
    <col min="3" max="3" width="16.6640625" customWidth="1"/>
    <col min="4" max="4" width="11.33203125" bestFit="1" customWidth="1"/>
    <col min="5" max="5" width="13.1640625" customWidth="1"/>
    <col min="6" max="8" width="13.6640625" customWidth="1"/>
    <col min="9" max="9" width="3.5" customWidth="1"/>
    <col min="10" max="10" width="15.83203125" customWidth="1"/>
    <col min="15" max="15" width="10.83203125" customWidth="1"/>
    <col min="16" max="16" width="8.5" customWidth="1"/>
    <col min="18" max="18" width="14.5" customWidth="1"/>
  </cols>
  <sheetData>
    <row r="2" spans="2:18">
      <c r="B2" s="13"/>
      <c r="C2" s="13" t="s">
        <v>58</v>
      </c>
      <c r="D2" s="13" t="s">
        <v>59</v>
      </c>
      <c r="E2" s="13" t="s">
        <v>62</v>
      </c>
      <c r="F2" s="13" t="s">
        <v>76</v>
      </c>
      <c r="G2" s="13" t="s">
        <v>77</v>
      </c>
      <c r="H2" s="13" t="s">
        <v>78</v>
      </c>
      <c r="J2" s="13"/>
      <c r="K2" s="13" t="s">
        <v>51</v>
      </c>
      <c r="L2" s="13" t="s">
        <v>52</v>
      </c>
      <c r="M2" s="13" t="s">
        <v>53</v>
      </c>
      <c r="N2" s="13" t="s">
        <v>54</v>
      </c>
    </row>
    <row r="3" spans="2:18">
      <c r="B3" s="13" t="s">
        <v>50</v>
      </c>
      <c r="C3" s="13">
        <v>0</v>
      </c>
      <c r="D3" s="13">
        <v>0</v>
      </c>
      <c r="E3" s="29">
        <v>0.1</v>
      </c>
      <c r="F3" s="13">
        <v>1</v>
      </c>
      <c r="G3" s="13">
        <v>2</v>
      </c>
      <c r="H3" s="13">
        <v>2</v>
      </c>
      <c r="J3" s="13" t="s">
        <v>50</v>
      </c>
      <c r="K3" s="13">
        <v>2</v>
      </c>
      <c r="L3" s="13">
        <v>3</v>
      </c>
      <c r="M3" s="13">
        <v>3</v>
      </c>
      <c r="N3" s="13">
        <v>0</v>
      </c>
    </row>
    <row r="4" spans="2:18">
      <c r="B4" s="13" t="s">
        <v>52</v>
      </c>
      <c r="C4" s="29">
        <v>0.03</v>
      </c>
      <c r="D4" s="29">
        <v>0.02</v>
      </c>
      <c r="E4" s="29">
        <v>0.2</v>
      </c>
      <c r="F4" s="13">
        <v>2</v>
      </c>
      <c r="G4" s="13">
        <v>2</v>
      </c>
      <c r="H4" s="13">
        <v>3</v>
      </c>
      <c r="J4" s="13" t="s">
        <v>51</v>
      </c>
      <c r="K4" s="13">
        <v>0</v>
      </c>
      <c r="L4" s="13">
        <v>0</v>
      </c>
      <c r="M4" s="13">
        <v>0</v>
      </c>
      <c r="N4" s="13">
        <v>2</v>
      </c>
    </row>
    <row r="5" spans="2:18">
      <c r="B5" s="13" t="s">
        <v>51</v>
      </c>
      <c r="C5" s="29">
        <v>0.03</v>
      </c>
      <c r="D5" s="13">
        <v>0</v>
      </c>
      <c r="E5" s="29">
        <v>0.2</v>
      </c>
      <c r="F5" s="13">
        <v>3</v>
      </c>
      <c r="G5" s="13">
        <v>1</v>
      </c>
      <c r="H5" s="13">
        <v>1</v>
      </c>
    </row>
    <row r="6" spans="2:18">
      <c r="B6" s="13" t="s">
        <v>53</v>
      </c>
      <c r="C6" s="29">
        <v>0.05</v>
      </c>
      <c r="D6" s="29">
        <v>0.03</v>
      </c>
      <c r="E6" s="29">
        <v>0</v>
      </c>
      <c r="J6" t="s">
        <v>73</v>
      </c>
      <c r="K6" s="21">
        <f>+C9/(K14*E13)</f>
        <v>0.15367983367983368</v>
      </c>
      <c r="L6" s="21">
        <f>+C9/K14</f>
        <v>0.14462716939708939</v>
      </c>
    </row>
    <row r="7" spans="2:18">
      <c r="B7" s="13" t="s">
        <v>54</v>
      </c>
      <c r="C7" s="29">
        <v>0.05</v>
      </c>
      <c r="D7" s="13">
        <v>0</v>
      </c>
      <c r="E7" s="29">
        <v>0</v>
      </c>
      <c r="J7" s="22"/>
    </row>
    <row r="8" spans="2:18">
      <c r="J8" t="s">
        <v>38</v>
      </c>
      <c r="K8" s="4">
        <f>((500+900+1000+100-95)/3)*(1/E13)</f>
        <v>851.84547629319366</v>
      </c>
    </row>
    <row r="9" spans="2:18">
      <c r="B9" t="s">
        <v>32</v>
      </c>
      <c r="C9">
        <f>(8-1)*22*0.8</f>
        <v>123.2</v>
      </c>
      <c r="D9">
        <f>C9*1.5</f>
        <v>184.8</v>
      </c>
    </row>
    <row r="10" spans="2:18" ht="16" thickBot="1">
      <c r="J10" s="30" t="s">
        <v>133</v>
      </c>
      <c r="K10" s="17"/>
    </row>
    <row r="11" spans="2:18">
      <c r="B11" s="15" t="s">
        <v>33</v>
      </c>
      <c r="C11" s="12"/>
      <c r="D11" s="12"/>
      <c r="E11" s="12"/>
      <c r="F11" s="12"/>
      <c r="G11" s="23"/>
      <c r="H11" s="23"/>
      <c r="J11" s="18" t="s">
        <v>40</v>
      </c>
      <c r="K11" s="12">
        <v>1</v>
      </c>
      <c r="L11" s="12">
        <v>2</v>
      </c>
      <c r="M11" s="12">
        <v>3</v>
      </c>
      <c r="P11" s="41" t="s">
        <v>126</v>
      </c>
      <c r="Q11" s="42" t="s">
        <v>127</v>
      </c>
      <c r="R11" s="40"/>
    </row>
    <row r="12" spans="2:18">
      <c r="B12" s="13" t="s">
        <v>34</v>
      </c>
      <c r="C12" s="13" t="s">
        <v>35</v>
      </c>
      <c r="D12" s="13" t="s">
        <v>36</v>
      </c>
      <c r="E12" s="13" t="s">
        <v>39</v>
      </c>
      <c r="F12" s="13" t="s">
        <v>37</v>
      </c>
      <c r="G12" s="24"/>
      <c r="H12" s="24"/>
      <c r="J12" s="12" t="s">
        <v>41</v>
      </c>
      <c r="K12" s="12">
        <v>500</v>
      </c>
      <c r="L12" s="12">
        <v>900</v>
      </c>
      <c r="M12" s="12">
        <v>1000</v>
      </c>
      <c r="P12" s="43" t="s">
        <v>128</v>
      </c>
      <c r="Q12" s="44" t="s">
        <v>127</v>
      </c>
      <c r="R12" s="40"/>
    </row>
    <row r="13" spans="2:18">
      <c r="B13" s="13">
        <v>1</v>
      </c>
      <c r="C13" s="13">
        <v>0.5</v>
      </c>
      <c r="D13" s="13">
        <v>0.98</v>
      </c>
      <c r="E13" s="14">
        <f>E14*D13</f>
        <v>0.94109399999999988</v>
      </c>
      <c r="F13" s="14">
        <f>C13/D13</f>
        <v>0.51020408163265307</v>
      </c>
      <c r="G13" s="25"/>
      <c r="H13" s="25"/>
      <c r="J13" s="12" t="s">
        <v>42</v>
      </c>
      <c r="K13" s="12">
        <v>95</v>
      </c>
      <c r="L13" s="19">
        <f>K19</f>
        <v>396.66666666666674</v>
      </c>
      <c r="M13" s="19">
        <f>L19</f>
        <v>298.33333333333326</v>
      </c>
      <c r="P13" s="43" t="s">
        <v>129</v>
      </c>
      <c r="Q13" s="44" t="s">
        <v>130</v>
      </c>
      <c r="R13" s="40" t="s">
        <v>132</v>
      </c>
    </row>
    <row r="14" spans="2:18" ht="16" thickBot="1">
      <c r="B14" s="13">
        <v>2</v>
      </c>
      <c r="C14" s="13">
        <v>1.25</v>
      </c>
      <c r="D14" s="13">
        <v>0.97</v>
      </c>
      <c r="E14" s="14">
        <f>E15*D14</f>
        <v>0.96029999999999993</v>
      </c>
      <c r="F14" s="14">
        <f t="shared" ref="F14:F15" si="0">C14/D14</f>
        <v>1.2886597938144331</v>
      </c>
      <c r="G14" s="25"/>
      <c r="H14" s="25"/>
      <c r="J14" s="12" t="s">
        <v>43</v>
      </c>
      <c r="K14" s="19">
        <f>$K$8</f>
        <v>851.84547629319366</v>
      </c>
      <c r="L14" s="19">
        <f>$K$8</f>
        <v>851.84547629319366</v>
      </c>
      <c r="M14" s="19">
        <f>$K$8</f>
        <v>851.84547629319366</v>
      </c>
      <c r="P14" s="45" t="s">
        <v>1</v>
      </c>
      <c r="Q14" s="46" t="s">
        <v>131</v>
      </c>
      <c r="R14" s="40"/>
    </row>
    <row r="15" spans="2:18">
      <c r="B15" s="13">
        <v>3</v>
      </c>
      <c r="C15" s="13">
        <v>1</v>
      </c>
      <c r="D15" s="13">
        <v>0.99</v>
      </c>
      <c r="E15" s="14">
        <f>D15</f>
        <v>0.99</v>
      </c>
      <c r="F15" s="14">
        <f t="shared" si="0"/>
        <v>1.0101010101010102</v>
      </c>
      <c r="G15" s="25"/>
      <c r="H15" s="25"/>
      <c r="J15" s="12" t="s">
        <v>44</v>
      </c>
      <c r="K15" s="12">
        <v>0</v>
      </c>
      <c r="L15" s="12">
        <v>0</v>
      </c>
      <c r="M15" s="12">
        <v>0</v>
      </c>
    </row>
    <row r="16" spans="2:18">
      <c r="J16" s="12" t="s">
        <v>48</v>
      </c>
      <c r="K16" s="19">
        <f>(K14+K15)*(1-$E$13)</f>
        <v>50.17880962652697</v>
      </c>
      <c r="L16" s="19">
        <f>(L14+L15)*(1-$E$13)</f>
        <v>50.17880962652697</v>
      </c>
      <c r="M16" s="19">
        <f>(M14+M15)*(1-$E$13)</f>
        <v>50.17880962652697</v>
      </c>
    </row>
    <row r="17" spans="2:14">
      <c r="B17" s="49" t="s">
        <v>71</v>
      </c>
      <c r="C17" s="50"/>
      <c r="D17" s="50"/>
      <c r="E17" s="50"/>
      <c r="F17" s="50"/>
      <c r="G17" s="50"/>
      <c r="H17" s="51"/>
      <c r="J17" s="12" t="s">
        <v>45</v>
      </c>
      <c r="K17" s="19">
        <f>K13+K14+K15-K16</f>
        <v>896.66666666666674</v>
      </c>
      <c r="L17" s="19">
        <f>L13+L14+L15-L16</f>
        <v>1198.3333333333333</v>
      </c>
      <c r="M17" s="19">
        <f>M13+M14+M15-M16</f>
        <v>1099.9999999999998</v>
      </c>
      <c r="N17" s="16"/>
    </row>
    <row r="18" spans="2:14">
      <c r="B18" s="13" t="s">
        <v>34</v>
      </c>
      <c r="C18" s="13" t="s">
        <v>35</v>
      </c>
      <c r="D18" s="48" t="s">
        <v>72</v>
      </c>
      <c r="E18" s="48"/>
      <c r="F18" s="13" t="s">
        <v>74</v>
      </c>
      <c r="G18" s="13" t="s">
        <v>75</v>
      </c>
      <c r="H18" s="13" t="s">
        <v>79</v>
      </c>
      <c r="J18" s="12" t="s">
        <v>46</v>
      </c>
      <c r="K18" s="12">
        <f>K12</f>
        <v>500</v>
      </c>
      <c r="L18" s="12">
        <f>L12</f>
        <v>900</v>
      </c>
      <c r="M18" s="12">
        <f>M12</f>
        <v>1000</v>
      </c>
    </row>
    <row r="19" spans="2:14">
      <c r="B19" s="13">
        <v>1</v>
      </c>
      <c r="C19" s="14">
        <f>+F13</f>
        <v>0.51020408163265307</v>
      </c>
      <c r="D19" s="14">
        <f>+C19/$K$6</f>
        <v>3.3199156285890981</v>
      </c>
      <c r="E19" s="14">
        <f>+C13/$L$6</f>
        <v>3.4571650823587401</v>
      </c>
      <c r="F19" s="26">
        <f>ROUNDUP(E19,0)</f>
        <v>4</v>
      </c>
      <c r="G19" s="26">
        <f>+F19*G3</f>
        <v>8</v>
      </c>
      <c r="H19" s="26">
        <f>+F19*H3</f>
        <v>8</v>
      </c>
      <c r="J19" s="12" t="s">
        <v>47</v>
      </c>
      <c r="K19" s="19">
        <f>K17-K18</f>
        <v>396.66666666666674</v>
      </c>
      <c r="L19" s="19">
        <f>L17-L18</f>
        <v>298.33333333333326</v>
      </c>
      <c r="M19" s="19">
        <f>M17-M18</f>
        <v>99.999999999999773</v>
      </c>
    </row>
    <row r="20" spans="2:14">
      <c r="B20" s="13">
        <v>2</v>
      </c>
      <c r="C20" s="14">
        <f t="shared" ref="C20:C21" si="1">+F14</f>
        <v>1.2886597938144331</v>
      </c>
      <c r="D20" s="14">
        <f t="shared" ref="D20:D21" si="2">+C20/$K$6</f>
        <v>8.3853539072611252</v>
      </c>
      <c r="E20" s="14">
        <f t="shared" ref="E20:E21" si="3">+C14/$L$6</f>
        <v>8.6429127058968511</v>
      </c>
      <c r="F20" s="26">
        <f t="shared" ref="F20:F21" si="4">ROUNDUP(E20,0)</f>
        <v>9</v>
      </c>
      <c r="G20" s="26">
        <f t="shared" ref="G20:G21" si="5">+F20*G4</f>
        <v>18</v>
      </c>
      <c r="H20" s="26">
        <f t="shared" ref="H20:H21" si="6">+F20*H4</f>
        <v>27</v>
      </c>
    </row>
    <row r="21" spans="2:14">
      <c r="B21" s="13">
        <v>3</v>
      </c>
      <c r="C21" s="14">
        <f t="shared" si="1"/>
        <v>1.0101010101010102</v>
      </c>
      <c r="D21" s="14">
        <f t="shared" si="2"/>
        <v>6.5727622545804367</v>
      </c>
      <c r="E21" s="14">
        <f t="shared" si="3"/>
        <v>6.9143301647174802</v>
      </c>
      <c r="F21" s="26">
        <f t="shared" si="4"/>
        <v>7</v>
      </c>
      <c r="G21" s="26">
        <f t="shared" si="5"/>
        <v>7</v>
      </c>
      <c r="H21" s="26">
        <f t="shared" si="6"/>
        <v>7</v>
      </c>
      <c r="J21" s="30" t="s">
        <v>49</v>
      </c>
    </row>
    <row r="22" spans="2:14">
      <c r="B22" s="1"/>
      <c r="C22" s="1"/>
      <c r="D22" s="1"/>
      <c r="E22" s="1"/>
      <c r="J22" s="12" t="s">
        <v>40</v>
      </c>
      <c r="K22" s="12">
        <v>0</v>
      </c>
      <c r="L22" s="12">
        <v>1</v>
      </c>
      <c r="M22" s="12">
        <v>2</v>
      </c>
      <c r="N22" s="12">
        <v>3</v>
      </c>
    </row>
    <row r="23" spans="2:14">
      <c r="B23" s="49" t="s">
        <v>80</v>
      </c>
      <c r="C23" s="50"/>
      <c r="D23" s="50"/>
      <c r="E23" s="50"/>
      <c r="F23" s="51"/>
      <c r="J23" s="12" t="s">
        <v>42</v>
      </c>
      <c r="K23" s="12"/>
      <c r="L23" s="12">
        <v>200</v>
      </c>
      <c r="M23" s="19">
        <f>L27</f>
        <v>363.55904741361269</v>
      </c>
      <c r="N23" s="19">
        <f>M27</f>
        <v>357.36809482722515</v>
      </c>
    </row>
    <row r="24" spans="2:14">
      <c r="B24" s="13" t="s">
        <v>34</v>
      </c>
      <c r="C24" s="13" t="s">
        <v>81</v>
      </c>
      <c r="D24" s="13" t="s">
        <v>82</v>
      </c>
      <c r="E24" s="13" t="s">
        <v>83</v>
      </c>
      <c r="F24" s="13" t="s">
        <v>84</v>
      </c>
      <c r="J24" s="12" t="s">
        <v>55</v>
      </c>
      <c r="K24" s="12"/>
      <c r="L24" s="19">
        <f>K28*(1-$C$5)</f>
        <v>1867.25</v>
      </c>
      <c r="M24" s="19">
        <f>L28*(1-$C$5)</f>
        <v>1697.5</v>
      </c>
      <c r="N24" s="19">
        <f>M28*(1-$C$5)</f>
        <v>1697.5</v>
      </c>
    </row>
    <row r="25" spans="2:14">
      <c r="B25" s="13">
        <v>1</v>
      </c>
      <c r="C25" s="14">
        <f>+C19/G19</f>
        <v>6.3775510204081634E-2</v>
      </c>
      <c r="D25" s="27">
        <f>+C25*$K$14</f>
        <v>54.326879865637352</v>
      </c>
      <c r="E25" s="13">
        <f>+C9</f>
        <v>123.2</v>
      </c>
      <c r="F25" s="28">
        <f>+D25/E25</f>
        <v>0.44096493397432912</v>
      </c>
      <c r="J25" s="12" t="s">
        <v>45</v>
      </c>
      <c r="K25" s="12"/>
      <c r="L25" s="19">
        <f>L23+L24</f>
        <v>2067.25</v>
      </c>
      <c r="M25" s="19">
        <f>M23+M24</f>
        <v>2061.0590474136125</v>
      </c>
      <c r="N25" s="19">
        <f>N23+N24</f>
        <v>2054.8680948272249</v>
      </c>
    </row>
    <row r="26" spans="2:14">
      <c r="B26" s="13">
        <v>2</v>
      </c>
      <c r="C26" s="14">
        <f t="shared" ref="C26:C27" si="7">+C20/G20</f>
        <v>7.1592210767468509E-2</v>
      </c>
      <c r="D26" s="27">
        <f t="shared" ref="D26:D27" si="8">+C26*$K$14</f>
        <v>60.985500880096922</v>
      </c>
      <c r="E26" s="13">
        <f>+E25</f>
        <v>123.2</v>
      </c>
      <c r="F26" s="28">
        <f t="shared" ref="F26:F27" si="9">+D26/E26</f>
        <v>0.49501218246831918</v>
      </c>
      <c r="J26" s="12" t="s">
        <v>56</v>
      </c>
      <c r="K26" s="12"/>
      <c r="L26" s="19">
        <f>K30</f>
        <v>1703.6909525863873</v>
      </c>
      <c r="M26" s="19">
        <f>K31</f>
        <v>1703.6909525863873</v>
      </c>
      <c r="N26" s="19">
        <f>K32</f>
        <v>1703.6909525863873</v>
      </c>
    </row>
    <row r="27" spans="2:14">
      <c r="B27" s="13">
        <v>3</v>
      </c>
      <c r="C27" s="14">
        <f t="shared" si="7"/>
        <v>0.14430014430014432</v>
      </c>
      <c r="D27" s="27">
        <f t="shared" si="8"/>
        <v>122.92142515053301</v>
      </c>
      <c r="E27" s="13">
        <f>+E26</f>
        <v>123.2</v>
      </c>
      <c r="F27" s="28">
        <f t="shared" si="9"/>
        <v>0.99773884050757311</v>
      </c>
      <c r="J27" s="12" t="s">
        <v>47</v>
      </c>
      <c r="K27" s="12"/>
      <c r="L27" s="19">
        <f>L25-L26</f>
        <v>363.55904741361269</v>
      </c>
      <c r="M27" s="19">
        <f>M25-M26</f>
        <v>357.36809482722515</v>
      </c>
      <c r="N27" s="19">
        <f>N25-N26</f>
        <v>351.17714224083761</v>
      </c>
    </row>
    <row r="28" spans="2:14">
      <c r="B28" s="1"/>
      <c r="C28" s="1"/>
      <c r="D28" s="1"/>
      <c r="E28" s="1"/>
      <c r="J28" s="12" t="s">
        <v>57</v>
      </c>
      <c r="K28" s="12">
        <f>N30</f>
        <v>1925</v>
      </c>
      <c r="L28" s="19">
        <f>N31</f>
        <v>1750</v>
      </c>
      <c r="M28" s="12">
        <f>N32</f>
        <v>1750</v>
      </c>
      <c r="N28" s="12"/>
    </row>
    <row r="30" spans="2:14" ht="31" customHeight="1">
      <c r="J30" t="s">
        <v>60</v>
      </c>
      <c r="K30" s="16">
        <f>K14*K3</f>
        <v>1703.6909525863873</v>
      </c>
      <c r="L30" t="s">
        <v>68</v>
      </c>
      <c r="M30" s="16">
        <f>((K30*(1+$E$5))-L23)/(1-$C$5)</f>
        <v>1901.4733434058401</v>
      </c>
      <c r="N30">
        <f>CEILING(M30,25)</f>
        <v>1925</v>
      </c>
    </row>
    <row r="31" spans="2:14">
      <c r="J31" t="s">
        <v>63</v>
      </c>
      <c r="K31" s="16">
        <f>L14*K3</f>
        <v>1703.6909525863873</v>
      </c>
      <c r="L31" t="s">
        <v>61</v>
      </c>
      <c r="M31" s="16">
        <f>(((K31*(1+$E$5))-(M23*(1-$D$5)))/(1-$D$5))/(1-$C$5)</f>
        <v>1732.8557687526311</v>
      </c>
      <c r="N31">
        <f>CEILING(M31,25)</f>
        <v>1750</v>
      </c>
    </row>
    <row r="32" spans="2:14">
      <c r="J32" t="s">
        <v>64</v>
      </c>
      <c r="K32" s="16">
        <f>M14*K3</f>
        <v>1703.6909525863873</v>
      </c>
      <c r="L32" t="s">
        <v>65</v>
      </c>
      <c r="M32" s="16">
        <f>(((K32*(1+$E$5))-(N23*(1-$D$5)))/(1-$D$5))/(1-$C$5)</f>
        <v>1739.2381940994223</v>
      </c>
      <c r="N32">
        <f>CEILING(M32,25)</f>
        <v>1750</v>
      </c>
    </row>
    <row r="34" spans="6:16">
      <c r="J34" s="30" t="s">
        <v>66</v>
      </c>
    </row>
    <row r="35" spans="6:16">
      <c r="J35" s="12" t="s">
        <v>40</v>
      </c>
      <c r="K35" s="12">
        <v>-2</v>
      </c>
      <c r="L35" s="12">
        <v>-1</v>
      </c>
      <c r="M35" s="12">
        <v>0</v>
      </c>
      <c r="N35" s="20">
        <v>1</v>
      </c>
      <c r="O35" s="20">
        <v>2</v>
      </c>
      <c r="P35" s="20">
        <v>3</v>
      </c>
    </row>
    <row r="36" spans="6:16">
      <c r="J36" s="12" t="s">
        <v>42</v>
      </c>
      <c r="K36" s="12"/>
      <c r="L36" s="19"/>
      <c r="M36" s="19">
        <v>100</v>
      </c>
      <c r="N36" s="19">
        <f>M40</f>
        <v>2.5</v>
      </c>
      <c r="O36" s="19">
        <f>N40</f>
        <v>17.5</v>
      </c>
      <c r="P36" s="12"/>
    </row>
    <row r="37" spans="6:16">
      <c r="J37" s="12" t="s">
        <v>55</v>
      </c>
      <c r="K37" s="19"/>
      <c r="L37" s="19"/>
      <c r="M37" s="19">
        <f>K41*(1-$C$7)</f>
        <v>3752.5</v>
      </c>
      <c r="N37" s="19">
        <f>L41*(1-$C$7)</f>
        <v>3515</v>
      </c>
      <c r="O37" s="19">
        <f>M41*(1-$C$7)</f>
        <v>3491.25</v>
      </c>
      <c r="P37" s="12"/>
    </row>
    <row r="38" spans="6:16">
      <c r="J38" s="12" t="s">
        <v>45</v>
      </c>
      <c r="K38" s="19"/>
      <c r="L38" s="19"/>
      <c r="M38" s="19">
        <f>M36+M37</f>
        <v>3852.5</v>
      </c>
      <c r="N38" s="19">
        <f>N36+N37</f>
        <v>3517.5</v>
      </c>
      <c r="O38" s="19">
        <f>O36+O37</f>
        <v>3508.75</v>
      </c>
      <c r="P38" s="12"/>
    </row>
    <row r="39" spans="6:16">
      <c r="J39" s="12" t="s">
        <v>56</v>
      </c>
      <c r="K39" s="19"/>
      <c r="L39" s="19"/>
      <c r="M39" s="19">
        <f>K43</f>
        <v>3850</v>
      </c>
      <c r="N39" s="19">
        <f>K44</f>
        <v>3500</v>
      </c>
      <c r="O39" s="19">
        <f>K45</f>
        <v>3500</v>
      </c>
      <c r="P39" s="12"/>
    </row>
    <row r="40" spans="6:16">
      <c r="J40" s="12" t="s">
        <v>47</v>
      </c>
      <c r="K40" s="19"/>
      <c r="L40" s="19"/>
      <c r="M40" s="19">
        <f>M38-M39</f>
        <v>2.5</v>
      </c>
      <c r="N40" s="19">
        <f>N38-N39</f>
        <v>17.5</v>
      </c>
      <c r="O40" s="19">
        <f>O38-O39</f>
        <v>8.75</v>
      </c>
      <c r="P40" s="12"/>
    </row>
    <row r="41" spans="6:16">
      <c r="J41" s="12" t="s">
        <v>57</v>
      </c>
      <c r="K41" s="19">
        <f>N43</f>
        <v>3950</v>
      </c>
      <c r="L41" s="12">
        <f>N44</f>
        <v>3700</v>
      </c>
      <c r="M41" s="12">
        <f>N45</f>
        <v>3675</v>
      </c>
      <c r="N41" s="12"/>
      <c r="O41" s="12"/>
      <c r="P41" s="12"/>
    </row>
    <row r="43" spans="6:16">
      <c r="J43" t="s">
        <v>69</v>
      </c>
      <c r="K43" s="16">
        <f>K28*N4</f>
        <v>3850</v>
      </c>
      <c r="L43" t="s">
        <v>70</v>
      </c>
      <c r="M43" s="16">
        <f>((K43*(1+$E$7)-M36))/(1-$C$7)</f>
        <v>3947.3684210526317</v>
      </c>
      <c r="N43">
        <f>CEILING(M43,25)</f>
        <v>3950</v>
      </c>
    </row>
    <row r="44" spans="6:16">
      <c r="J44" t="s">
        <v>60</v>
      </c>
      <c r="K44" s="16">
        <f>L28*N4</f>
        <v>3500</v>
      </c>
      <c r="L44" t="s">
        <v>67</v>
      </c>
      <c r="M44" s="16">
        <f>((K44*(1+$E$7)-N36))/(1-$C$7)</f>
        <v>3681.5789473684213</v>
      </c>
      <c r="N44">
        <f>CEILING(M44,25)</f>
        <v>3700</v>
      </c>
    </row>
    <row r="45" spans="6:16">
      <c r="J45" t="s">
        <v>63</v>
      </c>
      <c r="K45" s="16">
        <f>M28*N4</f>
        <v>3500</v>
      </c>
      <c r="L45" t="s">
        <v>68</v>
      </c>
      <c r="M45" s="16">
        <f>((K45*(1+$E$7)-O36))/(1-$C$7)</f>
        <v>3665.7894736842109</v>
      </c>
      <c r="N45">
        <f>CEILING(M45,25)</f>
        <v>3675</v>
      </c>
    </row>
    <row r="47" spans="6:16">
      <c r="F47" s="1"/>
    </row>
  </sheetData>
  <mergeCells count="3">
    <mergeCell ref="D18:E18"/>
    <mergeCell ref="B17:H17"/>
    <mergeCell ref="B23:F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110" zoomScaleNormal="110" zoomScalePageLayoutView="110" workbookViewId="0">
      <selection activeCell="S39" sqref="S39"/>
    </sheetView>
  </sheetViews>
  <sheetFormatPr baseColWidth="10" defaultRowHeight="15" x14ac:dyDescent="0"/>
  <cols>
    <col min="2" max="2" width="6.5" customWidth="1"/>
    <col min="3" max="5" width="5.83203125" customWidth="1"/>
    <col min="6" max="7" width="6.6640625" bestFit="1" customWidth="1"/>
    <col min="8" max="10" width="5.83203125" customWidth="1"/>
    <col min="11" max="12" width="6.6640625" bestFit="1" customWidth="1"/>
    <col min="13" max="13" width="13" bestFit="1" customWidth="1"/>
    <col min="14" max="15" width="5.83203125" customWidth="1"/>
    <col min="16" max="16" width="6.6640625" bestFit="1" customWidth="1"/>
    <col min="17" max="17" width="6.6640625" customWidth="1"/>
  </cols>
  <sheetData>
    <row r="1" spans="1:19">
      <c r="A1" s="32" t="s">
        <v>100</v>
      </c>
    </row>
    <row r="2" spans="1:19">
      <c r="F2" s="53">
        <f>250*3/60</f>
        <v>12.5</v>
      </c>
      <c r="G2" s="53"/>
      <c r="J2" s="31"/>
      <c r="K2" s="56">
        <f>250*5/60</f>
        <v>20.833333333333332</v>
      </c>
      <c r="L2" s="56"/>
      <c r="N2" s="31"/>
      <c r="P2" s="56">
        <f>250*10/60</f>
        <v>41.666666666666664</v>
      </c>
      <c r="Q2" s="56"/>
    </row>
    <row r="3" spans="1:19">
      <c r="A3" s="33" t="s">
        <v>95</v>
      </c>
      <c r="B3" s="31" t="s">
        <v>88</v>
      </c>
      <c r="C3" s="31" t="s">
        <v>94</v>
      </c>
      <c r="D3" s="31" t="s">
        <v>96</v>
      </c>
      <c r="E3" s="31" t="s">
        <v>89</v>
      </c>
      <c r="F3" s="53" t="s">
        <v>90</v>
      </c>
      <c r="G3" s="54"/>
      <c r="H3" s="34" t="s">
        <v>97</v>
      </c>
      <c r="I3" s="31" t="s">
        <v>96</v>
      </c>
      <c r="J3" s="31" t="s">
        <v>89</v>
      </c>
      <c r="K3" s="53" t="s">
        <v>91</v>
      </c>
      <c r="L3" s="57"/>
      <c r="M3" s="31" t="s">
        <v>98</v>
      </c>
      <c r="N3" s="31" t="s">
        <v>96</v>
      </c>
      <c r="O3" s="31" t="s">
        <v>89</v>
      </c>
      <c r="P3" s="53" t="s">
        <v>92</v>
      </c>
      <c r="Q3" s="57"/>
    </row>
    <row r="4" spans="1:19">
      <c r="A4" s="1">
        <v>1</v>
      </c>
      <c r="B4" s="1">
        <v>250</v>
      </c>
      <c r="C4" s="1" t="s">
        <v>111</v>
      </c>
      <c r="D4" s="37">
        <v>0</v>
      </c>
      <c r="E4" s="37">
        <v>0</v>
      </c>
      <c r="F4" s="1">
        <v>1</v>
      </c>
      <c r="G4" s="1">
        <f>F4+F2</f>
        <v>13.5</v>
      </c>
      <c r="H4" s="1" t="s">
        <v>111</v>
      </c>
      <c r="I4" s="37">
        <v>0</v>
      </c>
      <c r="J4" s="37">
        <v>0</v>
      </c>
      <c r="K4" s="1">
        <f>G4</f>
        <v>13.5</v>
      </c>
      <c r="L4" s="2">
        <f>K4+K2</f>
        <v>34.333333333333329</v>
      </c>
      <c r="M4" s="1" t="s">
        <v>111</v>
      </c>
      <c r="N4" s="37">
        <v>0</v>
      </c>
      <c r="O4" s="37">
        <v>0</v>
      </c>
      <c r="P4" s="2">
        <f>L4</f>
        <v>34.333333333333329</v>
      </c>
      <c r="Q4" s="35">
        <f>P4+P2</f>
        <v>76</v>
      </c>
      <c r="S4">
        <f t="shared" ref="S4:S9" si="0">+Q4*60</f>
        <v>4560</v>
      </c>
    </row>
    <row r="5" spans="1:19">
      <c r="A5" s="1"/>
      <c r="B5" s="1">
        <v>250</v>
      </c>
      <c r="C5" s="36" t="s">
        <v>114</v>
      </c>
      <c r="D5" s="37">
        <v>0</v>
      </c>
      <c r="E5" s="38">
        <f>F5-G4</f>
        <v>5.8333333333333286</v>
      </c>
      <c r="F5" s="2">
        <f>L4-15</f>
        <v>19.333333333333329</v>
      </c>
      <c r="G5" s="2">
        <f>F5+F2</f>
        <v>31.833333333333329</v>
      </c>
      <c r="H5" s="36" t="s">
        <v>114</v>
      </c>
      <c r="I5" s="38">
        <f>K5-G5</f>
        <v>19.166666666666671</v>
      </c>
      <c r="J5" s="38">
        <f>K5-L4</f>
        <v>16.666666666666671</v>
      </c>
      <c r="K5" s="2">
        <f>Q4-25</f>
        <v>51</v>
      </c>
      <c r="L5" s="2">
        <f>K5+K2</f>
        <v>71.833333333333329</v>
      </c>
      <c r="M5" s="36" t="s">
        <v>114</v>
      </c>
      <c r="N5" s="38">
        <f>P5-L5</f>
        <v>4.1666666666666714</v>
      </c>
      <c r="O5" s="38">
        <f>P5-Q4</f>
        <v>0</v>
      </c>
      <c r="P5" s="2">
        <f>Q4</f>
        <v>76</v>
      </c>
      <c r="Q5" s="35">
        <f>P5+P2</f>
        <v>117.66666666666666</v>
      </c>
      <c r="S5">
        <f t="shared" si="0"/>
        <v>7059.9999999999991</v>
      </c>
    </row>
    <row r="6" spans="1:19">
      <c r="A6" s="1">
        <v>2</v>
      </c>
      <c r="B6" s="1">
        <v>250</v>
      </c>
      <c r="C6" s="1"/>
      <c r="D6" s="37">
        <v>0</v>
      </c>
      <c r="E6" s="38">
        <f t="shared" ref="E6:E9" si="1">F6-G5</f>
        <v>25</v>
      </c>
      <c r="F6" s="2">
        <f t="shared" ref="F6:F9" si="2">L5-15</f>
        <v>56.833333333333329</v>
      </c>
      <c r="G6" s="2">
        <f>F6+F2</f>
        <v>69.333333333333329</v>
      </c>
      <c r="H6" s="1"/>
      <c r="I6" s="38">
        <f t="shared" ref="I6:I9" si="3">K6-G6</f>
        <v>23.333333333333329</v>
      </c>
      <c r="J6" s="38">
        <f t="shared" ref="J6:J9" si="4">K6-L5</f>
        <v>20.833333333333329</v>
      </c>
      <c r="K6" s="2">
        <f t="shared" ref="K6:K9" si="5">Q5-25</f>
        <v>92.666666666666657</v>
      </c>
      <c r="L6" s="2">
        <f>K6+K2</f>
        <v>113.49999999999999</v>
      </c>
      <c r="M6" s="1" t="s">
        <v>115</v>
      </c>
      <c r="N6" s="38">
        <f t="shared" ref="N6:N9" si="6">P6-L6</f>
        <v>5.1666666666666714</v>
      </c>
      <c r="O6" s="38">
        <f t="shared" ref="O6:O9" si="7">P6-Q5</f>
        <v>1</v>
      </c>
      <c r="P6" s="2">
        <f>Q5+1</f>
        <v>118.66666666666666</v>
      </c>
      <c r="Q6" s="35">
        <f>P6+P2</f>
        <v>160.33333333333331</v>
      </c>
      <c r="S6">
        <f t="shared" si="0"/>
        <v>9619.9999999999982</v>
      </c>
    </row>
    <row r="7" spans="1:19">
      <c r="B7" s="1">
        <v>250</v>
      </c>
      <c r="C7" s="36" t="s">
        <v>114</v>
      </c>
      <c r="D7" s="37">
        <v>0</v>
      </c>
      <c r="E7" s="38">
        <f t="shared" si="1"/>
        <v>29.166666666666657</v>
      </c>
      <c r="F7" s="2">
        <f t="shared" si="2"/>
        <v>98.499999999999986</v>
      </c>
      <c r="G7" s="2">
        <f>F7+F2</f>
        <v>110.99999999999999</v>
      </c>
      <c r="H7" s="36" t="s">
        <v>114</v>
      </c>
      <c r="I7" s="38">
        <f t="shared" si="3"/>
        <v>24.333333333333329</v>
      </c>
      <c r="J7" s="38">
        <f t="shared" si="4"/>
        <v>21.833333333333329</v>
      </c>
      <c r="K7" s="2">
        <f t="shared" si="5"/>
        <v>135.33333333333331</v>
      </c>
      <c r="L7" s="2">
        <f>K7+K2</f>
        <v>156.16666666666666</v>
      </c>
      <c r="M7" s="36" t="s">
        <v>114</v>
      </c>
      <c r="N7" s="38">
        <f t="shared" si="6"/>
        <v>4.1666666666666572</v>
      </c>
      <c r="O7" s="38">
        <f t="shared" si="7"/>
        <v>0</v>
      </c>
      <c r="P7" s="2">
        <f>Q6</f>
        <v>160.33333333333331</v>
      </c>
      <c r="Q7" s="35">
        <f>P7+P2</f>
        <v>201.99999999999997</v>
      </c>
      <c r="S7">
        <f t="shared" si="0"/>
        <v>12119.999999999998</v>
      </c>
    </row>
    <row r="8" spans="1:19">
      <c r="A8" s="1">
        <v>3</v>
      </c>
      <c r="B8" s="1">
        <v>250</v>
      </c>
      <c r="C8" s="1"/>
      <c r="D8" s="37">
        <v>0</v>
      </c>
      <c r="E8" s="38">
        <f t="shared" si="1"/>
        <v>30.166666666666671</v>
      </c>
      <c r="F8" s="2">
        <f t="shared" si="2"/>
        <v>141.16666666666666</v>
      </c>
      <c r="G8" s="2">
        <f>F8+F2</f>
        <v>153.66666666666666</v>
      </c>
      <c r="H8" s="1"/>
      <c r="I8" s="38">
        <f t="shared" si="3"/>
        <v>23.333333333333314</v>
      </c>
      <c r="J8" s="38">
        <f t="shared" si="4"/>
        <v>20.833333333333314</v>
      </c>
      <c r="K8" s="2">
        <f t="shared" si="5"/>
        <v>176.99999999999997</v>
      </c>
      <c r="L8" s="2">
        <f>K8+K2</f>
        <v>197.83333333333331</v>
      </c>
      <c r="M8" s="1" t="s">
        <v>116</v>
      </c>
      <c r="N8" s="38">
        <f t="shared" si="6"/>
        <v>5.1666666666666572</v>
      </c>
      <c r="O8" s="38">
        <f t="shared" si="7"/>
        <v>1</v>
      </c>
      <c r="P8" s="35">
        <f>Q7+1</f>
        <v>202.99999999999997</v>
      </c>
      <c r="Q8" s="35">
        <f>P8+P2</f>
        <v>244.66666666666663</v>
      </c>
      <c r="S8">
        <f t="shared" si="0"/>
        <v>14679.999999999998</v>
      </c>
    </row>
    <row r="9" spans="1:19">
      <c r="B9" s="1">
        <v>250</v>
      </c>
      <c r="C9" s="36" t="s">
        <v>114</v>
      </c>
      <c r="D9" s="37">
        <v>0</v>
      </c>
      <c r="E9" s="38">
        <f t="shared" si="1"/>
        <v>29.166666666666657</v>
      </c>
      <c r="F9" s="2">
        <f t="shared" si="2"/>
        <v>182.83333333333331</v>
      </c>
      <c r="G9" s="2">
        <f>F9+F2</f>
        <v>195.33333333333331</v>
      </c>
      <c r="H9" s="36" t="s">
        <v>114</v>
      </c>
      <c r="I9" s="38">
        <f t="shared" si="3"/>
        <v>24.333333333333314</v>
      </c>
      <c r="J9" s="38">
        <f t="shared" si="4"/>
        <v>21.833333333333314</v>
      </c>
      <c r="K9" s="2">
        <f t="shared" si="5"/>
        <v>219.66666666666663</v>
      </c>
      <c r="L9" s="2">
        <f>K9+K2</f>
        <v>240.49999999999997</v>
      </c>
      <c r="M9" s="36" t="s">
        <v>114</v>
      </c>
      <c r="N9" s="38">
        <f t="shared" si="6"/>
        <v>4.1666666666666572</v>
      </c>
      <c r="O9" s="38">
        <f t="shared" si="7"/>
        <v>0</v>
      </c>
      <c r="P9" s="35">
        <f>Q8</f>
        <v>244.66666666666663</v>
      </c>
      <c r="Q9" s="35">
        <f>P9+P2</f>
        <v>286.33333333333331</v>
      </c>
      <c r="S9">
        <f t="shared" si="0"/>
        <v>17180</v>
      </c>
    </row>
    <row r="10" spans="1:19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9">
      <c r="B11" s="33" t="s">
        <v>110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9">
      <c r="B12" s="1" t="s">
        <v>101</v>
      </c>
      <c r="C12" t="s">
        <v>102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9">
      <c r="B13" s="1" t="s">
        <v>103</v>
      </c>
      <c r="C13" t="s">
        <v>104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2">
        <f>2.4*250/60</f>
        <v>10</v>
      </c>
      <c r="Q13" s="52"/>
    </row>
    <row r="14" spans="1:19">
      <c r="B14" s="1" t="s">
        <v>105</v>
      </c>
      <c r="C14" s="1">
        <f>180*5/60</f>
        <v>15</v>
      </c>
      <c r="D14" t="s">
        <v>106</v>
      </c>
      <c r="E14" t="s">
        <v>107</v>
      </c>
      <c r="K14" s="33" t="s">
        <v>95</v>
      </c>
      <c r="L14" s="31" t="s">
        <v>88</v>
      </c>
      <c r="M14" s="31" t="s">
        <v>99</v>
      </c>
      <c r="N14" s="31" t="s">
        <v>96</v>
      </c>
      <c r="O14" s="31" t="s">
        <v>89</v>
      </c>
      <c r="P14" s="53" t="s">
        <v>93</v>
      </c>
      <c r="Q14" s="54"/>
    </row>
    <row r="15" spans="1:19">
      <c r="E15" t="s">
        <v>108</v>
      </c>
      <c r="K15" s="1">
        <v>1</v>
      </c>
      <c r="L15" s="1">
        <v>500</v>
      </c>
      <c r="M15" s="1" t="s">
        <v>111</v>
      </c>
      <c r="N15" s="37">
        <v>0</v>
      </c>
      <c r="O15" s="37">
        <v>0</v>
      </c>
      <c r="P15" s="2">
        <v>1</v>
      </c>
      <c r="Q15" s="2">
        <f>P15+P13</f>
        <v>11</v>
      </c>
      <c r="S15" s="47">
        <f>+Q15*60</f>
        <v>660</v>
      </c>
    </row>
    <row r="16" spans="1:19">
      <c r="E16" t="s">
        <v>109</v>
      </c>
      <c r="K16" s="1">
        <v>2</v>
      </c>
      <c r="L16" s="1">
        <v>500</v>
      </c>
      <c r="M16" s="1" t="s">
        <v>117</v>
      </c>
      <c r="N16" s="37">
        <v>0</v>
      </c>
      <c r="O16" s="38">
        <f>P16-Q15</f>
        <v>23.333333333333329</v>
      </c>
      <c r="P16" s="2">
        <f>P4</f>
        <v>34.333333333333329</v>
      </c>
      <c r="Q16" s="2">
        <f>P16+P13</f>
        <v>44.333333333333329</v>
      </c>
      <c r="S16">
        <f>+Q16*60</f>
        <v>2659.9999999999995</v>
      </c>
    </row>
    <row r="17" spans="1:19">
      <c r="K17" s="1">
        <v>3</v>
      </c>
      <c r="L17" s="1">
        <v>500</v>
      </c>
      <c r="M17" s="1" t="s">
        <v>118</v>
      </c>
      <c r="N17" s="37">
        <v>0</v>
      </c>
      <c r="O17" s="38">
        <f>P17-Q16</f>
        <v>31.666666666666671</v>
      </c>
      <c r="P17" s="2">
        <f>P5</f>
        <v>76</v>
      </c>
      <c r="Q17" s="2">
        <f>P17+P13</f>
        <v>86</v>
      </c>
      <c r="S17">
        <f>+Q17*60</f>
        <v>5160</v>
      </c>
    </row>
    <row r="18" spans="1:19">
      <c r="B18" s="33" t="s">
        <v>110</v>
      </c>
      <c r="C18" s="1"/>
      <c r="D18" s="1"/>
      <c r="E18" s="1"/>
      <c r="F18" s="1"/>
      <c r="G18" s="1"/>
      <c r="H18" s="1"/>
      <c r="L18" s="1"/>
      <c r="M18" s="1"/>
      <c r="N18" s="1"/>
      <c r="O18" s="1"/>
      <c r="P18" s="1"/>
      <c r="Q18" s="1"/>
    </row>
    <row r="19" spans="1:19">
      <c r="B19" s="1" t="s">
        <v>101</v>
      </c>
      <c r="C19" t="s">
        <v>102</v>
      </c>
      <c r="D19" s="1"/>
      <c r="E19" s="1"/>
      <c r="F19" s="1"/>
      <c r="G19" s="1"/>
      <c r="H19" s="1"/>
      <c r="K19" s="1"/>
      <c r="L19" s="1"/>
      <c r="M19" s="1"/>
      <c r="N19" s="33" t="s">
        <v>96</v>
      </c>
      <c r="O19" s="1">
        <f>SUM(D4:D9,I4:I9,N4:N9,N15:N17)</f>
        <v>137.33333333333329</v>
      </c>
      <c r="P19" s="1"/>
      <c r="Q19" s="1"/>
    </row>
    <row r="20" spans="1:19">
      <c r="B20" s="1" t="s">
        <v>103</v>
      </c>
      <c r="C20" t="s">
        <v>112</v>
      </c>
      <c r="D20" s="1"/>
      <c r="E20" s="1"/>
      <c r="F20" s="1"/>
      <c r="G20" s="1"/>
      <c r="H20" s="1"/>
      <c r="L20" s="1"/>
      <c r="M20" s="1"/>
      <c r="N20" s="33" t="s">
        <v>89</v>
      </c>
      <c r="O20" s="1">
        <f>SUM(E4:E9,J4:J9,O4:O9,O15:O17)</f>
        <v>278.33333333333326</v>
      </c>
      <c r="P20" s="1"/>
      <c r="Q20" s="1"/>
    </row>
    <row r="21" spans="1:19">
      <c r="B21" s="1" t="s">
        <v>105</v>
      </c>
      <c r="C21" s="1">
        <f>150*10/60</f>
        <v>25</v>
      </c>
      <c r="D21" t="s">
        <v>106</v>
      </c>
      <c r="E21" t="s">
        <v>107</v>
      </c>
      <c r="L21" s="1"/>
      <c r="M21" s="1"/>
      <c r="N21" s="33" t="s">
        <v>119</v>
      </c>
      <c r="O21" s="55">
        <f>O19*250*2</f>
        <v>68666.666666666642</v>
      </c>
      <c r="P21" s="55"/>
      <c r="Q21" s="1"/>
    </row>
    <row r="22" spans="1:19">
      <c r="E22" t="s">
        <v>113</v>
      </c>
      <c r="L22" s="1"/>
      <c r="M22" s="1"/>
      <c r="N22" s="1"/>
      <c r="O22" s="1"/>
      <c r="P22" s="1"/>
      <c r="Q22" s="1"/>
    </row>
    <row r="23" spans="1:19">
      <c r="E23" t="s">
        <v>109</v>
      </c>
      <c r="L23" s="1"/>
      <c r="M23" s="1"/>
      <c r="N23" s="1"/>
      <c r="O23" s="1"/>
      <c r="P23" s="1"/>
      <c r="Q23" s="1"/>
    </row>
    <row r="24" spans="1:19">
      <c r="L24" s="1"/>
      <c r="M24" s="1"/>
      <c r="N24" s="1"/>
      <c r="O24" s="1"/>
      <c r="P24" s="1"/>
      <c r="Q24" s="1"/>
    </row>
    <row r="25" spans="1:19">
      <c r="A25" s="32" t="s">
        <v>120</v>
      </c>
    </row>
    <row r="26" spans="1:19">
      <c r="F26" s="53">
        <f>250*3/60</f>
        <v>12.5</v>
      </c>
      <c r="G26" s="53"/>
      <c r="J26" s="31"/>
      <c r="K26" s="56">
        <f>250*5/60</f>
        <v>20.833333333333332</v>
      </c>
      <c r="L26" s="56"/>
      <c r="N26" s="31"/>
      <c r="P26" s="56">
        <f>250*10/60</f>
        <v>41.666666666666664</v>
      </c>
      <c r="Q26" s="56"/>
    </row>
    <row r="27" spans="1:19">
      <c r="A27" s="33" t="s">
        <v>95</v>
      </c>
      <c r="B27" s="31" t="s">
        <v>88</v>
      </c>
      <c r="C27" s="31" t="s">
        <v>94</v>
      </c>
      <c r="D27" s="31" t="s">
        <v>96</v>
      </c>
      <c r="E27" s="31" t="s">
        <v>89</v>
      </c>
      <c r="F27" s="53" t="s">
        <v>90</v>
      </c>
      <c r="G27" s="54"/>
      <c r="H27" s="34" t="s">
        <v>97</v>
      </c>
      <c r="I27" s="31" t="s">
        <v>96</v>
      </c>
      <c r="J27" s="31" t="s">
        <v>89</v>
      </c>
      <c r="K27" s="53" t="s">
        <v>91</v>
      </c>
      <c r="L27" s="57"/>
      <c r="M27" s="31" t="s">
        <v>98</v>
      </c>
      <c r="N27" s="31" t="s">
        <v>96</v>
      </c>
      <c r="O27" s="31" t="s">
        <v>89</v>
      </c>
      <c r="P27" s="53" t="s">
        <v>92</v>
      </c>
      <c r="Q27" s="57"/>
    </row>
    <row r="28" spans="1:19">
      <c r="A28" s="1">
        <v>1</v>
      </c>
      <c r="B28" s="1">
        <v>250</v>
      </c>
      <c r="C28" s="1" t="s">
        <v>111</v>
      </c>
      <c r="D28" s="37">
        <v>0</v>
      </c>
      <c r="E28" s="37">
        <v>0</v>
      </c>
      <c r="F28" s="1">
        <v>1</v>
      </c>
      <c r="G28" s="1">
        <f>F28+F26</f>
        <v>13.5</v>
      </c>
      <c r="H28" s="1" t="s">
        <v>111</v>
      </c>
      <c r="I28" s="37">
        <v>0</v>
      </c>
      <c r="J28" s="37">
        <v>0</v>
      </c>
      <c r="K28" s="1">
        <f>G28</f>
        <v>13.5</v>
      </c>
      <c r="L28" s="2">
        <f>K28+K26</f>
        <v>34.333333333333329</v>
      </c>
      <c r="M28" s="1" t="s">
        <v>111</v>
      </c>
      <c r="N28" s="37">
        <v>0</v>
      </c>
      <c r="O28" s="37">
        <v>0</v>
      </c>
      <c r="P28" s="2">
        <f>L28</f>
        <v>34.333333333333329</v>
      </c>
      <c r="Q28" s="35">
        <f>P28+P26</f>
        <v>76</v>
      </c>
    </row>
    <row r="29" spans="1:19">
      <c r="A29" s="1"/>
      <c r="B29" s="1">
        <v>250</v>
      </c>
      <c r="C29" s="36" t="s">
        <v>114</v>
      </c>
      <c r="D29" s="37">
        <v>0</v>
      </c>
      <c r="E29" s="38">
        <f>F29-G28</f>
        <v>29.166666666666671</v>
      </c>
      <c r="F29" s="2">
        <f>G29-F26</f>
        <v>42.666666666666671</v>
      </c>
      <c r="G29" s="2">
        <f>K29</f>
        <v>55.166666666666671</v>
      </c>
      <c r="H29" s="36" t="s">
        <v>114</v>
      </c>
      <c r="I29" s="38">
        <f>K29-G29</f>
        <v>0</v>
      </c>
      <c r="J29" s="38">
        <f>K29-L28</f>
        <v>20.833333333333343</v>
      </c>
      <c r="K29" s="2">
        <f>L29-K26</f>
        <v>55.166666666666671</v>
      </c>
      <c r="L29" s="2">
        <v>76</v>
      </c>
      <c r="M29" s="36" t="s">
        <v>114</v>
      </c>
      <c r="N29" s="38">
        <f>P29-L29</f>
        <v>0</v>
      </c>
      <c r="O29" s="38">
        <f>P29-Q28</f>
        <v>0</v>
      </c>
      <c r="P29" s="2">
        <f>Q28</f>
        <v>76</v>
      </c>
      <c r="Q29" s="35">
        <f>P29+P26</f>
        <v>117.66666666666666</v>
      </c>
    </row>
    <row r="30" spans="1:19">
      <c r="A30" s="1">
        <v>2</v>
      </c>
      <c r="B30" s="1">
        <v>250</v>
      </c>
      <c r="C30" s="1"/>
      <c r="D30" s="37">
        <v>0</v>
      </c>
      <c r="E30" s="38">
        <f t="shared" ref="E30:E33" si="8">F30-G29</f>
        <v>28.166666666666657</v>
      </c>
      <c r="F30" s="2">
        <f>G30-F26</f>
        <v>83.333333333333329</v>
      </c>
      <c r="G30" s="2">
        <f>K30-1</f>
        <v>95.833333333333329</v>
      </c>
      <c r="H30" s="1"/>
      <c r="I30" s="38">
        <f t="shared" ref="I30:I33" si="9">K30-G30</f>
        <v>1</v>
      </c>
      <c r="J30" s="38">
        <f t="shared" ref="J30:J33" si="10">K30-L29</f>
        <v>20.833333333333329</v>
      </c>
      <c r="K30" s="2">
        <f>L30-K26</f>
        <v>96.833333333333329</v>
      </c>
      <c r="L30" s="2">
        <f>Q29</f>
        <v>117.66666666666666</v>
      </c>
      <c r="M30" s="1" t="s">
        <v>115</v>
      </c>
      <c r="N30" s="38">
        <f t="shared" ref="N30:N33" si="11">P30-L30</f>
        <v>1</v>
      </c>
      <c r="O30" s="38">
        <f t="shared" ref="O30:O33" si="12">P30-Q29</f>
        <v>1</v>
      </c>
      <c r="P30" s="2">
        <f>Q29+1</f>
        <v>118.66666666666666</v>
      </c>
      <c r="Q30" s="35">
        <f>P30+P26</f>
        <v>160.33333333333331</v>
      </c>
    </row>
    <row r="31" spans="1:19">
      <c r="B31" s="1">
        <v>250</v>
      </c>
      <c r="C31" s="36" t="s">
        <v>114</v>
      </c>
      <c r="D31" s="37">
        <v>0</v>
      </c>
      <c r="E31" s="38">
        <f t="shared" si="8"/>
        <v>31.166666666666643</v>
      </c>
      <c r="F31" s="2">
        <f>G31-F26</f>
        <v>126.99999999999997</v>
      </c>
      <c r="G31" s="2">
        <f>K31</f>
        <v>139.49999999999997</v>
      </c>
      <c r="H31" s="36" t="s">
        <v>114</v>
      </c>
      <c r="I31" s="38">
        <f t="shared" si="9"/>
        <v>0</v>
      </c>
      <c r="J31" s="38">
        <f t="shared" si="10"/>
        <v>21.833333333333314</v>
      </c>
      <c r="K31" s="2">
        <f>L31-K26</f>
        <v>139.49999999999997</v>
      </c>
      <c r="L31" s="2">
        <f>Q30</f>
        <v>160.33333333333331</v>
      </c>
      <c r="M31" s="36" t="s">
        <v>114</v>
      </c>
      <c r="N31" s="38">
        <f t="shared" si="11"/>
        <v>0</v>
      </c>
      <c r="O31" s="38">
        <f t="shared" si="12"/>
        <v>0</v>
      </c>
      <c r="P31" s="2">
        <f>Q30</f>
        <v>160.33333333333331</v>
      </c>
      <c r="Q31" s="35">
        <f>P31+P26</f>
        <v>201.99999999999997</v>
      </c>
    </row>
    <row r="32" spans="1:19">
      <c r="A32" s="1">
        <v>3</v>
      </c>
      <c r="B32" s="1">
        <v>250</v>
      </c>
      <c r="C32" s="1"/>
      <c r="D32" s="37">
        <v>0</v>
      </c>
      <c r="E32" s="38">
        <f t="shared" si="8"/>
        <v>28.166666666666657</v>
      </c>
      <c r="F32" s="2">
        <f>G32-F26</f>
        <v>167.66666666666663</v>
      </c>
      <c r="G32" s="2">
        <f>K32-1</f>
        <v>180.16666666666663</v>
      </c>
      <c r="H32" s="1"/>
      <c r="I32" s="38">
        <f t="shared" si="9"/>
        <v>1</v>
      </c>
      <c r="J32" s="38">
        <f t="shared" si="10"/>
        <v>20.833333333333314</v>
      </c>
      <c r="K32" s="2">
        <f>L32-K26</f>
        <v>181.16666666666663</v>
      </c>
      <c r="L32" s="2">
        <f>Q31</f>
        <v>201.99999999999997</v>
      </c>
      <c r="M32" s="1" t="s">
        <v>116</v>
      </c>
      <c r="N32" s="38">
        <f t="shared" si="11"/>
        <v>1</v>
      </c>
      <c r="O32" s="38">
        <f t="shared" si="12"/>
        <v>1</v>
      </c>
      <c r="P32" s="35">
        <f>Q31+1</f>
        <v>202.99999999999997</v>
      </c>
      <c r="Q32" s="35">
        <f>P32+P26</f>
        <v>244.66666666666663</v>
      </c>
    </row>
    <row r="33" spans="2:19">
      <c r="B33" s="1">
        <v>250</v>
      </c>
      <c r="C33" s="36" t="s">
        <v>114</v>
      </c>
      <c r="D33" s="37">
        <v>0</v>
      </c>
      <c r="E33" s="38">
        <f t="shared" si="8"/>
        <v>31.166666666666657</v>
      </c>
      <c r="F33" s="2">
        <f>G33-F26</f>
        <v>211.33333333333329</v>
      </c>
      <c r="G33" s="2">
        <f>K33</f>
        <v>223.83333333333329</v>
      </c>
      <c r="H33" s="36" t="s">
        <v>114</v>
      </c>
      <c r="I33" s="38">
        <f t="shared" si="9"/>
        <v>0</v>
      </c>
      <c r="J33" s="38">
        <f t="shared" si="10"/>
        <v>21.833333333333314</v>
      </c>
      <c r="K33" s="2">
        <f>L33-K26</f>
        <v>223.83333333333329</v>
      </c>
      <c r="L33" s="2">
        <f>Q32</f>
        <v>244.66666666666663</v>
      </c>
      <c r="M33" s="36" t="s">
        <v>114</v>
      </c>
      <c r="N33" s="38">
        <f t="shared" si="11"/>
        <v>0</v>
      </c>
      <c r="O33" s="38">
        <f t="shared" si="12"/>
        <v>0</v>
      </c>
      <c r="P33" s="35">
        <f>Q32</f>
        <v>244.66666666666663</v>
      </c>
      <c r="Q33" s="35">
        <f>P33+P26</f>
        <v>286.33333333333331</v>
      </c>
    </row>
    <row r="34" spans="2:1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9"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9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9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2">
        <f>2.4*250/60</f>
        <v>10</v>
      </c>
      <c r="Q37" s="52"/>
    </row>
    <row r="38" spans="2:19">
      <c r="B38" s="1"/>
      <c r="C38" s="1"/>
      <c r="K38" s="33" t="s">
        <v>95</v>
      </c>
      <c r="L38" s="31" t="s">
        <v>88</v>
      </c>
      <c r="M38" s="31" t="s">
        <v>99</v>
      </c>
      <c r="N38" s="31" t="s">
        <v>96</v>
      </c>
      <c r="O38" s="31" t="s">
        <v>89</v>
      </c>
      <c r="P38" s="53" t="s">
        <v>93</v>
      </c>
      <c r="Q38" s="54"/>
    </row>
    <row r="39" spans="2:19">
      <c r="K39" s="1">
        <v>1</v>
      </c>
      <c r="L39" s="1">
        <v>500</v>
      </c>
      <c r="M39" s="1" t="s">
        <v>111</v>
      </c>
      <c r="N39" s="1">
        <v>0</v>
      </c>
      <c r="O39" s="1">
        <v>0</v>
      </c>
      <c r="P39" s="2">
        <f>Q39-P37</f>
        <v>23.333333333333329</v>
      </c>
      <c r="Q39" s="2">
        <f>P28-1</f>
        <v>33.333333333333329</v>
      </c>
      <c r="S39">
        <f>+Q39*60</f>
        <v>1999.9999999999998</v>
      </c>
    </row>
    <row r="40" spans="2:19">
      <c r="K40" s="1">
        <v>2</v>
      </c>
      <c r="L40" s="1">
        <v>500</v>
      </c>
      <c r="M40" s="1" t="s">
        <v>121</v>
      </c>
      <c r="N40" s="1">
        <v>0</v>
      </c>
      <c r="O40" s="2">
        <f>P40-Q39</f>
        <v>74.333333333333329</v>
      </c>
      <c r="P40" s="2">
        <f>Q40-P37</f>
        <v>107.66666666666666</v>
      </c>
      <c r="Q40" s="2">
        <f>P30-1</f>
        <v>117.66666666666666</v>
      </c>
      <c r="S40">
        <f>+Q40*60</f>
        <v>7059.9999999999991</v>
      </c>
    </row>
    <row r="41" spans="2:19">
      <c r="K41" s="1">
        <v>3</v>
      </c>
      <c r="L41" s="1">
        <v>500</v>
      </c>
      <c r="M41" s="1" t="s">
        <v>122</v>
      </c>
      <c r="N41" s="1">
        <v>0</v>
      </c>
      <c r="O41" s="2">
        <f>P41-Q40</f>
        <v>74.333333333333314</v>
      </c>
      <c r="P41" s="2">
        <f>Q41-P37</f>
        <v>191.99999999999997</v>
      </c>
      <c r="Q41" s="2">
        <f>P32-1</f>
        <v>201.99999999999997</v>
      </c>
      <c r="S41">
        <f>+Q41*60</f>
        <v>12119.999999999998</v>
      </c>
    </row>
    <row r="42" spans="2:19">
      <c r="B42" s="33"/>
      <c r="C42" s="1"/>
      <c r="D42" s="1"/>
      <c r="E42" s="1"/>
      <c r="F42" s="1"/>
      <c r="G42" s="1"/>
      <c r="H42" s="1"/>
      <c r="L42" s="1"/>
      <c r="M42" s="1"/>
      <c r="N42" s="1"/>
      <c r="O42" s="1"/>
      <c r="P42" s="1"/>
      <c r="Q42" s="1"/>
    </row>
    <row r="43" spans="2:19">
      <c r="B43" s="1"/>
      <c r="D43" s="1"/>
      <c r="E43" s="1"/>
      <c r="F43" s="1"/>
      <c r="G43" s="1"/>
      <c r="H43" s="1"/>
      <c r="K43" s="1"/>
      <c r="L43" s="1"/>
      <c r="M43" s="1"/>
      <c r="N43" s="33" t="s">
        <v>96</v>
      </c>
      <c r="O43" s="1">
        <f>SUM(D28:D33,I28:I33,N28:N33,N39:N41)</f>
        <v>4</v>
      </c>
      <c r="P43" s="1"/>
      <c r="Q43" s="1"/>
    </row>
    <row r="44" spans="2:19">
      <c r="B44" s="1"/>
      <c r="D44" s="1"/>
      <c r="E44" s="1"/>
      <c r="F44" s="1"/>
      <c r="G44" s="1"/>
      <c r="H44" s="1"/>
      <c r="L44" s="1"/>
      <c r="M44" s="1"/>
      <c r="N44" s="33" t="s">
        <v>89</v>
      </c>
      <c r="O44" s="1">
        <f>SUM(E28:E33,J28:J33,O28:O33,O39:O41)</f>
        <v>404.66666666666652</v>
      </c>
      <c r="P44" s="1"/>
      <c r="Q44" s="1"/>
    </row>
    <row r="45" spans="2:19">
      <c r="B45" s="1"/>
      <c r="C45" s="1"/>
      <c r="L45" s="1"/>
      <c r="M45" s="1"/>
      <c r="N45" s="33" t="s">
        <v>119</v>
      </c>
      <c r="O45" s="55">
        <f>O43*250*2</f>
        <v>2000</v>
      </c>
      <c r="P45" s="55"/>
      <c r="Q45" s="1"/>
    </row>
    <row r="46" spans="2:19">
      <c r="C46" t="s">
        <v>123</v>
      </c>
      <c r="L46" s="1"/>
      <c r="M46" s="1"/>
      <c r="N46" s="1"/>
      <c r="O46" s="1"/>
      <c r="P46" s="1"/>
      <c r="Q46" s="1"/>
    </row>
    <row r="47" spans="2:19">
      <c r="C47" t="s">
        <v>124</v>
      </c>
      <c r="L47" s="1"/>
      <c r="M47" s="1"/>
      <c r="N47" s="1"/>
      <c r="O47" s="1"/>
      <c r="P47" s="1"/>
      <c r="Q47" s="1"/>
    </row>
  </sheetData>
  <mergeCells count="18">
    <mergeCell ref="F3:G3"/>
    <mergeCell ref="K3:L3"/>
    <mergeCell ref="P3:Q3"/>
    <mergeCell ref="F2:G2"/>
    <mergeCell ref="K2:L2"/>
    <mergeCell ref="P2:Q2"/>
    <mergeCell ref="F26:G26"/>
    <mergeCell ref="K26:L26"/>
    <mergeCell ref="P26:Q26"/>
    <mergeCell ref="F27:G27"/>
    <mergeCell ref="K27:L27"/>
    <mergeCell ref="P27:Q27"/>
    <mergeCell ref="P37:Q37"/>
    <mergeCell ref="P38:Q38"/>
    <mergeCell ref="O45:P45"/>
    <mergeCell ref="P13:Q13"/>
    <mergeCell ref="O21:P21"/>
    <mergeCell ref="P14:Q14"/>
  </mergeCells>
  <pageMargins left="0.75" right="0.75" top="1" bottom="1" header="0.5" footer="0.5"/>
  <pageSetup orientation="portrait" horizontalDpi="4294967292" verticalDpi="4294967292"/>
  <ignoredErrors>
    <ignoredError sqref="P6:P7 P8 G31 P30:P3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="150" zoomScaleNormal="150" zoomScalePageLayoutView="150" workbookViewId="0">
      <selection activeCell="G26" sqref="G26"/>
    </sheetView>
  </sheetViews>
  <sheetFormatPr baseColWidth="10" defaultRowHeight="15" x14ac:dyDescent="0"/>
  <cols>
    <col min="1" max="1" width="3" customWidth="1"/>
    <col min="2" max="2" width="23" bestFit="1" customWidth="1"/>
    <col min="3" max="3" width="10.83203125" style="1"/>
    <col min="6" max="6" width="16.6640625" customWidth="1"/>
    <col min="8" max="8" width="15.5" style="1" customWidth="1"/>
    <col min="9" max="9" width="12.83203125" style="1" customWidth="1"/>
  </cols>
  <sheetData>
    <row r="1" spans="2:9">
      <c r="C1" s="1" t="s">
        <v>1</v>
      </c>
    </row>
    <row r="2" spans="2:9" ht="30">
      <c r="B2" t="s">
        <v>0</v>
      </c>
      <c r="C2" s="1">
        <f>25*10</f>
        <v>250</v>
      </c>
      <c r="G2" s="1" t="s">
        <v>29</v>
      </c>
      <c r="H2" s="10" t="s">
        <v>30</v>
      </c>
      <c r="I2" s="10" t="s">
        <v>31</v>
      </c>
    </row>
    <row r="3" spans="2:9">
      <c r="B3" t="s">
        <v>85</v>
      </c>
      <c r="C3" s="1">
        <f>+C2*0.6</f>
        <v>150</v>
      </c>
      <c r="F3" t="s">
        <v>12</v>
      </c>
      <c r="G3" s="3">
        <v>1</v>
      </c>
      <c r="H3" s="2">
        <f>+C4/C15</f>
        <v>5.8030727270089519</v>
      </c>
      <c r="I3" s="4">
        <f>ROUNDUP(H3,0)</f>
        <v>6</v>
      </c>
    </row>
    <row r="4" spans="2:9">
      <c r="B4" t="s">
        <v>86</v>
      </c>
      <c r="C4" s="1">
        <f>+C2*0.4</f>
        <v>100</v>
      </c>
      <c r="F4" t="s">
        <v>13</v>
      </c>
      <c r="G4" s="3">
        <f>+G3/2</f>
        <v>0.5</v>
      </c>
      <c r="H4" s="2">
        <f>+H3/2</f>
        <v>2.901536363504476</v>
      </c>
      <c r="I4" s="4">
        <f t="shared" ref="I4:I18" si="0">ROUNDUP(H4,0)</f>
        <v>3</v>
      </c>
    </row>
    <row r="5" spans="2:9">
      <c r="B5" t="s">
        <v>2</v>
      </c>
      <c r="C5" s="1">
        <f>+C3/1.5</f>
        <v>100</v>
      </c>
      <c r="F5" t="s">
        <v>14</v>
      </c>
      <c r="G5" s="3">
        <f>+G3/3</f>
        <v>0.33333333333333331</v>
      </c>
      <c r="H5" s="2">
        <f>+H3/3</f>
        <v>1.9343575756696507</v>
      </c>
      <c r="I5" s="4">
        <f t="shared" si="0"/>
        <v>2</v>
      </c>
    </row>
    <row r="6" spans="2:9">
      <c r="B6" t="s">
        <v>4</v>
      </c>
      <c r="C6" s="2">
        <f>15/2.35</f>
        <v>6.3829787234042552</v>
      </c>
      <c r="D6" s="35">
        <f>ROUNDDOWN(C6,0)</f>
        <v>6</v>
      </c>
      <c r="F6" t="s">
        <v>15</v>
      </c>
      <c r="G6" s="3">
        <f>+G3/2</f>
        <v>0.5</v>
      </c>
      <c r="H6" s="2">
        <f>+H3/2</f>
        <v>2.901536363504476</v>
      </c>
      <c r="I6" s="4">
        <f t="shared" si="0"/>
        <v>3</v>
      </c>
    </row>
    <row r="7" spans="2:9">
      <c r="B7" t="s">
        <v>5</v>
      </c>
      <c r="C7" s="2">
        <f>10/2.35</f>
        <v>4.2553191489361701</v>
      </c>
      <c r="D7" s="35">
        <f>ROUNDDOWN(C7,0)</f>
        <v>4</v>
      </c>
      <c r="F7" t="s">
        <v>16</v>
      </c>
      <c r="G7" s="3">
        <f>+G3/3</f>
        <v>0.33333333333333331</v>
      </c>
      <c r="H7" s="2">
        <f>+H3/3</f>
        <v>1.9343575756696507</v>
      </c>
      <c r="I7" s="4">
        <f t="shared" si="0"/>
        <v>2</v>
      </c>
    </row>
    <row r="8" spans="2:9">
      <c r="B8" t="s">
        <v>3</v>
      </c>
      <c r="C8" s="4">
        <f>+D6*D7</f>
        <v>24</v>
      </c>
      <c r="F8" t="s">
        <v>17</v>
      </c>
      <c r="G8" s="3">
        <f>+G3/2</f>
        <v>0.5</v>
      </c>
      <c r="H8" s="2">
        <f>+H3/2</f>
        <v>2.901536363504476</v>
      </c>
      <c r="I8" s="4">
        <f t="shared" si="0"/>
        <v>3</v>
      </c>
    </row>
    <row r="9" spans="2:9">
      <c r="B9" t="s">
        <v>6</v>
      </c>
      <c r="C9" s="4">
        <f>+C8*0.8</f>
        <v>19.200000000000003</v>
      </c>
      <c r="F9" t="s">
        <v>18</v>
      </c>
      <c r="G9" s="3">
        <f>+G3/4</f>
        <v>0.25</v>
      </c>
      <c r="H9" s="2">
        <f>+H3/4</f>
        <v>1.450768181752238</v>
      </c>
      <c r="I9" s="4">
        <f t="shared" si="0"/>
        <v>2</v>
      </c>
    </row>
    <row r="10" spans="2:9">
      <c r="B10" t="s">
        <v>7</v>
      </c>
      <c r="C10" s="4">
        <f>+C8*0.2</f>
        <v>4.8000000000000007</v>
      </c>
      <c r="F10" t="s">
        <v>19</v>
      </c>
      <c r="G10" s="3">
        <f>$G$3</f>
        <v>1</v>
      </c>
      <c r="H10" s="2">
        <f>$H$3</f>
        <v>5.8030727270089519</v>
      </c>
      <c r="I10" s="4">
        <f t="shared" si="0"/>
        <v>6</v>
      </c>
    </row>
    <row r="11" spans="2:9">
      <c r="B11" t="s">
        <v>125</v>
      </c>
      <c r="C11" s="1">
        <f>ROUNDDOWN((C9*4)+(C10*2),0)</f>
        <v>86</v>
      </c>
      <c r="F11" t="s">
        <v>20</v>
      </c>
      <c r="G11" s="3">
        <f>$G$3</f>
        <v>1</v>
      </c>
      <c r="H11" s="2">
        <f>$H$3</f>
        <v>5.8030727270089519</v>
      </c>
      <c r="I11" s="4">
        <f t="shared" si="0"/>
        <v>6</v>
      </c>
    </row>
    <row r="12" spans="2:9">
      <c r="B12" t="s">
        <v>9</v>
      </c>
      <c r="C12" s="4" t="s">
        <v>10</v>
      </c>
      <c r="D12" s="1" t="s">
        <v>11</v>
      </c>
      <c r="F12" t="s">
        <v>21</v>
      </c>
      <c r="G12" s="3">
        <f>$G$3</f>
        <v>1</v>
      </c>
      <c r="H12" s="2">
        <f>$H$3</f>
        <v>5.8030727270089519</v>
      </c>
      <c r="I12" s="4">
        <f t="shared" si="0"/>
        <v>6</v>
      </c>
    </row>
    <row r="13" spans="2:9">
      <c r="B13" t="s">
        <v>87</v>
      </c>
      <c r="C13" s="1">
        <v>4</v>
      </c>
      <c r="D13" s="1">
        <f>+C13*60</f>
        <v>240</v>
      </c>
      <c r="F13" t="s">
        <v>22</v>
      </c>
      <c r="G13" s="3">
        <f>$G$3</f>
        <v>1</v>
      </c>
      <c r="H13" s="2">
        <f>$H$3</f>
        <v>5.8030727270089519</v>
      </c>
      <c r="I13" s="4">
        <f t="shared" si="0"/>
        <v>6</v>
      </c>
    </row>
    <row r="14" spans="2:9">
      <c r="B14" t="s">
        <v>8</v>
      </c>
      <c r="C14" s="2">
        <f>0.25+0.1+0.07+0.0015+0.2+0.08+0.1</f>
        <v>0.80149999999999988</v>
      </c>
      <c r="D14" s="2">
        <f>+C14*60</f>
        <v>48.089999999999989</v>
      </c>
      <c r="F14" s="7" t="s">
        <v>23</v>
      </c>
      <c r="G14" s="9">
        <f>$G$3</f>
        <v>1</v>
      </c>
      <c r="H14" s="11">
        <f>$H$3</f>
        <v>5.8030727270089519</v>
      </c>
      <c r="I14" s="6">
        <f t="shared" si="0"/>
        <v>6</v>
      </c>
    </row>
    <row r="15" spans="2:9" ht="30">
      <c r="B15" s="5" t="s">
        <v>28</v>
      </c>
      <c r="C15" s="6">
        <f>+($C$11*C14)/C13</f>
        <v>17.232249999999997</v>
      </c>
      <c r="D15" s="6">
        <f>+($C$11*D14)/D13</f>
        <v>17.232249999999997</v>
      </c>
      <c r="F15" s="39" t="s">
        <v>24</v>
      </c>
      <c r="G15" s="9">
        <f>+G3/4</f>
        <v>0.25</v>
      </c>
      <c r="H15" s="11">
        <f>+H3/4</f>
        <v>1.450768181752238</v>
      </c>
      <c r="I15" s="6">
        <f t="shared" si="0"/>
        <v>2</v>
      </c>
    </row>
    <row r="16" spans="2:9">
      <c r="F16" t="s">
        <v>25</v>
      </c>
      <c r="G16" s="3">
        <f>$G$3</f>
        <v>1</v>
      </c>
      <c r="H16" s="2">
        <f>$H$3</f>
        <v>5.8030727270089519</v>
      </c>
      <c r="I16" s="4">
        <f t="shared" si="0"/>
        <v>6</v>
      </c>
    </row>
    <row r="17" spans="3:9">
      <c r="F17" t="s">
        <v>26</v>
      </c>
      <c r="G17" s="3">
        <f>$G$3</f>
        <v>1</v>
      </c>
      <c r="H17" s="2">
        <f>$H$3</f>
        <v>5.8030727270089519</v>
      </c>
      <c r="I17" s="4">
        <f t="shared" si="0"/>
        <v>6</v>
      </c>
    </row>
    <row r="18" spans="3:9">
      <c r="F18" t="s">
        <v>27</v>
      </c>
      <c r="G18" s="8">
        <v>1</v>
      </c>
      <c r="H18" s="2">
        <f>$H$3</f>
        <v>5.8030727270089519</v>
      </c>
      <c r="I18" s="4">
        <f t="shared" si="0"/>
        <v>6</v>
      </c>
    </row>
    <row r="19" spans="3:9" ht="16" thickBot="1"/>
    <row r="20" spans="3:9">
      <c r="C20" s="41" t="s">
        <v>135</v>
      </c>
      <c r="D20" s="42" t="s">
        <v>136</v>
      </c>
    </row>
    <row r="21" spans="3:9">
      <c r="C21" s="43" t="s">
        <v>134</v>
      </c>
      <c r="D21" s="44">
        <v>5</v>
      </c>
    </row>
    <row r="22" spans="3:9">
      <c r="C22" s="43" t="s">
        <v>125</v>
      </c>
      <c r="D22" s="44">
        <v>5</v>
      </c>
    </row>
    <row r="23" spans="3:9">
      <c r="C23" s="43" t="s">
        <v>137</v>
      </c>
      <c r="D23" s="44">
        <v>10</v>
      </c>
    </row>
    <row r="24" spans="3:9">
      <c r="C24" s="43" t="s">
        <v>12</v>
      </c>
      <c r="D24" s="44">
        <v>5</v>
      </c>
    </row>
    <row r="25" spans="3:9" ht="16" thickBot="1">
      <c r="C25" s="45" t="s">
        <v>138</v>
      </c>
      <c r="D25" s="46">
        <v>5</v>
      </c>
    </row>
  </sheetData>
  <pageMargins left="0.75" right="0.75" top="1" bottom="1" header="0.5" footer="0.5"/>
  <pageSetup orientation="portrait" horizontalDpi="4294967292" verticalDpi="4294967292"/>
  <ignoredErrors>
    <ignoredError sqref="G15:H1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Primera pregunta</vt:lpstr>
      <vt:lpstr>Segunda pregunta</vt:lpstr>
      <vt:lpstr>Tercera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2016-10-25T18:02:32Z</dcterms:created>
  <dcterms:modified xsi:type="dcterms:W3CDTF">2016-11-10T18:12:42Z</dcterms:modified>
</cp:coreProperties>
</file>