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8080" windowHeight="16400" tabRatio="500" activeTab="2"/>
  </bookViews>
  <sheets>
    <sheet name="Pregunta 1" sheetId="3" r:id="rId1"/>
    <sheet name="Pregunta 2" sheetId="4" r:id="rId2"/>
    <sheet name="3ra pregunta" sheetId="1" r:id="rId3"/>
    <sheet name="3ra pregunta piso y UAII" sheetId="2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1" l="1"/>
  <c r="C53" i="1"/>
  <c r="C50" i="1"/>
  <c r="M37" i="1"/>
  <c r="M34" i="1"/>
  <c r="M31" i="1"/>
  <c r="C37" i="1"/>
  <c r="C34" i="1"/>
  <c r="C31" i="1"/>
  <c r="C32" i="1"/>
  <c r="D32" i="1"/>
  <c r="C29" i="1"/>
  <c r="G24" i="1"/>
  <c r="G25" i="1"/>
  <c r="G26" i="1"/>
  <c r="G27" i="1"/>
  <c r="G28" i="1"/>
  <c r="H23" i="1"/>
  <c r="C35" i="1"/>
  <c r="D35" i="1"/>
  <c r="D29" i="1"/>
  <c r="H24" i="1"/>
  <c r="H25" i="1"/>
  <c r="H26" i="1"/>
  <c r="H27" i="1"/>
  <c r="H28" i="1"/>
  <c r="I23" i="1"/>
  <c r="C38" i="1"/>
  <c r="D38" i="1"/>
  <c r="E29" i="1"/>
  <c r="I24" i="1"/>
  <c r="I25" i="1"/>
  <c r="O14" i="1"/>
  <c r="N14" i="1"/>
  <c r="M14" i="1"/>
  <c r="M15" i="1"/>
  <c r="M17" i="1"/>
  <c r="N12" i="1"/>
  <c r="N13" i="1"/>
  <c r="N15" i="1"/>
  <c r="N17" i="1"/>
  <c r="O12" i="1"/>
  <c r="O13" i="1"/>
  <c r="M13" i="1"/>
  <c r="J13" i="1"/>
  <c r="I13" i="1"/>
  <c r="H13" i="1"/>
  <c r="H14" i="1"/>
  <c r="H15" i="1"/>
  <c r="H17" i="1"/>
  <c r="I12" i="1"/>
  <c r="I14" i="1"/>
  <c r="I15" i="1"/>
  <c r="I17" i="1"/>
  <c r="J12" i="1"/>
  <c r="D13" i="1"/>
  <c r="D14" i="1"/>
  <c r="D15" i="1"/>
  <c r="D17" i="1"/>
  <c r="E12" i="1"/>
  <c r="E13" i="1"/>
  <c r="C13" i="1"/>
  <c r="C14" i="1"/>
  <c r="C15" i="1"/>
  <c r="C17" i="1"/>
  <c r="D12" i="1"/>
  <c r="E4" i="1"/>
  <c r="E5" i="1"/>
  <c r="E6" i="1"/>
  <c r="E3" i="1"/>
  <c r="J14" i="1"/>
  <c r="E14" i="1"/>
  <c r="G3" i="4"/>
  <c r="I3" i="4"/>
  <c r="G4" i="4"/>
  <c r="I4" i="4"/>
  <c r="G5" i="4"/>
  <c r="I5" i="4"/>
  <c r="G6" i="4"/>
  <c r="I6" i="4"/>
  <c r="G7" i="4"/>
  <c r="I7" i="4"/>
  <c r="G8" i="4"/>
  <c r="I8" i="4"/>
  <c r="G9" i="4"/>
  <c r="I9" i="4"/>
  <c r="F13" i="4"/>
  <c r="D14" i="4"/>
  <c r="F14" i="4"/>
  <c r="D15" i="4"/>
  <c r="F15" i="4"/>
  <c r="D16" i="4"/>
  <c r="D17" i="4"/>
  <c r="D18" i="4"/>
  <c r="D19" i="4"/>
  <c r="I20" i="4"/>
  <c r="F25" i="4"/>
  <c r="D26" i="4"/>
  <c r="F26" i="4"/>
  <c r="D27" i="4"/>
  <c r="F27" i="4"/>
  <c r="D28" i="4"/>
  <c r="D29" i="4"/>
  <c r="D30" i="4"/>
  <c r="D31" i="4"/>
  <c r="I32" i="4"/>
  <c r="G4" i="3"/>
  <c r="G5" i="3"/>
  <c r="G6" i="3"/>
  <c r="G7" i="3"/>
  <c r="G8" i="3"/>
  <c r="G9" i="3"/>
  <c r="F13" i="3"/>
  <c r="H13" i="3"/>
  <c r="J13" i="3"/>
  <c r="D14" i="3"/>
  <c r="E14" i="3"/>
  <c r="F14" i="3"/>
  <c r="H14" i="3"/>
  <c r="J14" i="3"/>
  <c r="D15" i="3"/>
  <c r="E15" i="3"/>
  <c r="F15" i="3"/>
  <c r="H15" i="3"/>
  <c r="J15" i="3"/>
  <c r="D16" i="3"/>
  <c r="E16" i="3"/>
  <c r="F16" i="3"/>
  <c r="H16" i="3"/>
  <c r="J16" i="3"/>
  <c r="D17" i="3"/>
  <c r="E17" i="3"/>
  <c r="F17" i="3"/>
  <c r="H17" i="3"/>
  <c r="J17" i="3"/>
  <c r="D18" i="3"/>
  <c r="E18" i="3"/>
  <c r="F18" i="3"/>
  <c r="H18" i="3"/>
  <c r="J18" i="3"/>
  <c r="J19" i="3"/>
  <c r="F25" i="3"/>
  <c r="H25" i="3"/>
  <c r="J25" i="3"/>
  <c r="D26" i="3"/>
  <c r="E26" i="3"/>
  <c r="F26" i="3"/>
  <c r="H26" i="3"/>
  <c r="J26" i="3"/>
  <c r="D27" i="3"/>
  <c r="E27" i="3"/>
  <c r="F27" i="3"/>
  <c r="H27" i="3"/>
  <c r="J27" i="3"/>
  <c r="D28" i="3"/>
  <c r="E28" i="3"/>
  <c r="F28" i="3"/>
  <c r="H28" i="3"/>
  <c r="J28" i="3"/>
  <c r="D29" i="3"/>
  <c r="E29" i="3"/>
  <c r="F29" i="3"/>
  <c r="H29" i="3"/>
  <c r="J29" i="3"/>
  <c r="D30" i="3"/>
  <c r="E30" i="3"/>
  <c r="F30" i="3"/>
  <c r="H30" i="3"/>
  <c r="J30" i="3"/>
  <c r="J31" i="3"/>
  <c r="M61" i="1"/>
  <c r="M62" i="1"/>
  <c r="M63" i="1"/>
  <c r="C62" i="1"/>
  <c r="C64" i="1"/>
  <c r="C69" i="1"/>
  <c r="G15" i="2"/>
  <c r="D64" i="1"/>
  <c r="D69" i="1"/>
  <c r="I15" i="2"/>
  <c r="E64" i="1"/>
  <c r="E69" i="1"/>
  <c r="K15" i="2"/>
  <c r="F64" i="1"/>
  <c r="F69" i="1"/>
  <c r="M15" i="2"/>
  <c r="B19" i="2"/>
  <c r="B20" i="2"/>
  <c r="G64" i="1"/>
  <c r="G69" i="1"/>
  <c r="O15" i="2"/>
  <c r="C19" i="2"/>
  <c r="C20" i="2"/>
  <c r="C21" i="2"/>
  <c r="D28" i="2"/>
  <c r="C30" i="2"/>
  <c r="C31" i="2"/>
  <c r="E65" i="1"/>
  <c r="E68" i="1"/>
  <c r="E66" i="1"/>
  <c r="G65" i="1"/>
  <c r="F65" i="1"/>
  <c r="D65" i="1"/>
  <c r="C65" i="1"/>
  <c r="L8" i="2"/>
  <c r="E16" i="1"/>
  <c r="I6" i="2"/>
  <c r="I7" i="2"/>
  <c r="J6" i="2"/>
  <c r="J7" i="2"/>
  <c r="K6" i="2"/>
  <c r="K7" i="2"/>
  <c r="L7" i="2"/>
  <c r="E15" i="1"/>
  <c r="E17" i="1"/>
  <c r="I9" i="2"/>
  <c r="J15" i="1"/>
  <c r="J17" i="1"/>
  <c r="J9" i="2"/>
  <c r="O15" i="1"/>
  <c r="O17" i="1"/>
  <c r="K9" i="2"/>
  <c r="L9" i="2"/>
  <c r="C68" i="1"/>
  <c r="D68" i="1"/>
  <c r="F68" i="1"/>
  <c r="G68" i="1"/>
  <c r="H68" i="1"/>
  <c r="I10" i="2"/>
  <c r="J10" i="2"/>
  <c r="K10" i="2"/>
  <c r="L10" i="2"/>
  <c r="L11" i="2"/>
  <c r="J5" i="2"/>
  <c r="K5" i="2"/>
  <c r="I5" i="2"/>
  <c r="J4" i="2"/>
  <c r="K4" i="2"/>
  <c r="I4" i="2"/>
  <c r="G18" i="2"/>
  <c r="F19" i="2"/>
  <c r="G19" i="2"/>
  <c r="H19" i="2"/>
  <c r="I19" i="2"/>
  <c r="J19" i="2"/>
  <c r="K19" i="2"/>
  <c r="L19" i="2"/>
  <c r="M19" i="2"/>
  <c r="N19" i="2"/>
  <c r="O19" i="2"/>
  <c r="H18" i="2"/>
  <c r="I18" i="2"/>
  <c r="J18" i="2"/>
  <c r="K18" i="2"/>
  <c r="L18" i="2"/>
  <c r="M18" i="2"/>
  <c r="N18" i="2"/>
  <c r="O18" i="2"/>
  <c r="C23" i="2"/>
  <c r="C24" i="2"/>
  <c r="C25" i="2"/>
  <c r="C26" i="2"/>
  <c r="E44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H20" i="2"/>
  <c r="I20" i="2"/>
  <c r="J20" i="2"/>
  <c r="K20" i="2"/>
  <c r="L20" i="2"/>
  <c r="M20" i="2"/>
  <c r="N20" i="2"/>
  <c r="O20" i="2"/>
  <c r="H21" i="2"/>
  <c r="I21" i="2"/>
  <c r="J21" i="2"/>
  <c r="K21" i="2"/>
  <c r="L21" i="2"/>
  <c r="M21" i="2"/>
  <c r="N21" i="2"/>
  <c r="O21" i="2"/>
  <c r="H22" i="2"/>
  <c r="I22" i="2"/>
  <c r="J22" i="2"/>
  <c r="K22" i="2"/>
  <c r="L22" i="2"/>
  <c r="M22" i="2"/>
  <c r="N22" i="2"/>
  <c r="O22" i="2"/>
  <c r="H23" i="2"/>
  <c r="I23" i="2"/>
  <c r="J23" i="2"/>
  <c r="K23" i="2"/>
  <c r="L23" i="2"/>
  <c r="M23" i="2"/>
  <c r="N23" i="2"/>
  <c r="O23" i="2"/>
  <c r="H24" i="2"/>
  <c r="I24" i="2"/>
  <c r="J24" i="2"/>
  <c r="K24" i="2"/>
  <c r="L24" i="2"/>
  <c r="M24" i="2"/>
  <c r="N24" i="2"/>
  <c r="O24" i="2"/>
  <c r="H25" i="2"/>
  <c r="I25" i="2"/>
  <c r="J25" i="2"/>
  <c r="K25" i="2"/>
  <c r="L25" i="2"/>
  <c r="M25" i="2"/>
  <c r="N25" i="2"/>
  <c r="O25" i="2"/>
  <c r="H26" i="2"/>
  <c r="I26" i="2"/>
  <c r="J26" i="2"/>
  <c r="K26" i="2"/>
  <c r="L26" i="2"/>
  <c r="M26" i="2"/>
  <c r="N26" i="2"/>
  <c r="O26" i="2"/>
  <c r="H27" i="2"/>
  <c r="I27" i="2"/>
  <c r="J27" i="2"/>
  <c r="K27" i="2"/>
  <c r="L27" i="2"/>
  <c r="M27" i="2"/>
  <c r="N27" i="2"/>
  <c r="O27" i="2"/>
  <c r="H28" i="2"/>
  <c r="I28" i="2"/>
  <c r="J28" i="2"/>
  <c r="K28" i="2"/>
  <c r="L28" i="2"/>
  <c r="M28" i="2"/>
  <c r="N28" i="2"/>
  <c r="O28" i="2"/>
  <c r="H29" i="2"/>
  <c r="I29" i="2"/>
  <c r="J29" i="2"/>
  <c r="K29" i="2"/>
  <c r="L29" i="2"/>
  <c r="M29" i="2"/>
  <c r="N29" i="2"/>
  <c r="O29" i="2"/>
  <c r="H30" i="2"/>
  <c r="I30" i="2"/>
  <c r="J30" i="2"/>
  <c r="K30" i="2"/>
  <c r="L30" i="2"/>
  <c r="M30" i="2"/>
  <c r="N30" i="2"/>
  <c r="O30" i="2"/>
  <c r="H31" i="2"/>
  <c r="I31" i="2"/>
  <c r="J31" i="2"/>
  <c r="K31" i="2"/>
  <c r="L31" i="2"/>
  <c r="M31" i="2"/>
  <c r="N31" i="2"/>
  <c r="O31" i="2"/>
  <c r="H32" i="2"/>
  <c r="I32" i="2"/>
  <c r="J32" i="2"/>
  <c r="K32" i="2"/>
  <c r="L32" i="2"/>
  <c r="M32" i="2"/>
  <c r="N32" i="2"/>
  <c r="O32" i="2"/>
  <c r="H33" i="2"/>
  <c r="I33" i="2"/>
  <c r="J33" i="2"/>
  <c r="K33" i="2"/>
  <c r="L33" i="2"/>
  <c r="M33" i="2"/>
  <c r="N33" i="2"/>
  <c r="O33" i="2"/>
  <c r="H34" i="2"/>
  <c r="I34" i="2"/>
  <c r="J34" i="2"/>
  <c r="K34" i="2"/>
  <c r="L34" i="2"/>
  <c r="M34" i="2"/>
  <c r="N34" i="2"/>
  <c r="O34" i="2"/>
  <c r="H35" i="2"/>
  <c r="I35" i="2"/>
  <c r="J35" i="2"/>
  <c r="K35" i="2"/>
  <c r="L35" i="2"/>
  <c r="M35" i="2"/>
  <c r="N35" i="2"/>
  <c r="O35" i="2"/>
  <c r="H36" i="2"/>
  <c r="I36" i="2"/>
  <c r="J36" i="2"/>
  <c r="K36" i="2"/>
  <c r="L36" i="2"/>
  <c r="M36" i="2"/>
  <c r="N36" i="2"/>
  <c r="O36" i="2"/>
  <c r="H37" i="2"/>
  <c r="I37" i="2"/>
  <c r="J37" i="2"/>
  <c r="K37" i="2"/>
  <c r="L37" i="2"/>
  <c r="M37" i="2"/>
  <c r="N37" i="2"/>
  <c r="O37" i="2"/>
  <c r="H38" i="2"/>
  <c r="I38" i="2"/>
  <c r="J38" i="2"/>
  <c r="K38" i="2"/>
  <c r="L38" i="2"/>
  <c r="M38" i="2"/>
  <c r="N38" i="2"/>
  <c r="O38" i="2"/>
  <c r="H39" i="2"/>
  <c r="I39" i="2"/>
  <c r="J39" i="2"/>
  <c r="K39" i="2"/>
  <c r="L39" i="2"/>
  <c r="M39" i="2"/>
  <c r="N39" i="2"/>
  <c r="O39" i="2"/>
  <c r="H40" i="2"/>
  <c r="I40" i="2"/>
  <c r="J40" i="2"/>
  <c r="K40" i="2"/>
  <c r="L40" i="2"/>
  <c r="M40" i="2"/>
  <c r="N40" i="2"/>
  <c r="O40" i="2"/>
  <c r="H41" i="2"/>
  <c r="I41" i="2"/>
  <c r="J41" i="2"/>
  <c r="K41" i="2"/>
  <c r="L41" i="2"/>
  <c r="M41" i="2"/>
  <c r="N41" i="2"/>
  <c r="O41" i="2"/>
  <c r="H42" i="2"/>
  <c r="I42" i="2"/>
  <c r="J42" i="2"/>
  <c r="K42" i="2"/>
  <c r="L42" i="2"/>
  <c r="M42" i="2"/>
  <c r="N42" i="2"/>
  <c r="O42" i="2"/>
  <c r="H43" i="2"/>
  <c r="I43" i="2"/>
  <c r="J43" i="2"/>
  <c r="K43" i="2"/>
  <c r="L43" i="2"/>
  <c r="M43" i="2"/>
  <c r="N43" i="2"/>
  <c r="O43" i="2"/>
  <c r="O14" i="2"/>
  <c r="D73" i="1"/>
  <c r="E73" i="1"/>
  <c r="F73" i="1"/>
  <c r="G73" i="1"/>
  <c r="C73" i="1"/>
  <c r="C60" i="1"/>
  <c r="D72" i="1"/>
  <c r="E72" i="1"/>
  <c r="F72" i="1"/>
  <c r="G72" i="1"/>
  <c r="D71" i="1"/>
  <c r="E71" i="1"/>
  <c r="F71" i="1"/>
  <c r="G71" i="1"/>
  <c r="D70" i="1"/>
  <c r="E70" i="1"/>
  <c r="F70" i="1"/>
  <c r="G70" i="1"/>
  <c r="C72" i="1"/>
  <c r="C71" i="1"/>
  <c r="C70" i="1"/>
  <c r="D11" i="2"/>
  <c r="D10" i="2"/>
  <c r="C12" i="2"/>
  <c r="C11" i="2"/>
  <c r="C10" i="2"/>
  <c r="D7" i="2"/>
  <c r="E4" i="2"/>
  <c r="E5" i="2"/>
  <c r="E3" i="2"/>
  <c r="C16" i="1"/>
  <c r="D16" i="1"/>
  <c r="H16" i="1"/>
  <c r="I16" i="1"/>
  <c r="M16" i="1"/>
  <c r="N16" i="1"/>
  <c r="C66" i="1"/>
  <c r="C67" i="1"/>
  <c r="D66" i="1"/>
  <c r="D67" i="1"/>
  <c r="E67" i="1"/>
  <c r="F66" i="1"/>
  <c r="F67" i="1"/>
  <c r="G66" i="1"/>
  <c r="G67" i="1"/>
  <c r="H67" i="1"/>
  <c r="J3" i="1"/>
  <c r="J4" i="1"/>
  <c r="J5" i="1"/>
  <c r="M32" i="1"/>
  <c r="N32" i="1"/>
  <c r="M29" i="1"/>
  <c r="N24" i="1"/>
  <c r="N25" i="1"/>
  <c r="N26" i="1"/>
  <c r="N27" i="1"/>
  <c r="N28" i="1"/>
  <c r="O23" i="1"/>
  <c r="M35" i="1"/>
  <c r="N35" i="1"/>
  <c r="N29" i="1"/>
  <c r="O24" i="1"/>
  <c r="O25" i="1"/>
  <c r="O26" i="1"/>
  <c r="O27" i="1"/>
  <c r="O28" i="1"/>
  <c r="P23" i="1"/>
  <c r="M38" i="1"/>
  <c r="N38" i="1"/>
  <c r="P27" i="1"/>
  <c r="O29" i="1"/>
  <c r="P24" i="1"/>
  <c r="P25" i="1"/>
  <c r="P26" i="1"/>
  <c r="P28" i="1"/>
  <c r="C51" i="1"/>
  <c r="D51" i="1"/>
  <c r="C48" i="1"/>
  <c r="E43" i="1"/>
  <c r="E44" i="1"/>
  <c r="E45" i="1"/>
  <c r="E46" i="1"/>
  <c r="E47" i="1"/>
  <c r="F42" i="1"/>
  <c r="C54" i="1"/>
  <c r="D54" i="1"/>
  <c r="D48" i="1"/>
  <c r="F43" i="1"/>
  <c r="F44" i="1"/>
  <c r="F45" i="1"/>
  <c r="F46" i="1"/>
  <c r="F47" i="1"/>
  <c r="G42" i="1"/>
  <c r="C57" i="1"/>
  <c r="D57" i="1"/>
  <c r="G46" i="1"/>
  <c r="H3" i="1"/>
  <c r="H4" i="1"/>
  <c r="H5" i="1"/>
  <c r="I27" i="1"/>
  <c r="I26" i="1"/>
  <c r="I28" i="1"/>
  <c r="O16" i="1"/>
  <c r="J16" i="1"/>
  <c r="E48" i="1"/>
  <c r="G43" i="1"/>
  <c r="G44" i="1"/>
  <c r="G45" i="1"/>
  <c r="G47" i="1"/>
</calcChain>
</file>

<file path=xl/sharedStrings.xml><?xml version="1.0" encoding="utf-8"?>
<sst xmlns="http://schemas.openxmlformats.org/spreadsheetml/2006/main" count="247" uniqueCount="138">
  <si>
    <t>Mes</t>
  </si>
  <si>
    <t>Demanda</t>
  </si>
  <si>
    <t>Inventario Inicial</t>
  </si>
  <si>
    <t>Plan de Producción</t>
  </si>
  <si>
    <t>Disponible</t>
  </si>
  <si>
    <t>Despacho</t>
  </si>
  <si>
    <t>Inventario Final</t>
  </si>
  <si>
    <t>MPS en Persecución por ser Lean</t>
  </si>
  <si>
    <t>Zapato A</t>
  </si>
  <si>
    <t>Zapato B</t>
  </si>
  <si>
    <t>Zapato C</t>
  </si>
  <si>
    <t>Merma</t>
  </si>
  <si>
    <t>Inv de seguridad</t>
  </si>
  <si>
    <t>Merma CD</t>
  </si>
  <si>
    <t>Merma BMO</t>
  </si>
  <si>
    <t>PNCT avión</t>
  </si>
  <si>
    <t>PNCT camión</t>
  </si>
  <si>
    <t>Periodos</t>
  </si>
  <si>
    <t>Inventario inicial</t>
    <phoneticPr fontId="0" type="noConversion"/>
  </si>
  <si>
    <t>Plan de producción</t>
    <phoneticPr fontId="0" type="noConversion"/>
  </si>
  <si>
    <t>Disponible</t>
    <phoneticPr fontId="0" type="noConversion"/>
  </si>
  <si>
    <t>PNM</t>
    <phoneticPr fontId="0" type="noConversion"/>
  </si>
  <si>
    <t>Inventario final</t>
    <phoneticPr fontId="0" type="noConversion"/>
  </si>
  <si>
    <t>Formulación del pedido</t>
    <phoneticPr fontId="0" type="noConversion"/>
  </si>
  <si>
    <r>
      <t>Necesidad de B</t>
    </r>
    <r>
      <rPr>
        <vertAlign val="subscript"/>
        <sz val="10"/>
        <rFont val="Verdana"/>
      </rPr>
      <t>1</t>
    </r>
    <r>
      <rPr>
        <sz val="12"/>
        <color theme="1"/>
        <rFont val="Calibri"/>
        <family val="2"/>
        <scheme val="minor"/>
      </rPr>
      <t xml:space="preserve">  =</t>
    </r>
  </si>
  <si>
    <r>
      <t>FP</t>
    </r>
    <r>
      <rPr>
        <vertAlign val="subscript"/>
        <sz val="10"/>
        <rFont val="Verdana"/>
      </rPr>
      <t>0</t>
    </r>
    <r>
      <rPr>
        <sz val="12"/>
        <color theme="1"/>
        <rFont val="Calibri"/>
        <family val="2"/>
        <scheme val="minor"/>
      </rPr>
      <t xml:space="preserve"> =</t>
    </r>
  </si>
  <si>
    <r>
      <t>Necesidad de B</t>
    </r>
    <r>
      <rPr>
        <vertAlign val="subscript"/>
        <sz val="10"/>
        <rFont val="Verdana"/>
      </rPr>
      <t>2</t>
    </r>
    <r>
      <rPr>
        <sz val="12"/>
        <color theme="1"/>
        <rFont val="Calibri"/>
        <family val="2"/>
        <scheme val="minor"/>
      </rPr>
      <t xml:space="preserve">  =</t>
    </r>
  </si>
  <si>
    <r>
      <t>FP</t>
    </r>
    <r>
      <rPr>
        <vertAlign val="subscript"/>
        <sz val="10"/>
        <rFont val="Verdana"/>
      </rPr>
      <t>1</t>
    </r>
    <r>
      <rPr>
        <sz val="12"/>
        <color theme="1"/>
        <rFont val="Calibri"/>
        <family val="2"/>
        <scheme val="minor"/>
      </rPr>
      <t xml:space="preserve"> =</t>
    </r>
  </si>
  <si>
    <r>
      <t>Necesidad de B</t>
    </r>
    <r>
      <rPr>
        <vertAlign val="subscript"/>
        <sz val="10"/>
        <rFont val="Verdana"/>
      </rPr>
      <t>3</t>
    </r>
    <r>
      <rPr>
        <sz val="12"/>
        <color theme="1"/>
        <rFont val="Calibri"/>
        <family val="2"/>
        <scheme val="minor"/>
      </rPr>
      <t xml:space="preserve">  =</t>
    </r>
  </si>
  <si>
    <r>
      <t>FP</t>
    </r>
    <r>
      <rPr>
        <vertAlign val="subscript"/>
        <sz val="10"/>
        <rFont val="Verdana"/>
      </rPr>
      <t>2</t>
    </r>
    <r>
      <rPr>
        <sz val="12"/>
        <color theme="1"/>
        <rFont val="Calibri"/>
        <family val="2"/>
        <scheme val="minor"/>
      </rPr>
      <t xml:space="preserve"> =</t>
    </r>
  </si>
  <si>
    <t>Necesidad de D0  =</t>
  </si>
  <si>
    <t>Necesidad de E0  =</t>
  </si>
  <si>
    <t>FP-1 =</t>
  </si>
  <si>
    <t>Necesidad de D1  =</t>
  </si>
  <si>
    <t>Necesidad de E1  =</t>
  </si>
  <si>
    <t>FP0=</t>
  </si>
  <si>
    <t>Necesidad de D2  =</t>
  </si>
  <si>
    <t>Necesidad de E2  =</t>
  </si>
  <si>
    <t>FP1 =</t>
  </si>
  <si>
    <t>MRP del cuero</t>
  </si>
  <si>
    <t>MRP de las platillas</t>
  </si>
  <si>
    <t>MRP de las suelas</t>
  </si>
  <si>
    <t>Cuero</t>
  </si>
  <si>
    <t>Platilla</t>
  </si>
  <si>
    <t>Suela</t>
  </si>
  <si>
    <t>Conversiones</t>
  </si>
  <si>
    <t xml:space="preserve"> --</t>
  </si>
  <si>
    <t>MRP</t>
  </si>
  <si>
    <t>CRP</t>
  </si>
  <si>
    <t>Tiempo Disponible</t>
  </si>
  <si>
    <t>Estimación de las necesidades de maquinaria y personal</t>
  </si>
  <si>
    <t>Takt Time</t>
  </si>
  <si>
    <t>Estimación de la demanda</t>
  </si>
  <si>
    <t>Número de operarios</t>
  </si>
  <si>
    <t>Estimación de Recursos</t>
  </si>
  <si>
    <t>Corte</t>
  </si>
  <si>
    <t>Costura</t>
  </si>
  <si>
    <t>Célula</t>
  </si>
  <si>
    <t>Ensuelado</t>
  </si>
  <si>
    <t>Empacado</t>
  </si>
  <si>
    <t>Número máquinas</t>
  </si>
  <si>
    <t>Inversión en maquinaria</t>
  </si>
  <si>
    <t>Gasto en salarios</t>
  </si>
  <si>
    <t>Carga mes 1</t>
  </si>
  <si>
    <t>Carga mes 2</t>
  </si>
  <si>
    <t>Carga mes 3</t>
  </si>
  <si>
    <t>Horas extra</t>
  </si>
  <si>
    <t>Tiempo disponible real</t>
  </si>
  <si>
    <t>Demanda mensual</t>
  </si>
  <si>
    <t>Producto</t>
  </si>
  <si>
    <t>A</t>
  </si>
  <si>
    <t>B</t>
  </si>
  <si>
    <t>C</t>
  </si>
  <si>
    <t xml:space="preserve">Dias </t>
  </si>
  <si>
    <t>Fabricacion diaria</t>
  </si>
  <si>
    <t>Tiempo disponible diario</t>
  </si>
  <si>
    <t>Heijunka</t>
  </si>
  <si>
    <t>Producción nivelada: AACCB-AACCB-AACCB</t>
  </si>
  <si>
    <t>Tiempo de carga</t>
  </si>
  <si>
    <t>Inicio</t>
  </si>
  <si>
    <t>Fin</t>
  </si>
  <si>
    <t>Charola</t>
  </si>
  <si>
    <t>TD</t>
  </si>
  <si>
    <t>Al final del día tengo</t>
  </si>
  <si>
    <t>PV</t>
  </si>
  <si>
    <t>CMP</t>
  </si>
  <si>
    <t>Mcon</t>
  </si>
  <si>
    <t>Ingresos</t>
  </si>
  <si>
    <t>UAII</t>
  </si>
  <si>
    <t>Gastos de Op</t>
  </si>
  <si>
    <t>Ch</t>
  </si>
  <si>
    <t>Mano de obra</t>
  </si>
  <si>
    <t>Necesidad</t>
  </si>
  <si>
    <t>CDMh</t>
  </si>
  <si>
    <t>TOTAL</t>
  </si>
  <si>
    <t>Cola</t>
  </si>
  <si>
    <t>Cola de dieta</t>
  </si>
  <si>
    <t>Naranja</t>
  </si>
  <si>
    <t>Club Soda</t>
  </si>
  <si>
    <t>Ginger Ale</t>
  </si>
  <si>
    <t>Lima-limón</t>
  </si>
  <si>
    <t>Faltante</t>
  </si>
  <si>
    <t>Dem. Diaria</t>
  </si>
  <si>
    <t>Carestía</t>
  </si>
  <si>
    <t>Io</t>
  </si>
  <si>
    <t>Días</t>
  </si>
  <si>
    <t>Unidades</t>
  </si>
  <si>
    <t>Producción</t>
  </si>
  <si>
    <t>MINPRT</t>
  </si>
  <si>
    <t>R/ La secuencia que minimiza los faltantes es el tiempo de carestía. El faltante total es de 4.429 unidades.</t>
  </si>
  <si>
    <t>Lima-Limón</t>
  </si>
  <si>
    <t>Q/D</t>
  </si>
  <si>
    <t>Secuencia</t>
  </si>
  <si>
    <t>Inventario actual</t>
  </si>
  <si>
    <t>Demanda (galones/día)</t>
  </si>
  <si>
    <t>Tiempo de embotellado (h)</t>
  </si>
  <si>
    <t>Lote económico (galones)</t>
  </si>
  <si>
    <t>Sabor</t>
  </si>
  <si>
    <t>Ord. Ret.</t>
  </si>
  <si>
    <t>Promedio</t>
  </si>
  <si>
    <t>Atraso</t>
  </si>
  <si>
    <t>FP</t>
  </si>
  <si>
    <t>F. Llegada</t>
  </si>
  <si>
    <t>Tarea</t>
  </si>
  <si>
    <t>O2</t>
  </si>
  <si>
    <t>O1</t>
  </si>
  <si>
    <t>RAZÓN CRÍTICA</t>
  </si>
  <si>
    <t>reduce ligeramente el retraso promedio.</t>
  </si>
  <si>
    <t>R/ Ambos métodos implican 6 órdenes retrasadas, pero la razón crítica</t>
  </si>
  <si>
    <t>MINSOP</t>
  </si>
  <si>
    <t>Sec. RC</t>
  </si>
  <si>
    <t>Razón crítica</t>
  </si>
  <si>
    <t>Sec. Minsop</t>
  </si>
  <si>
    <t>Máquina 2</t>
  </si>
  <si>
    <t>Máquina 1</t>
  </si>
  <si>
    <t>Fecha de entrega</t>
  </si>
  <si>
    <t>Fecha de llegada</t>
  </si>
  <si>
    <t>Tiempo de proc. (días)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</si>
</sst>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"/>
    <numFmt numFmtId="165" formatCode="0.0000"/>
    <numFmt numFmtId="166" formatCode="_-[$$-409]* #,##0.00_ ;_-[$$-409]* \-#,##0.00\ ;_-[$$-409]* &quot;-&quot;??_ ;_-@_ "/>
    <numFmt numFmtId="167" formatCode="_-[$$-409]* #,##0_ ;_-[$$-409]* \-#,##0\ ;_-[$$-409]* &quot;-&quot;_ ;_-@_ "/>
    <numFmt numFmtId="168" formatCode="0_ ;\-0\ "/>
    <numFmt numFmtId="169" formatCode="#,##0_ ;\-#,##0\ "/>
    <numFmt numFmtId="170" formatCode="_-* #,##0_-;\-* #,##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Verdana"/>
    </font>
    <font>
      <sz val="10"/>
      <name val="Verdana"/>
    </font>
    <font>
      <b/>
      <sz val="10"/>
      <color indexed="10"/>
      <name val="Verdana"/>
    </font>
    <font>
      <vertAlign val="subscript"/>
      <sz val="10"/>
      <name val="Verdana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1" applyFont="1" applyBorder="1"/>
    <xf numFmtId="0" fontId="7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/>
    <xf numFmtId="0" fontId="9" fillId="0" borderId="1" xfId="0" applyFont="1" applyBorder="1"/>
    <xf numFmtId="164" fontId="0" fillId="0" borderId="0" xfId="0" applyNumberForma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0" fontId="8" fillId="0" borderId="1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3" fontId="14" fillId="0" borderId="0" xfId="0" applyNumberFormat="1" applyFont="1"/>
    <xf numFmtId="0" fontId="14" fillId="0" borderId="0" xfId="0" applyFont="1"/>
    <xf numFmtId="3" fontId="13" fillId="0" borderId="0" xfId="0" applyNumberFormat="1" applyFont="1"/>
    <xf numFmtId="4" fontId="13" fillId="0" borderId="0" xfId="0" applyNumberFormat="1" applyFont="1"/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68" fontId="13" fillId="0" borderId="0" xfId="144" applyNumberFormat="1" applyFont="1" applyFill="1" applyBorder="1" applyAlignment="1">
      <alignment horizontal="center" vertical="center" wrapText="1"/>
    </xf>
    <xf numFmtId="169" fontId="13" fillId="0" borderId="5" xfId="144" applyNumberFormat="1" applyFont="1" applyBorder="1" applyAlignment="1">
      <alignment horizontal="center" vertical="center" wrapText="1"/>
    </xf>
    <xf numFmtId="169" fontId="13" fillId="0" borderId="6" xfId="144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70" fontId="13" fillId="0" borderId="6" xfId="144" applyNumberFormat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169" fontId="13" fillId="0" borderId="8" xfId="144" applyNumberFormat="1" applyFont="1" applyBorder="1" applyAlignment="1">
      <alignment horizontal="center" vertical="center" wrapText="1"/>
    </xf>
    <xf numFmtId="169" fontId="13" fillId="0" borderId="1" xfId="144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0" fontId="13" fillId="0" borderId="1" xfId="144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2" fillId="0" borderId="0" xfId="0" applyFont="1"/>
    <xf numFmtId="2" fontId="12" fillId="2" borderId="1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63">
    <cellStyle name="Comma" xfId="144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50" zoomScaleNormal="150" zoomScalePageLayoutView="150" workbookViewId="0">
      <selection activeCell="M16" sqref="M16"/>
    </sheetView>
  </sheetViews>
  <sheetFormatPr baseColWidth="10" defaultRowHeight="15" x14ac:dyDescent="0"/>
  <cols>
    <col min="2" max="2" width="11.5" customWidth="1"/>
    <col min="5" max="5" width="10.83203125" customWidth="1"/>
    <col min="7" max="7" width="9.6640625" customWidth="1"/>
    <col min="8" max="8" width="10.1640625" customWidth="1"/>
  </cols>
  <sheetData>
    <row r="1" spans="1:1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6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42">
      <c r="A3" s="36"/>
      <c r="B3" s="60" t="s">
        <v>117</v>
      </c>
      <c r="C3" s="59" t="s">
        <v>116</v>
      </c>
      <c r="D3" s="59" t="s">
        <v>115</v>
      </c>
      <c r="E3" s="59" t="s">
        <v>114</v>
      </c>
      <c r="F3" s="58" t="s">
        <v>113</v>
      </c>
      <c r="G3" s="57" t="s">
        <v>111</v>
      </c>
      <c r="H3" s="57" t="s">
        <v>112</v>
      </c>
      <c r="I3" s="36"/>
      <c r="J3" s="36"/>
      <c r="K3" s="36"/>
    </row>
    <row r="4" spans="1:11">
      <c r="A4" s="36"/>
      <c r="B4" s="56" t="s">
        <v>95</v>
      </c>
      <c r="C4" s="55">
        <v>7500</v>
      </c>
      <c r="D4" s="54">
        <v>32</v>
      </c>
      <c r="E4" s="53">
        <v>3000</v>
      </c>
      <c r="F4" s="52">
        <v>5000</v>
      </c>
      <c r="G4" s="41">
        <f t="shared" ref="G4:G9" si="0">F4/E4</f>
        <v>1.6666666666666667</v>
      </c>
      <c r="H4" s="46">
        <v>1</v>
      </c>
      <c r="I4" s="36"/>
      <c r="J4" s="36"/>
      <c r="K4" s="36"/>
    </row>
    <row r="5" spans="1:11">
      <c r="A5" s="36"/>
      <c r="B5" s="56" t="s">
        <v>97</v>
      </c>
      <c r="C5" s="55">
        <v>4000</v>
      </c>
      <c r="D5" s="54">
        <v>17</v>
      </c>
      <c r="E5" s="53">
        <v>1000</v>
      </c>
      <c r="F5" s="52">
        <v>3000</v>
      </c>
      <c r="G5" s="41">
        <f t="shared" si="0"/>
        <v>3</v>
      </c>
      <c r="H5" s="46">
        <v>6</v>
      </c>
      <c r="I5" s="36"/>
      <c r="J5" s="36"/>
      <c r="K5" s="36"/>
    </row>
    <row r="6" spans="1:11" ht="15" customHeight="1">
      <c r="A6" s="36"/>
      <c r="B6" s="56" t="s">
        <v>96</v>
      </c>
      <c r="C6" s="55">
        <v>5000</v>
      </c>
      <c r="D6" s="54">
        <v>21</v>
      </c>
      <c r="E6" s="53">
        <v>2000</v>
      </c>
      <c r="F6" s="52">
        <v>4500</v>
      </c>
      <c r="G6" s="41">
        <f t="shared" si="0"/>
        <v>2.25</v>
      </c>
      <c r="H6" s="46">
        <v>4</v>
      </c>
      <c r="I6" s="36"/>
      <c r="J6" s="36"/>
      <c r="K6" s="36"/>
    </row>
    <row r="7" spans="1:11">
      <c r="A7" s="36"/>
      <c r="B7" s="56" t="s">
        <v>100</v>
      </c>
      <c r="C7" s="55">
        <v>2000</v>
      </c>
      <c r="D7" s="54">
        <v>8</v>
      </c>
      <c r="E7" s="53">
        <v>800</v>
      </c>
      <c r="F7" s="52">
        <v>1500</v>
      </c>
      <c r="G7" s="41">
        <f t="shared" si="0"/>
        <v>1.875</v>
      </c>
      <c r="H7" s="46">
        <v>3</v>
      </c>
      <c r="I7" s="36"/>
      <c r="J7" s="36"/>
      <c r="K7" s="36"/>
    </row>
    <row r="8" spans="1:11" ht="15" customHeight="1">
      <c r="A8" s="36"/>
      <c r="B8" s="56" t="s">
        <v>99</v>
      </c>
      <c r="C8" s="55">
        <v>3000</v>
      </c>
      <c r="D8" s="54">
        <v>13</v>
      </c>
      <c r="E8" s="53">
        <v>700</v>
      </c>
      <c r="F8" s="52">
        <v>2000</v>
      </c>
      <c r="G8" s="41">
        <f t="shared" si="0"/>
        <v>2.8571428571428572</v>
      </c>
      <c r="H8" s="46">
        <v>5</v>
      </c>
      <c r="I8" s="36"/>
      <c r="J8" s="36"/>
      <c r="K8" s="36"/>
    </row>
    <row r="9" spans="1:11" ht="16" thickBot="1">
      <c r="A9" s="36"/>
      <c r="B9" s="51" t="s">
        <v>98</v>
      </c>
      <c r="C9" s="50">
        <v>3500</v>
      </c>
      <c r="D9" s="49">
        <v>15</v>
      </c>
      <c r="E9" s="48">
        <v>1200</v>
      </c>
      <c r="F9" s="47">
        <v>2100</v>
      </c>
      <c r="G9" s="41">
        <f t="shared" si="0"/>
        <v>1.75</v>
      </c>
      <c r="H9" s="46">
        <v>2</v>
      </c>
      <c r="I9" s="36"/>
      <c r="J9" s="36"/>
      <c r="K9" s="36"/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>
      <c r="A12" s="38" t="s">
        <v>111</v>
      </c>
      <c r="B12" s="44" t="s">
        <v>107</v>
      </c>
      <c r="C12" s="44" t="s">
        <v>106</v>
      </c>
      <c r="D12" s="44" t="s">
        <v>79</v>
      </c>
      <c r="E12" s="44" t="s">
        <v>80</v>
      </c>
      <c r="F12" s="44" t="s">
        <v>105</v>
      </c>
      <c r="G12" s="44" t="s">
        <v>104</v>
      </c>
      <c r="H12" s="44" t="s">
        <v>103</v>
      </c>
      <c r="I12" s="44" t="s">
        <v>102</v>
      </c>
      <c r="J12" s="44" t="s">
        <v>101</v>
      </c>
      <c r="K12" s="44"/>
    </row>
    <row r="13" spans="1:11">
      <c r="A13" s="36"/>
      <c r="B13" s="36" t="s">
        <v>95</v>
      </c>
      <c r="C13" s="39">
        <v>7500</v>
      </c>
      <c r="D13" s="42">
        <v>0</v>
      </c>
      <c r="E13" s="42">
        <v>32</v>
      </c>
      <c r="F13" s="41">
        <f t="shared" ref="F13:F18" si="1">E13/24</f>
        <v>1.3333333333333333</v>
      </c>
      <c r="G13" s="39">
        <v>5000</v>
      </c>
      <c r="H13" s="40">
        <f t="shared" ref="H13:H18" si="2">G13/I13</f>
        <v>1.6666666666666667</v>
      </c>
      <c r="I13" s="39">
        <v>3000</v>
      </c>
      <c r="J13" s="39">
        <f t="shared" ref="J13:J18" si="3">IF(H13&gt;F13,0,(F13-H13)*I13)</f>
        <v>0</v>
      </c>
      <c r="K13" s="36"/>
    </row>
    <row r="14" spans="1:11">
      <c r="A14" s="36"/>
      <c r="B14" s="45" t="s">
        <v>98</v>
      </c>
      <c r="C14" s="39">
        <v>3500</v>
      </c>
      <c r="D14" s="42">
        <f>E13</f>
        <v>32</v>
      </c>
      <c r="E14" s="42">
        <f>D14+15</f>
        <v>47</v>
      </c>
      <c r="F14" s="41">
        <f t="shared" si="1"/>
        <v>1.9583333333333333</v>
      </c>
      <c r="G14" s="39">
        <v>2100</v>
      </c>
      <c r="H14" s="40">
        <f t="shared" si="2"/>
        <v>1.75</v>
      </c>
      <c r="I14" s="39">
        <v>1200</v>
      </c>
      <c r="J14" s="39">
        <f t="shared" si="3"/>
        <v>249.99999999999991</v>
      </c>
      <c r="K14" s="36"/>
    </row>
    <row r="15" spans="1:11">
      <c r="A15" s="36"/>
      <c r="B15" s="45" t="s">
        <v>110</v>
      </c>
      <c r="C15" s="39">
        <v>2000</v>
      </c>
      <c r="D15" s="42">
        <f>E14</f>
        <v>47</v>
      </c>
      <c r="E15" s="42">
        <f>D15+8</f>
        <v>55</v>
      </c>
      <c r="F15" s="41">
        <f t="shared" si="1"/>
        <v>2.2916666666666665</v>
      </c>
      <c r="G15" s="39">
        <v>1500</v>
      </c>
      <c r="H15" s="40">
        <f t="shared" si="2"/>
        <v>1.875</v>
      </c>
      <c r="I15" s="39">
        <v>800</v>
      </c>
      <c r="J15" s="39">
        <f t="shared" si="3"/>
        <v>333.3333333333332</v>
      </c>
      <c r="K15" s="36"/>
    </row>
    <row r="16" spans="1:11">
      <c r="A16" s="36"/>
      <c r="B16" s="45" t="s">
        <v>96</v>
      </c>
      <c r="C16" s="39">
        <v>5000</v>
      </c>
      <c r="D16" s="42">
        <f>E15</f>
        <v>55</v>
      </c>
      <c r="E16" s="42">
        <f>D16+21</f>
        <v>76</v>
      </c>
      <c r="F16" s="41">
        <f t="shared" si="1"/>
        <v>3.1666666666666665</v>
      </c>
      <c r="G16" s="39">
        <v>4500</v>
      </c>
      <c r="H16" s="40">
        <f t="shared" si="2"/>
        <v>2.25</v>
      </c>
      <c r="I16" s="39">
        <v>2000</v>
      </c>
      <c r="J16" s="39">
        <f t="shared" si="3"/>
        <v>1833.333333333333</v>
      </c>
      <c r="K16" s="36"/>
    </row>
    <row r="17" spans="1:11">
      <c r="A17" s="36"/>
      <c r="B17" s="45" t="s">
        <v>99</v>
      </c>
      <c r="C17" s="39">
        <v>3000</v>
      </c>
      <c r="D17" s="42">
        <f>E16</f>
        <v>76</v>
      </c>
      <c r="E17" s="42">
        <f>D17+13</f>
        <v>89</v>
      </c>
      <c r="F17" s="41">
        <f t="shared" si="1"/>
        <v>3.7083333333333335</v>
      </c>
      <c r="G17" s="39">
        <v>2000</v>
      </c>
      <c r="H17" s="40">
        <f t="shared" si="2"/>
        <v>2.8571428571428572</v>
      </c>
      <c r="I17" s="39">
        <v>700</v>
      </c>
      <c r="J17" s="39">
        <f t="shared" si="3"/>
        <v>595.83333333333337</v>
      </c>
      <c r="K17" s="36"/>
    </row>
    <row r="18" spans="1:11">
      <c r="A18" s="36"/>
      <c r="B18" s="45" t="s">
        <v>97</v>
      </c>
      <c r="C18" s="39">
        <v>4000</v>
      </c>
      <c r="D18" s="42">
        <f>E17</f>
        <v>89</v>
      </c>
      <c r="E18" s="42">
        <f>D18+17</f>
        <v>106</v>
      </c>
      <c r="F18" s="41">
        <f t="shared" si="1"/>
        <v>4.416666666666667</v>
      </c>
      <c r="G18" s="39">
        <v>3000</v>
      </c>
      <c r="H18" s="40">
        <f t="shared" si="2"/>
        <v>3</v>
      </c>
      <c r="I18" s="39">
        <v>1000</v>
      </c>
      <c r="J18" s="39">
        <f t="shared" si="3"/>
        <v>1416.666666666667</v>
      </c>
      <c r="K18" s="36"/>
    </row>
    <row r="19" spans="1:11">
      <c r="A19" s="36"/>
      <c r="B19" s="36"/>
      <c r="C19" s="36"/>
      <c r="D19" s="36"/>
      <c r="E19" s="36"/>
      <c r="F19" s="36"/>
      <c r="G19" s="36"/>
      <c r="H19" s="36"/>
      <c r="I19" s="38" t="s">
        <v>94</v>
      </c>
      <c r="J19" s="37">
        <f>SUM(J13:J18)</f>
        <v>4429.1666666666661</v>
      </c>
      <c r="K19" s="36"/>
    </row>
    <row r="20" spans="1:1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>
      <c r="A21" s="36"/>
      <c r="B21" s="36" t="s">
        <v>109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1:1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>
      <c r="A24" s="38" t="s">
        <v>108</v>
      </c>
      <c r="B24" s="44" t="s">
        <v>107</v>
      </c>
      <c r="C24" s="44" t="s">
        <v>106</v>
      </c>
      <c r="D24" s="44" t="s">
        <v>79</v>
      </c>
      <c r="E24" s="44" t="s">
        <v>80</v>
      </c>
      <c r="F24" s="44" t="s">
        <v>105</v>
      </c>
      <c r="G24" s="44" t="s">
        <v>104</v>
      </c>
      <c r="H24" s="44" t="s">
        <v>103</v>
      </c>
      <c r="I24" s="44" t="s">
        <v>102</v>
      </c>
      <c r="J24" s="44" t="s">
        <v>101</v>
      </c>
      <c r="K24" s="36"/>
    </row>
    <row r="25" spans="1:11">
      <c r="A25" s="36"/>
      <c r="B25" s="43" t="s">
        <v>100</v>
      </c>
      <c r="C25" s="39">
        <v>2000</v>
      </c>
      <c r="D25" s="42">
        <v>0</v>
      </c>
      <c r="E25" s="42">
        <v>8</v>
      </c>
      <c r="F25" s="41">
        <f t="shared" ref="F25:F30" si="4">E25/24</f>
        <v>0.33333333333333331</v>
      </c>
      <c r="G25" s="39">
        <v>1500</v>
      </c>
      <c r="H25" s="40">
        <f t="shared" ref="H25:H30" si="5">G25/I25</f>
        <v>1.875</v>
      </c>
      <c r="I25" s="39">
        <v>800</v>
      </c>
      <c r="J25" s="39">
        <f t="shared" ref="J25:J30" si="6">IF(H25&gt;F25,0,(F25-H25)*I25)</f>
        <v>0</v>
      </c>
      <c r="K25" s="36"/>
    </row>
    <row r="26" spans="1:11">
      <c r="A26" s="36"/>
      <c r="B26" s="43" t="s">
        <v>99</v>
      </c>
      <c r="C26" s="39">
        <v>3000</v>
      </c>
      <c r="D26" s="42">
        <f>E25</f>
        <v>8</v>
      </c>
      <c r="E26" s="42">
        <f>D26+13</f>
        <v>21</v>
      </c>
      <c r="F26" s="41">
        <f t="shared" si="4"/>
        <v>0.875</v>
      </c>
      <c r="G26" s="39">
        <v>2000</v>
      </c>
      <c r="H26" s="40">
        <f t="shared" si="5"/>
        <v>2.8571428571428572</v>
      </c>
      <c r="I26" s="39">
        <v>700</v>
      </c>
      <c r="J26" s="39">
        <f t="shared" si="6"/>
        <v>0</v>
      </c>
      <c r="K26" s="36"/>
    </row>
    <row r="27" spans="1:11">
      <c r="A27" s="36"/>
      <c r="B27" s="43" t="s">
        <v>98</v>
      </c>
      <c r="C27" s="39">
        <v>3500</v>
      </c>
      <c r="D27" s="42">
        <f>E26</f>
        <v>21</v>
      </c>
      <c r="E27" s="42">
        <f>D27+15</f>
        <v>36</v>
      </c>
      <c r="F27" s="41">
        <f t="shared" si="4"/>
        <v>1.5</v>
      </c>
      <c r="G27" s="39">
        <v>2100</v>
      </c>
      <c r="H27" s="40">
        <f t="shared" si="5"/>
        <v>1.75</v>
      </c>
      <c r="I27" s="39">
        <v>1200</v>
      </c>
      <c r="J27" s="39">
        <f t="shared" si="6"/>
        <v>0</v>
      </c>
      <c r="K27" s="36"/>
    </row>
    <row r="28" spans="1:11">
      <c r="A28" s="36"/>
      <c r="B28" s="43" t="s">
        <v>97</v>
      </c>
      <c r="C28" s="39">
        <v>4000</v>
      </c>
      <c r="D28" s="42">
        <f>E27</f>
        <v>36</v>
      </c>
      <c r="E28" s="42">
        <f>D28+17</f>
        <v>53</v>
      </c>
      <c r="F28" s="41">
        <f t="shared" si="4"/>
        <v>2.2083333333333335</v>
      </c>
      <c r="G28" s="39">
        <v>3000</v>
      </c>
      <c r="H28" s="40">
        <f t="shared" si="5"/>
        <v>3</v>
      </c>
      <c r="I28" s="39">
        <v>1000</v>
      </c>
      <c r="J28" s="39">
        <f t="shared" si="6"/>
        <v>0</v>
      </c>
      <c r="K28" s="36"/>
    </row>
    <row r="29" spans="1:11">
      <c r="A29" s="36"/>
      <c r="B29" s="43" t="s">
        <v>96</v>
      </c>
      <c r="C29" s="39">
        <v>5000</v>
      </c>
      <c r="D29" s="42">
        <f>E28</f>
        <v>53</v>
      </c>
      <c r="E29" s="42">
        <f>D29+21</f>
        <v>74</v>
      </c>
      <c r="F29" s="41">
        <f t="shared" si="4"/>
        <v>3.0833333333333335</v>
      </c>
      <c r="G29" s="39">
        <v>4500</v>
      </c>
      <c r="H29" s="40">
        <f t="shared" si="5"/>
        <v>2.25</v>
      </c>
      <c r="I29" s="39">
        <v>2000</v>
      </c>
      <c r="J29" s="39">
        <f t="shared" si="6"/>
        <v>1666.666666666667</v>
      </c>
      <c r="K29" s="36"/>
    </row>
    <row r="30" spans="1:11">
      <c r="A30" s="36"/>
      <c r="B30" s="43" t="s">
        <v>95</v>
      </c>
      <c r="C30" s="39">
        <v>7500</v>
      </c>
      <c r="D30" s="42">
        <f>E29</f>
        <v>74</v>
      </c>
      <c r="E30" s="42">
        <f>D30+32</f>
        <v>106</v>
      </c>
      <c r="F30" s="41">
        <f t="shared" si="4"/>
        <v>4.416666666666667</v>
      </c>
      <c r="G30" s="39">
        <v>5000</v>
      </c>
      <c r="H30" s="40">
        <f t="shared" si="5"/>
        <v>1.6666666666666667</v>
      </c>
      <c r="I30" s="39">
        <v>3000</v>
      </c>
      <c r="J30" s="39">
        <f t="shared" si="6"/>
        <v>8250</v>
      </c>
      <c r="K30" s="36"/>
    </row>
    <row r="31" spans="1:11">
      <c r="A31" s="36"/>
      <c r="B31" s="36"/>
      <c r="C31" s="36"/>
      <c r="D31" s="36"/>
      <c r="E31" s="36"/>
      <c r="F31" s="36"/>
      <c r="G31" s="36"/>
      <c r="H31" s="36"/>
      <c r="I31" s="38" t="s">
        <v>94</v>
      </c>
      <c r="J31" s="37">
        <f>SUM(J25:J30)</f>
        <v>9916.6666666666679</v>
      </c>
      <c r="K31" s="3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50" zoomScaleNormal="150" zoomScalePageLayoutView="150" workbookViewId="0">
      <selection activeCell="K17" sqref="K17"/>
    </sheetView>
  </sheetViews>
  <sheetFormatPr baseColWidth="10" defaultRowHeight="15" x14ac:dyDescent="0"/>
  <sheetData>
    <row r="1" spans="1:11" ht="18" customHeight="1">
      <c r="B1" s="43"/>
      <c r="C1" s="43"/>
      <c r="D1" s="43"/>
      <c r="E1" s="69" t="s">
        <v>137</v>
      </c>
      <c r="F1" s="69"/>
    </row>
    <row r="2" spans="1:11" ht="28">
      <c r="B2" s="68" t="s">
        <v>123</v>
      </c>
      <c r="C2" s="68" t="s">
        <v>136</v>
      </c>
      <c r="D2" s="68" t="s">
        <v>135</v>
      </c>
      <c r="E2" s="68" t="s">
        <v>134</v>
      </c>
      <c r="F2" s="68" t="s">
        <v>133</v>
      </c>
      <c r="G2" s="67" t="s">
        <v>129</v>
      </c>
      <c r="H2" s="67" t="s">
        <v>132</v>
      </c>
      <c r="I2" s="67" t="s">
        <v>131</v>
      </c>
      <c r="J2" s="67" t="s">
        <v>130</v>
      </c>
    </row>
    <row r="3" spans="1:11">
      <c r="B3" s="54">
        <v>1</v>
      </c>
      <c r="C3" s="54">
        <v>0</v>
      </c>
      <c r="D3" s="54">
        <v>6</v>
      </c>
      <c r="E3" s="54">
        <v>1</v>
      </c>
      <c r="F3" s="54">
        <v>3</v>
      </c>
      <c r="G3" s="34">
        <f t="shared" ref="G3:G9" si="0">(D3-C3)-(E3+F3)</f>
        <v>2</v>
      </c>
      <c r="H3" s="65">
        <v>4</v>
      </c>
      <c r="I3" s="66">
        <f t="shared" ref="I3:I9" si="1">(D3-C3)/(E3+F3)</f>
        <v>1.5</v>
      </c>
      <c r="J3" s="65">
        <v>5</v>
      </c>
    </row>
    <row r="4" spans="1:11">
      <c r="B4" s="54">
        <v>2</v>
      </c>
      <c r="C4" s="54">
        <v>1</v>
      </c>
      <c r="D4" s="54">
        <v>6</v>
      </c>
      <c r="E4" s="54">
        <v>4</v>
      </c>
      <c r="F4" s="54">
        <v>1</v>
      </c>
      <c r="G4" s="34">
        <f t="shared" si="0"/>
        <v>0</v>
      </c>
      <c r="H4" s="65">
        <v>1</v>
      </c>
      <c r="I4" s="66">
        <f t="shared" si="1"/>
        <v>1</v>
      </c>
      <c r="J4" s="65">
        <v>1</v>
      </c>
    </row>
    <row r="5" spans="1:11">
      <c r="B5" s="54">
        <v>3</v>
      </c>
      <c r="C5" s="54">
        <v>2</v>
      </c>
      <c r="D5" s="54">
        <v>12</v>
      </c>
      <c r="E5" s="54">
        <v>5</v>
      </c>
      <c r="F5" s="54">
        <v>4</v>
      </c>
      <c r="G5" s="34">
        <f t="shared" si="0"/>
        <v>1</v>
      </c>
      <c r="H5" s="65">
        <v>3</v>
      </c>
      <c r="I5" s="66">
        <f t="shared" si="1"/>
        <v>1.1111111111111112</v>
      </c>
      <c r="J5" s="65">
        <v>3</v>
      </c>
    </row>
    <row r="6" spans="1:11">
      <c r="B6" s="54">
        <v>4</v>
      </c>
      <c r="C6" s="54">
        <v>4</v>
      </c>
      <c r="D6" s="54">
        <v>8</v>
      </c>
      <c r="E6" s="54">
        <v>3</v>
      </c>
      <c r="F6" s="54">
        <v>1</v>
      </c>
      <c r="G6" s="34">
        <f t="shared" si="0"/>
        <v>0</v>
      </c>
      <c r="H6" s="65">
        <v>2</v>
      </c>
      <c r="I6" s="66">
        <f t="shared" si="1"/>
        <v>1</v>
      </c>
      <c r="J6" s="65">
        <v>2</v>
      </c>
    </row>
    <row r="7" spans="1:11">
      <c r="B7" s="54">
        <v>5</v>
      </c>
      <c r="C7" s="54">
        <v>6</v>
      </c>
      <c r="D7" s="54">
        <v>15</v>
      </c>
      <c r="E7" s="54">
        <v>1</v>
      </c>
      <c r="F7" s="54">
        <v>3</v>
      </c>
      <c r="G7" s="34">
        <f t="shared" si="0"/>
        <v>5</v>
      </c>
      <c r="H7" s="65">
        <v>7</v>
      </c>
      <c r="I7" s="66">
        <f t="shared" si="1"/>
        <v>2.25</v>
      </c>
      <c r="J7" s="65">
        <v>7</v>
      </c>
    </row>
    <row r="8" spans="1:11">
      <c r="B8" s="54">
        <v>6</v>
      </c>
      <c r="C8" s="54">
        <v>8</v>
      </c>
      <c r="D8" s="54">
        <v>16</v>
      </c>
      <c r="E8" s="54">
        <v>4</v>
      </c>
      <c r="F8" s="54">
        <v>2</v>
      </c>
      <c r="G8" s="34">
        <f t="shared" si="0"/>
        <v>2</v>
      </c>
      <c r="H8" s="65">
        <v>5</v>
      </c>
      <c r="I8" s="66">
        <f t="shared" si="1"/>
        <v>1.3333333333333333</v>
      </c>
      <c r="J8" s="65">
        <v>4</v>
      </c>
    </row>
    <row r="9" spans="1:11">
      <c r="B9" s="54">
        <v>7</v>
      </c>
      <c r="C9" s="54">
        <v>10</v>
      </c>
      <c r="D9" s="54">
        <v>20</v>
      </c>
      <c r="E9" s="54">
        <v>1</v>
      </c>
      <c r="F9" s="54">
        <v>5</v>
      </c>
      <c r="G9" s="34">
        <f t="shared" si="0"/>
        <v>4</v>
      </c>
      <c r="H9" s="65">
        <v>6</v>
      </c>
      <c r="I9" s="66">
        <f t="shared" si="1"/>
        <v>1.6666666666666667</v>
      </c>
      <c r="J9" s="65">
        <v>6</v>
      </c>
    </row>
    <row r="11" spans="1:11">
      <c r="A11" s="62" t="s">
        <v>129</v>
      </c>
      <c r="D11" s="70" t="s">
        <v>125</v>
      </c>
      <c r="E11" s="71"/>
      <c r="F11" s="70" t="s">
        <v>124</v>
      </c>
      <c r="G11" s="71"/>
    </row>
    <row r="12" spans="1:11">
      <c r="B12" s="64" t="s">
        <v>123</v>
      </c>
      <c r="C12" s="64" t="s">
        <v>122</v>
      </c>
      <c r="D12" s="64" t="s">
        <v>79</v>
      </c>
      <c r="E12" s="64" t="s">
        <v>80</v>
      </c>
      <c r="F12" s="64" t="s">
        <v>79</v>
      </c>
      <c r="G12" s="64" t="s">
        <v>80</v>
      </c>
      <c r="H12" s="64" t="s">
        <v>121</v>
      </c>
      <c r="I12" s="64" t="s">
        <v>120</v>
      </c>
      <c r="J12" s="35"/>
    </row>
    <row r="13" spans="1:11">
      <c r="B13" s="34">
        <v>2</v>
      </c>
      <c r="C13" s="34">
        <v>1</v>
      </c>
      <c r="D13" s="34">
        <v>1</v>
      </c>
      <c r="E13" s="34">
        <v>5</v>
      </c>
      <c r="F13" s="34">
        <f>E13</f>
        <v>5</v>
      </c>
      <c r="G13" s="34">
        <v>6</v>
      </c>
      <c r="H13" s="34">
        <v>6</v>
      </c>
      <c r="I13" s="34">
        <v>0</v>
      </c>
      <c r="J13" s="35"/>
    </row>
    <row r="14" spans="1:11">
      <c r="B14" s="34">
        <v>4</v>
      </c>
      <c r="C14" s="34">
        <v>4</v>
      </c>
      <c r="D14" s="34">
        <f t="shared" ref="D14:D19" si="2">E13</f>
        <v>5</v>
      </c>
      <c r="E14" s="34">
        <v>8</v>
      </c>
      <c r="F14" s="34">
        <f>E14</f>
        <v>8</v>
      </c>
      <c r="G14" s="34">
        <v>9</v>
      </c>
      <c r="H14" s="34">
        <v>8</v>
      </c>
      <c r="I14" s="34">
        <v>1</v>
      </c>
      <c r="J14" s="35"/>
    </row>
    <row r="15" spans="1:11">
      <c r="B15" s="34">
        <v>3</v>
      </c>
      <c r="C15" s="34">
        <v>2</v>
      </c>
      <c r="D15" s="34">
        <f t="shared" si="2"/>
        <v>8</v>
      </c>
      <c r="E15" s="34">
        <v>13</v>
      </c>
      <c r="F15" s="34">
        <f>E15</f>
        <v>13</v>
      </c>
      <c r="G15" s="34">
        <v>17</v>
      </c>
      <c r="H15" s="34">
        <v>12</v>
      </c>
      <c r="I15" s="34">
        <v>5</v>
      </c>
      <c r="J15" s="35"/>
      <c r="K15" t="s">
        <v>128</v>
      </c>
    </row>
    <row r="16" spans="1:11">
      <c r="B16" s="34">
        <v>1</v>
      </c>
      <c r="C16" s="34">
        <v>0</v>
      </c>
      <c r="D16" s="34">
        <f t="shared" si="2"/>
        <v>13</v>
      </c>
      <c r="E16" s="34">
        <v>14</v>
      </c>
      <c r="F16" s="34">
        <v>17</v>
      </c>
      <c r="G16" s="34">
        <v>20</v>
      </c>
      <c r="H16" s="34">
        <v>6</v>
      </c>
      <c r="I16" s="34">
        <v>14</v>
      </c>
      <c r="J16" s="35"/>
      <c r="K16" t="s">
        <v>127</v>
      </c>
    </row>
    <row r="17" spans="1:10">
      <c r="B17" s="34">
        <v>6</v>
      </c>
      <c r="C17" s="34">
        <v>8</v>
      </c>
      <c r="D17" s="34">
        <f t="shared" si="2"/>
        <v>14</v>
      </c>
      <c r="E17" s="34">
        <v>18</v>
      </c>
      <c r="F17" s="34">
        <v>20</v>
      </c>
      <c r="G17" s="34">
        <v>22</v>
      </c>
      <c r="H17" s="34">
        <v>16</v>
      </c>
      <c r="I17" s="34">
        <v>6</v>
      </c>
      <c r="J17" s="35"/>
    </row>
    <row r="18" spans="1:10">
      <c r="B18" s="34">
        <v>7</v>
      </c>
      <c r="C18" s="34">
        <v>10</v>
      </c>
      <c r="D18" s="34">
        <f t="shared" si="2"/>
        <v>18</v>
      </c>
      <c r="E18" s="34">
        <v>19</v>
      </c>
      <c r="F18" s="34">
        <v>22</v>
      </c>
      <c r="G18" s="34">
        <v>27</v>
      </c>
      <c r="H18" s="34">
        <v>20</v>
      </c>
      <c r="I18" s="34">
        <v>7</v>
      </c>
      <c r="J18" s="35"/>
    </row>
    <row r="19" spans="1:10">
      <c r="B19" s="34">
        <v>5</v>
      </c>
      <c r="C19" s="34">
        <v>6</v>
      </c>
      <c r="D19" s="34">
        <f t="shared" si="2"/>
        <v>19</v>
      </c>
      <c r="E19" s="34">
        <v>20</v>
      </c>
      <c r="F19" s="34">
        <v>27</v>
      </c>
      <c r="G19" s="34">
        <v>30</v>
      </c>
      <c r="H19" s="34">
        <v>15</v>
      </c>
      <c r="I19" s="34">
        <v>15</v>
      </c>
    </row>
    <row r="20" spans="1:10">
      <c r="H20" s="62" t="s">
        <v>119</v>
      </c>
      <c r="I20" s="63">
        <f>AVERAGE(I13:I19)</f>
        <v>6.8571428571428568</v>
      </c>
    </row>
    <row r="21" spans="1:10">
      <c r="H21" s="62" t="s">
        <v>118</v>
      </c>
      <c r="I21" s="61">
        <v>6</v>
      </c>
    </row>
    <row r="23" spans="1:10">
      <c r="A23" s="62" t="s">
        <v>126</v>
      </c>
      <c r="D23" s="70" t="s">
        <v>125</v>
      </c>
      <c r="E23" s="71"/>
      <c r="F23" s="70" t="s">
        <v>124</v>
      </c>
      <c r="G23" s="71"/>
    </row>
    <row r="24" spans="1:10">
      <c r="B24" s="64" t="s">
        <v>123</v>
      </c>
      <c r="C24" s="64" t="s">
        <v>122</v>
      </c>
      <c r="D24" s="64" t="s">
        <v>79</v>
      </c>
      <c r="E24" s="64" t="s">
        <v>80</v>
      </c>
      <c r="F24" s="64" t="s">
        <v>79</v>
      </c>
      <c r="G24" s="64" t="s">
        <v>80</v>
      </c>
      <c r="H24" s="64" t="s">
        <v>121</v>
      </c>
      <c r="I24" s="64" t="s">
        <v>120</v>
      </c>
    </row>
    <row r="25" spans="1:10">
      <c r="B25" s="34">
        <v>2</v>
      </c>
      <c r="C25" s="34">
        <v>1</v>
      </c>
      <c r="D25" s="34">
        <v>1</v>
      </c>
      <c r="E25" s="34">
        <v>5</v>
      </c>
      <c r="F25" s="34">
        <f>E25</f>
        <v>5</v>
      </c>
      <c r="G25" s="34">
        <v>6</v>
      </c>
      <c r="H25" s="34">
        <v>6</v>
      </c>
      <c r="I25" s="34">
        <v>0</v>
      </c>
    </row>
    <row r="26" spans="1:10">
      <c r="B26" s="34">
        <v>4</v>
      </c>
      <c r="C26" s="34">
        <v>4</v>
      </c>
      <c r="D26" s="34">
        <f t="shared" ref="D26:D31" si="3">E25</f>
        <v>5</v>
      </c>
      <c r="E26" s="34">
        <v>8</v>
      </c>
      <c r="F26" s="34">
        <f>E26</f>
        <v>8</v>
      </c>
      <c r="G26" s="34">
        <v>9</v>
      </c>
      <c r="H26" s="34">
        <v>8</v>
      </c>
      <c r="I26" s="34">
        <v>1</v>
      </c>
    </row>
    <row r="27" spans="1:10">
      <c r="B27" s="34">
        <v>3</v>
      </c>
      <c r="C27" s="34">
        <v>2</v>
      </c>
      <c r="D27" s="34">
        <f t="shared" si="3"/>
        <v>8</v>
      </c>
      <c r="E27" s="34">
        <v>13</v>
      </c>
      <c r="F27" s="34">
        <f>E27</f>
        <v>13</v>
      </c>
      <c r="G27" s="34">
        <v>17</v>
      </c>
      <c r="H27" s="34">
        <v>12</v>
      </c>
      <c r="I27" s="34">
        <v>5</v>
      </c>
    </row>
    <row r="28" spans="1:10">
      <c r="B28" s="34">
        <v>6</v>
      </c>
      <c r="C28" s="34">
        <v>8</v>
      </c>
      <c r="D28" s="34">
        <f t="shared" si="3"/>
        <v>13</v>
      </c>
      <c r="E28" s="34">
        <v>17</v>
      </c>
      <c r="F28" s="34">
        <v>17</v>
      </c>
      <c r="G28" s="34">
        <v>19</v>
      </c>
      <c r="H28" s="34">
        <v>16</v>
      </c>
      <c r="I28" s="34">
        <v>3</v>
      </c>
    </row>
    <row r="29" spans="1:10">
      <c r="B29" s="34">
        <v>1</v>
      </c>
      <c r="C29" s="34">
        <v>0</v>
      </c>
      <c r="D29" s="34">
        <f t="shared" si="3"/>
        <v>17</v>
      </c>
      <c r="E29" s="34">
        <v>18</v>
      </c>
      <c r="F29" s="34">
        <v>19</v>
      </c>
      <c r="G29" s="34">
        <v>22</v>
      </c>
      <c r="H29" s="34">
        <v>6</v>
      </c>
      <c r="I29" s="34">
        <v>16</v>
      </c>
    </row>
    <row r="30" spans="1:10">
      <c r="B30" s="34">
        <v>7</v>
      </c>
      <c r="C30" s="34">
        <v>10</v>
      </c>
      <c r="D30" s="34">
        <f t="shared" si="3"/>
        <v>18</v>
      </c>
      <c r="E30" s="34">
        <v>19</v>
      </c>
      <c r="F30" s="34">
        <v>22</v>
      </c>
      <c r="G30" s="34">
        <v>27</v>
      </c>
      <c r="H30" s="34">
        <v>20</v>
      </c>
      <c r="I30" s="34">
        <v>7</v>
      </c>
    </row>
    <row r="31" spans="1:10">
      <c r="B31" s="34">
        <v>5</v>
      </c>
      <c r="C31" s="34">
        <v>6</v>
      </c>
      <c r="D31" s="34">
        <f t="shared" si="3"/>
        <v>19</v>
      </c>
      <c r="E31" s="34">
        <v>20</v>
      </c>
      <c r="F31" s="34">
        <v>27</v>
      </c>
      <c r="G31" s="34">
        <v>30</v>
      </c>
      <c r="H31" s="34">
        <v>15</v>
      </c>
      <c r="I31" s="34">
        <v>15</v>
      </c>
    </row>
    <row r="32" spans="1:10">
      <c r="H32" s="62" t="s">
        <v>119</v>
      </c>
      <c r="I32" s="63">
        <f>AVERAGE(I25:I31)</f>
        <v>6.7142857142857144</v>
      </c>
    </row>
    <row r="33" spans="8:9">
      <c r="H33" s="62" t="s">
        <v>118</v>
      </c>
      <c r="I33" s="61">
        <v>6</v>
      </c>
    </row>
  </sheetData>
  <mergeCells count="5">
    <mergeCell ref="E1:F1"/>
    <mergeCell ref="D11:E11"/>
    <mergeCell ref="F11:G11"/>
    <mergeCell ref="D23:E23"/>
    <mergeCell ref="F23:G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4"/>
  <sheetViews>
    <sheetView tabSelected="1" workbookViewId="0">
      <selection activeCell="M63" sqref="M63"/>
    </sheetView>
  </sheetViews>
  <sheetFormatPr baseColWidth="10" defaultRowHeight="15" x14ac:dyDescent="0"/>
  <cols>
    <col min="2" max="2" width="22.1640625" customWidth="1"/>
    <col min="3" max="3" width="11.83203125" bestFit="1" customWidth="1"/>
    <col min="6" max="6" width="12" customWidth="1"/>
    <col min="7" max="7" width="16.6640625" customWidth="1"/>
    <col min="8" max="8" width="11.33203125" bestFit="1" customWidth="1"/>
    <col min="11" max="11" width="3.5" customWidth="1"/>
    <col min="12" max="12" width="23.83203125" bestFit="1" customWidth="1"/>
  </cols>
  <sheetData>
    <row r="2" spans="2:15">
      <c r="B2" s="4" t="s">
        <v>12</v>
      </c>
      <c r="C2" s="7">
        <v>0.1</v>
      </c>
      <c r="G2" s="8" t="s">
        <v>45</v>
      </c>
      <c r="H2" s="8" t="s">
        <v>42</v>
      </c>
      <c r="I2" s="8" t="s">
        <v>43</v>
      </c>
      <c r="J2" s="8" t="s">
        <v>44</v>
      </c>
    </row>
    <row r="3" spans="2:15">
      <c r="B3" s="4" t="s">
        <v>13</v>
      </c>
      <c r="C3" s="7">
        <v>0.05</v>
      </c>
      <c r="E3">
        <f>D11*1.1</f>
        <v>1320</v>
      </c>
      <c r="G3" s="8" t="s">
        <v>8</v>
      </c>
      <c r="H3" s="5">
        <f>+(10*7)/100</f>
        <v>0.7</v>
      </c>
      <c r="I3" s="5">
        <v>1.5</v>
      </c>
      <c r="J3" s="20">
        <f>10/1000</f>
        <v>0.01</v>
      </c>
    </row>
    <row r="4" spans="2:15">
      <c r="B4" s="4" t="s">
        <v>14</v>
      </c>
      <c r="C4" s="7">
        <v>0.03</v>
      </c>
      <c r="E4">
        <f>D12*0.95</f>
        <v>95.000000000000213</v>
      </c>
      <c r="G4" s="8" t="s">
        <v>9</v>
      </c>
      <c r="H4" s="5">
        <f>+(10*7.5)/100</f>
        <v>0.75</v>
      </c>
      <c r="I4" s="5">
        <v>1.5</v>
      </c>
      <c r="J4" s="20">
        <f>10.5/1000</f>
        <v>1.0500000000000001E-2</v>
      </c>
    </row>
    <row r="5" spans="2:15">
      <c r="B5" s="4" t="s">
        <v>15</v>
      </c>
      <c r="C5" s="7">
        <v>0.05</v>
      </c>
      <c r="E5">
        <f>E3-E4</f>
        <v>1224.9999999999998</v>
      </c>
      <c r="G5" s="8" t="s">
        <v>10</v>
      </c>
      <c r="H5" s="5">
        <f>+(10*7)/100</f>
        <v>0.7</v>
      </c>
      <c r="I5" s="5">
        <v>1.5</v>
      </c>
      <c r="J5" s="20">
        <f>10/1000</f>
        <v>0.01</v>
      </c>
    </row>
    <row r="6" spans="2:15">
      <c r="B6" s="4" t="s">
        <v>16</v>
      </c>
      <c r="C6" s="7">
        <v>7.0000000000000007E-2</v>
      </c>
      <c r="E6">
        <f>E5/0.95</f>
        <v>1289.4736842105262</v>
      </c>
    </row>
    <row r="8" spans="2:15">
      <c r="B8" s="72" t="s">
        <v>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</row>
    <row r="9" spans="2:15">
      <c r="B9" s="1" t="s">
        <v>8</v>
      </c>
      <c r="G9" s="1" t="s">
        <v>9</v>
      </c>
      <c r="L9" s="1" t="s">
        <v>10</v>
      </c>
    </row>
    <row r="10" spans="2:15">
      <c r="B10" s="2" t="s">
        <v>0</v>
      </c>
      <c r="C10" s="3">
        <v>1</v>
      </c>
      <c r="D10" s="3">
        <v>2</v>
      </c>
      <c r="E10" s="3">
        <v>3</v>
      </c>
      <c r="G10" s="2" t="s">
        <v>0</v>
      </c>
      <c r="H10" s="3">
        <v>1</v>
      </c>
      <c r="I10" s="3">
        <v>2</v>
      </c>
      <c r="J10" s="3">
        <v>3</v>
      </c>
      <c r="L10" s="2" t="s">
        <v>0</v>
      </c>
      <c r="M10" s="3">
        <v>1</v>
      </c>
      <c r="N10" s="3">
        <v>2</v>
      </c>
      <c r="O10" s="3">
        <v>3</v>
      </c>
    </row>
    <row r="11" spans="2:15">
      <c r="B11" s="4" t="s">
        <v>1</v>
      </c>
      <c r="C11" s="5">
        <v>1000</v>
      </c>
      <c r="D11" s="5">
        <v>1200</v>
      </c>
      <c r="E11" s="5">
        <v>900</v>
      </c>
      <c r="G11" s="4" t="s">
        <v>1</v>
      </c>
      <c r="H11" s="5">
        <v>500</v>
      </c>
      <c r="I11" s="5">
        <v>700</v>
      </c>
      <c r="J11" s="5">
        <v>600</v>
      </c>
      <c r="L11" s="4" t="s">
        <v>1</v>
      </c>
      <c r="M11" s="5">
        <v>850</v>
      </c>
      <c r="N11" s="5">
        <v>1050</v>
      </c>
      <c r="O11" s="5">
        <v>920</v>
      </c>
    </row>
    <row r="12" spans="2:15">
      <c r="B12" s="4" t="s">
        <v>2</v>
      </c>
      <c r="C12" s="5">
        <v>0</v>
      </c>
      <c r="D12" s="6">
        <f>+C17</f>
        <v>100.00000000000023</v>
      </c>
      <c r="E12" s="6">
        <f>+D17</f>
        <v>120.00000000000023</v>
      </c>
      <c r="G12" s="4" t="s">
        <v>2</v>
      </c>
      <c r="H12" s="5">
        <v>0</v>
      </c>
      <c r="I12" s="6">
        <f t="shared" ref="I12:J12" si="0">+H17</f>
        <v>50.000000000000114</v>
      </c>
      <c r="J12" s="6">
        <f t="shared" si="0"/>
        <v>70.000000000000227</v>
      </c>
      <c r="L12" s="4" t="s">
        <v>2</v>
      </c>
      <c r="M12" s="5">
        <v>0</v>
      </c>
      <c r="N12" s="6">
        <f t="shared" ref="N12:O12" si="1">+M17</f>
        <v>85.000000000000114</v>
      </c>
      <c r="O12" s="6">
        <f t="shared" si="1"/>
        <v>105.00000000000023</v>
      </c>
    </row>
    <row r="13" spans="2:15">
      <c r="B13" s="4" t="s">
        <v>3</v>
      </c>
      <c r="C13" s="6">
        <f>((C11*1.1)-(C12*0.95))/0.95</f>
        <v>1157.8947368421054</v>
      </c>
      <c r="D13" s="6">
        <f t="shared" ref="D13:E13" si="2">((D11*1.1)-(D12*0.95))/0.95</f>
        <v>1289.4736842105262</v>
      </c>
      <c r="E13" s="6">
        <f t="shared" si="2"/>
        <v>922.10526315789468</v>
      </c>
      <c r="G13" s="4" t="s">
        <v>3</v>
      </c>
      <c r="H13" s="6">
        <f t="shared" ref="H13:J13" si="3">((H11*1.1)-(H12*0.95))/0.95</f>
        <v>578.94736842105272</v>
      </c>
      <c r="I13" s="6">
        <f t="shared" si="3"/>
        <v>760.52631578947376</v>
      </c>
      <c r="J13" s="6">
        <f t="shared" si="3"/>
        <v>624.73684210526289</v>
      </c>
      <c r="L13" s="4" t="s">
        <v>3</v>
      </c>
      <c r="M13" s="6">
        <f t="shared" ref="M13:O13" si="4">((M11*1.1)-(M12*0.95))/0.95</f>
        <v>984.21052631578959</v>
      </c>
      <c r="N13" s="6">
        <f t="shared" si="4"/>
        <v>1130.7894736842106</v>
      </c>
      <c r="O13" s="6">
        <f t="shared" si="4"/>
        <v>960.26315789473676</v>
      </c>
    </row>
    <row r="14" spans="2:15">
      <c r="B14" s="4" t="s">
        <v>11</v>
      </c>
      <c r="C14" s="6">
        <f>(C13+C12)*$C$3</f>
        <v>57.894736842105274</v>
      </c>
      <c r="D14" s="6">
        <f>(D13+D12)*$C$3</f>
        <v>69.473684210526329</v>
      </c>
      <c r="E14" s="6">
        <f>(E13+E12)*$C$3</f>
        <v>52.105263157894754</v>
      </c>
      <c r="G14" s="4" t="s">
        <v>11</v>
      </c>
      <c r="H14" s="6">
        <f>(H13+H12)*$C$3</f>
        <v>28.947368421052637</v>
      </c>
      <c r="I14" s="6">
        <f>(I13+I12)*$C$3</f>
        <v>40.526315789473699</v>
      </c>
      <c r="J14" s="6">
        <f>(J13+J12)*$C$3</f>
        <v>34.736842105263158</v>
      </c>
      <c r="L14" s="4" t="s">
        <v>11</v>
      </c>
      <c r="M14" s="6">
        <f>(M13+M12)*$C$3</f>
        <v>49.21052631578948</v>
      </c>
      <c r="N14" s="6">
        <f>(N13+N12)*$C$3</f>
        <v>60.789473684210549</v>
      </c>
      <c r="O14" s="6">
        <f>(O13+O12)*$C$3</f>
        <v>53.263157894736857</v>
      </c>
    </row>
    <row r="15" spans="2:15">
      <c r="B15" s="4" t="s">
        <v>4</v>
      </c>
      <c r="C15" s="6">
        <f>+C12+C13-C14</f>
        <v>1100.0000000000002</v>
      </c>
      <c r="D15" s="6">
        <f t="shared" ref="D15:E15" si="5">+D12+D13-D14</f>
        <v>1320.0000000000002</v>
      </c>
      <c r="E15" s="6">
        <f t="shared" si="5"/>
        <v>990.00000000000023</v>
      </c>
      <c r="G15" s="4" t="s">
        <v>4</v>
      </c>
      <c r="H15" s="6">
        <f t="shared" ref="H15:J15" si="6">+H12+H13-H14</f>
        <v>550.00000000000011</v>
      </c>
      <c r="I15" s="6">
        <f t="shared" si="6"/>
        <v>770.00000000000023</v>
      </c>
      <c r="J15" s="6">
        <f t="shared" si="6"/>
        <v>660</v>
      </c>
      <c r="L15" s="4" t="s">
        <v>4</v>
      </c>
      <c r="M15" s="6">
        <f t="shared" ref="M15:O15" si="7">+M12+M13-M14</f>
        <v>935.00000000000011</v>
      </c>
      <c r="N15" s="6">
        <f t="shared" si="7"/>
        <v>1155.0000000000002</v>
      </c>
      <c r="O15" s="6">
        <f t="shared" si="7"/>
        <v>1012.0000000000002</v>
      </c>
    </row>
    <row r="16" spans="2:15">
      <c r="B16" s="4" t="s">
        <v>5</v>
      </c>
      <c r="C16" s="6">
        <f>C11</f>
        <v>1000</v>
      </c>
      <c r="D16" s="6">
        <f t="shared" ref="D16:E16" si="8">D11</f>
        <v>1200</v>
      </c>
      <c r="E16" s="6">
        <f t="shared" si="8"/>
        <v>900</v>
      </c>
      <c r="G16" s="4" t="s">
        <v>5</v>
      </c>
      <c r="H16" s="6">
        <f t="shared" ref="H16:J16" si="9">H11</f>
        <v>500</v>
      </c>
      <c r="I16" s="6">
        <f t="shared" si="9"/>
        <v>700</v>
      </c>
      <c r="J16" s="6">
        <f t="shared" si="9"/>
        <v>600</v>
      </c>
      <c r="L16" s="4" t="s">
        <v>5</v>
      </c>
      <c r="M16" s="6">
        <f t="shared" ref="M16:O16" si="10">M11</f>
        <v>850</v>
      </c>
      <c r="N16" s="6">
        <f t="shared" si="10"/>
        <v>1050</v>
      </c>
      <c r="O16" s="6">
        <f t="shared" si="10"/>
        <v>920</v>
      </c>
    </row>
    <row r="17" spans="2:16">
      <c r="B17" s="4" t="s">
        <v>6</v>
      </c>
      <c r="C17" s="6">
        <f>+C15-C16</f>
        <v>100.00000000000023</v>
      </c>
      <c r="D17" s="6">
        <f t="shared" ref="D17:E17" si="11">+D15-D16</f>
        <v>120.00000000000023</v>
      </c>
      <c r="E17" s="6">
        <f t="shared" si="11"/>
        <v>90.000000000000227</v>
      </c>
      <c r="G17" s="4" t="s">
        <v>6</v>
      </c>
      <c r="H17" s="6">
        <f t="shared" ref="H17:J17" si="12">+H15-H16</f>
        <v>50.000000000000114</v>
      </c>
      <c r="I17" s="6">
        <f t="shared" si="12"/>
        <v>70.000000000000227</v>
      </c>
      <c r="J17" s="6">
        <f t="shared" si="12"/>
        <v>60</v>
      </c>
      <c r="L17" s="4" t="s">
        <v>6</v>
      </c>
      <c r="M17" s="6">
        <f t="shared" ref="M17:O17" si="13">+M15-M16</f>
        <v>85.000000000000114</v>
      </c>
      <c r="N17" s="6">
        <f t="shared" si="13"/>
        <v>105.00000000000023</v>
      </c>
      <c r="O17" s="6">
        <f t="shared" si="13"/>
        <v>92.000000000000227</v>
      </c>
    </row>
    <row r="18" spans="2:16">
      <c r="B18" s="10"/>
      <c r="C18" s="24"/>
      <c r="D18" s="24"/>
      <c r="E18" s="24"/>
      <c r="G18" s="10"/>
      <c r="H18" s="24"/>
      <c r="I18" s="24"/>
      <c r="J18" s="24"/>
      <c r="L18" s="10"/>
      <c r="M18" s="24"/>
      <c r="N18" s="24"/>
      <c r="O18" s="24"/>
    </row>
    <row r="19" spans="2:16">
      <c r="B19" s="75" t="s">
        <v>47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1" spans="2:16">
      <c r="B21" s="4"/>
      <c r="C21" s="81" t="s">
        <v>17</v>
      </c>
      <c r="D21" s="82"/>
      <c r="E21" s="82"/>
      <c r="F21" s="82"/>
      <c r="G21" s="82"/>
      <c r="H21" s="82"/>
      <c r="I21" s="83"/>
      <c r="L21" s="4"/>
      <c r="M21" s="78" t="s">
        <v>17</v>
      </c>
      <c r="N21" s="78"/>
      <c r="O21" s="78"/>
      <c r="P21" s="78"/>
    </row>
    <row r="22" spans="2:16">
      <c r="B22" s="11" t="s">
        <v>39</v>
      </c>
      <c r="C22" s="4">
        <v>-3</v>
      </c>
      <c r="D22" s="4">
        <v>-2</v>
      </c>
      <c r="E22" s="4">
        <v>-1</v>
      </c>
      <c r="F22" s="4">
        <v>0</v>
      </c>
      <c r="G22" s="22">
        <v>1</v>
      </c>
      <c r="H22" s="23">
        <v>2</v>
      </c>
      <c r="I22" s="22">
        <v>3</v>
      </c>
      <c r="J22" s="21"/>
      <c r="L22" s="11" t="s">
        <v>41</v>
      </c>
      <c r="M22" s="4">
        <v>0</v>
      </c>
      <c r="N22" s="4">
        <v>1</v>
      </c>
      <c r="O22" s="4">
        <v>2</v>
      </c>
      <c r="P22" s="4">
        <v>3</v>
      </c>
    </row>
    <row r="23" spans="2:16">
      <c r="B23" s="4" t="s">
        <v>18</v>
      </c>
      <c r="C23" s="4"/>
      <c r="D23" s="4"/>
      <c r="E23" s="4"/>
      <c r="F23" s="4"/>
      <c r="G23" s="4">
        <v>200</v>
      </c>
      <c r="H23" s="13">
        <f>G28</f>
        <v>193.3684210526319</v>
      </c>
      <c r="I23" s="13">
        <f>H28</f>
        <v>226.45789473684272</v>
      </c>
      <c r="L23" s="4" t="s">
        <v>18</v>
      </c>
      <c r="M23" s="4"/>
      <c r="N23" s="4">
        <v>3</v>
      </c>
      <c r="O23" s="13">
        <f>N28</f>
        <v>2.7500000000000036</v>
      </c>
      <c r="P23" s="13">
        <f>O28</f>
        <v>3.2188157894736875</v>
      </c>
    </row>
    <row r="24" spans="2:16">
      <c r="B24" s="4" t="s">
        <v>19</v>
      </c>
      <c r="C24" s="4"/>
      <c r="D24" s="4"/>
      <c r="E24" s="4"/>
      <c r="F24" s="4"/>
      <c r="G24" s="13">
        <f>C29*(1-$C$5)</f>
        <v>1992.8377645143794</v>
      </c>
      <c r="H24" s="13">
        <f t="shared" ref="H24:I24" si="14">D29*(1-$C$5)</f>
        <v>2374.7107976125885</v>
      </c>
      <c r="I24" s="13">
        <f t="shared" si="14"/>
        <v>1799.1416711882791</v>
      </c>
      <c r="K24" s="9"/>
      <c r="L24" s="4" t="s">
        <v>19</v>
      </c>
      <c r="M24" s="4"/>
      <c r="N24" s="13">
        <f>M29*(1-$C$6)</f>
        <v>28.185567010309288</v>
      </c>
      <c r="O24" s="13">
        <f t="shared" ref="O24:P24" si="15">N29*(1-$C$6)</f>
        <v>33.752034725990235</v>
      </c>
      <c r="P24" s="13">
        <f t="shared" si="15"/>
        <v>25.566507053716762</v>
      </c>
    </row>
    <row r="25" spans="2:16">
      <c r="B25" s="4" t="s">
        <v>11</v>
      </c>
      <c r="C25" s="4"/>
      <c r="D25" s="4"/>
      <c r="E25" s="4"/>
      <c r="F25" s="4"/>
      <c r="G25" s="13">
        <f>+(G23+G24)*$C$4</f>
        <v>65.785132935431378</v>
      </c>
      <c r="H25" s="13">
        <f>+(H23+H24)*$C$4</f>
        <v>77.042376559956622</v>
      </c>
      <c r="I25" s="13">
        <f>+(I23+I24)*$C$4</f>
        <v>60.767986977753651</v>
      </c>
      <c r="K25" s="9"/>
      <c r="L25" s="4" t="s">
        <v>11</v>
      </c>
      <c r="M25" s="4"/>
      <c r="N25" s="13">
        <f>+(N23+N24)*$C$4</f>
        <v>0.93556701030927858</v>
      </c>
      <c r="O25" s="13">
        <f t="shared" ref="O25:P25" si="16">+(O23+O24)*$C$4</f>
        <v>1.0950610417797073</v>
      </c>
      <c r="P25" s="13">
        <f t="shared" si="16"/>
        <v>0.86355968529571348</v>
      </c>
    </row>
    <row r="26" spans="2:16">
      <c r="B26" s="4" t="s">
        <v>20</v>
      </c>
      <c r="C26" s="4"/>
      <c r="D26" s="4"/>
      <c r="E26" s="4"/>
      <c r="F26" s="4"/>
      <c r="G26" s="13">
        <f>+G23+G24-G25</f>
        <v>2127.052631578948</v>
      </c>
      <c r="H26" s="13">
        <f t="shared" ref="H26:I26" si="17">+H23+H24-H25</f>
        <v>2491.036842105264</v>
      </c>
      <c r="I26" s="13">
        <f t="shared" si="17"/>
        <v>1964.8315789473681</v>
      </c>
      <c r="K26" s="9"/>
      <c r="L26" s="4" t="s">
        <v>20</v>
      </c>
      <c r="M26" s="4"/>
      <c r="N26" s="13">
        <f>+N23+N24-N25</f>
        <v>30.250000000000011</v>
      </c>
      <c r="O26" s="13">
        <f t="shared" ref="O26:P26" si="18">+O23+O24-O25</f>
        <v>35.406973684210534</v>
      </c>
      <c r="P26" s="13">
        <f t="shared" si="18"/>
        <v>27.921763157894738</v>
      </c>
    </row>
    <row r="27" spans="2:16">
      <c r="B27" s="4" t="s">
        <v>21</v>
      </c>
      <c r="C27" s="4"/>
      <c r="D27" s="4"/>
      <c r="E27" s="4"/>
      <c r="F27" s="4"/>
      <c r="G27" s="13">
        <f>C31</f>
        <v>1933.6842105263161</v>
      </c>
      <c r="H27" s="13">
        <f>C34</f>
        <v>2264.5789473684213</v>
      </c>
      <c r="I27" s="13">
        <f>C37</f>
        <v>1786.2105263157891</v>
      </c>
      <c r="K27" s="9"/>
      <c r="L27" s="4" t="s">
        <v>21</v>
      </c>
      <c r="M27" s="4"/>
      <c r="N27" s="13">
        <f>M31</f>
        <v>27.500000000000007</v>
      </c>
      <c r="O27" s="13">
        <f>M34</f>
        <v>32.188157894736847</v>
      </c>
      <c r="P27" s="13">
        <f>M37</f>
        <v>25.383421052631576</v>
      </c>
    </row>
    <row r="28" spans="2:16">
      <c r="B28" s="4" t="s">
        <v>22</v>
      </c>
      <c r="C28" s="4"/>
      <c r="D28" s="4"/>
      <c r="E28" s="4"/>
      <c r="F28" s="4"/>
      <c r="G28" s="13">
        <f>+G26-G27</f>
        <v>193.3684210526319</v>
      </c>
      <c r="H28" s="13">
        <f t="shared" ref="H28:I28" si="19">+H26-H27</f>
        <v>226.45789473684272</v>
      </c>
      <c r="I28" s="13">
        <f t="shared" si="19"/>
        <v>178.621052631579</v>
      </c>
      <c r="L28" s="4" t="s">
        <v>22</v>
      </c>
      <c r="M28" s="4"/>
      <c r="N28" s="13">
        <f>+N26-N27</f>
        <v>2.7500000000000036</v>
      </c>
      <c r="O28" s="13">
        <f t="shared" ref="O28:P28" si="20">+O26-O27</f>
        <v>3.2188157894736875</v>
      </c>
      <c r="P28" s="13">
        <f t="shared" si="20"/>
        <v>2.5383421052631618</v>
      </c>
    </row>
    <row r="29" spans="2:16">
      <c r="B29" s="4" t="s">
        <v>23</v>
      </c>
      <c r="C29" s="13">
        <f>D32</f>
        <v>2097.7239626467153</v>
      </c>
      <c r="D29" s="13">
        <f>D35</f>
        <v>2499.6955764343038</v>
      </c>
      <c r="E29" s="13">
        <f>D38</f>
        <v>1893.8333380929255</v>
      </c>
      <c r="F29" s="15" t="s">
        <v>46</v>
      </c>
      <c r="G29" s="15"/>
      <c r="H29" s="8"/>
      <c r="I29" s="8"/>
      <c r="L29" s="4" t="s">
        <v>23</v>
      </c>
      <c r="M29" s="13">
        <f>N32</f>
        <v>30.307061301407838</v>
      </c>
      <c r="N29" s="13">
        <f>N35</f>
        <v>36.292510458054018</v>
      </c>
      <c r="O29" s="13">
        <f>N38</f>
        <v>27.490867799695444</v>
      </c>
      <c r="P29" s="15"/>
    </row>
    <row r="30" spans="2:16">
      <c r="H30" s="12"/>
      <c r="I30" s="10"/>
    </row>
    <row r="31" spans="2:16">
      <c r="B31" t="s">
        <v>24</v>
      </c>
      <c r="C31" s="18">
        <f>+(C13*$H$3)+(H13*$H$4)+(M13*$H$5)</f>
        <v>1933.6842105263161</v>
      </c>
      <c r="D31" s="17"/>
      <c r="H31" s="10"/>
      <c r="I31" s="10"/>
      <c r="L31" t="s">
        <v>31</v>
      </c>
      <c r="M31" s="18">
        <f>+(C13*$J$3)+(H13*$J$4)+(M13*$J$5)</f>
        <v>27.500000000000007</v>
      </c>
      <c r="N31" s="17"/>
    </row>
    <row r="32" spans="2:16">
      <c r="B32" t="s">
        <v>25</v>
      </c>
      <c r="C32" s="18">
        <f>+((C31*1.1)-(G23*(1-$C$4)))/(1-$C$4)</f>
        <v>1992.8377645143794</v>
      </c>
      <c r="D32" s="18">
        <f>+C32/(1-$C$5)</f>
        <v>2097.7239626467153</v>
      </c>
      <c r="H32" s="14"/>
      <c r="I32" s="14"/>
      <c r="L32" t="s">
        <v>32</v>
      </c>
      <c r="M32" s="18">
        <f>+((M31*1.1)-(N23*(1-$C$4)))/(1-$C$4)</f>
        <v>28.185567010309288</v>
      </c>
      <c r="N32" s="18">
        <f>+M32/(1-$C$6)</f>
        <v>30.307061301407838</v>
      </c>
    </row>
    <row r="33" spans="2:14">
      <c r="C33" s="17"/>
      <c r="D33" s="17"/>
      <c r="H33" s="14"/>
      <c r="I33" s="14"/>
      <c r="M33" s="17"/>
      <c r="N33" s="17"/>
    </row>
    <row r="34" spans="2:14">
      <c r="B34" t="s">
        <v>26</v>
      </c>
      <c r="C34" s="18">
        <f>+(D13*$H$3)+(I13*$H$4)+(N13*$H$5)</f>
        <v>2264.5789473684213</v>
      </c>
      <c r="D34" s="17"/>
      <c r="H34" s="10"/>
      <c r="I34" s="10"/>
      <c r="L34" t="s">
        <v>34</v>
      </c>
      <c r="M34" s="18">
        <f>+(D13*$J$3)+(I13*$J$4)+(N13*$J$5)</f>
        <v>32.188157894736847</v>
      </c>
      <c r="N34" s="17"/>
    </row>
    <row r="35" spans="2:14">
      <c r="B35" t="s">
        <v>27</v>
      </c>
      <c r="C35" s="18">
        <f>+((C34*1.1)-(H23*(1-$C$4)))/(1-$C$4)</f>
        <v>2374.7107976125885</v>
      </c>
      <c r="D35" s="18">
        <f>+C35/(1-$C$5)</f>
        <v>2499.6955764343038</v>
      </c>
      <c r="H35" s="10"/>
      <c r="I35" s="10"/>
      <c r="L35" t="s">
        <v>35</v>
      </c>
      <c r="M35" s="18">
        <f>+((M34*1.1)-(O23*(1-$C$4)))/(1-$C$4)</f>
        <v>33.752034725990235</v>
      </c>
      <c r="N35" s="18">
        <f>+M35/(1-$C$6)</f>
        <v>36.292510458054018</v>
      </c>
    </row>
    <row r="36" spans="2:14">
      <c r="C36" s="17"/>
      <c r="D36" s="17"/>
      <c r="H36" s="10"/>
      <c r="I36" s="10"/>
      <c r="M36" s="17"/>
      <c r="N36" s="17"/>
    </row>
    <row r="37" spans="2:14">
      <c r="B37" t="s">
        <v>28</v>
      </c>
      <c r="C37" s="18">
        <f>+(E13*$H$3)+(J13*$H$4)+(O13*$H$5)</f>
        <v>1786.2105263157891</v>
      </c>
      <c r="D37" s="17"/>
      <c r="H37" s="16"/>
      <c r="I37" s="16"/>
      <c r="L37" t="s">
        <v>37</v>
      </c>
      <c r="M37" s="18">
        <f>+(E13*$J$3)+(J13*$J$4)+(O13*$J$5)</f>
        <v>25.383421052631576</v>
      </c>
      <c r="N37" s="17"/>
    </row>
    <row r="38" spans="2:14">
      <c r="B38" t="s">
        <v>29</v>
      </c>
      <c r="C38" s="18">
        <f>+((C37*1.1)-(I23*(1-$C$4)))/(1-$C$4)</f>
        <v>1799.1416711882791</v>
      </c>
      <c r="D38" s="18">
        <f>+C38/(1-$C$5)</f>
        <v>1893.8333380929255</v>
      </c>
      <c r="L38" t="s">
        <v>38</v>
      </c>
      <c r="M38" s="18">
        <f>+((M37*1.1)-(P23*(1-$C$4)))/(1-$C$4)</f>
        <v>25.566507053716762</v>
      </c>
      <c r="N38" s="18">
        <f>+M38/(1-$C$6)</f>
        <v>27.490867799695444</v>
      </c>
    </row>
    <row r="39" spans="2:14">
      <c r="C39" s="17"/>
      <c r="D39" s="17"/>
    </row>
    <row r="40" spans="2:14">
      <c r="B40" s="4"/>
      <c r="C40" s="81" t="s">
        <v>17</v>
      </c>
      <c r="D40" s="82"/>
      <c r="E40" s="82"/>
      <c r="F40" s="82"/>
      <c r="G40" s="83"/>
    </row>
    <row r="41" spans="2:14">
      <c r="B41" s="11" t="s">
        <v>40</v>
      </c>
      <c r="C41" s="4">
        <v>-1</v>
      </c>
      <c r="D41" s="4">
        <v>0</v>
      </c>
      <c r="E41" s="4">
        <v>1</v>
      </c>
      <c r="F41" s="4">
        <v>2</v>
      </c>
      <c r="G41" s="4">
        <v>3</v>
      </c>
    </row>
    <row r="42" spans="2:14">
      <c r="B42" s="4" t="s">
        <v>18</v>
      </c>
      <c r="C42" s="4"/>
      <c r="D42" s="4"/>
      <c r="E42" s="13">
        <v>50</v>
      </c>
      <c r="F42" s="13">
        <f>E47</f>
        <v>408.15789473684254</v>
      </c>
      <c r="G42" s="13">
        <f>F47</f>
        <v>477.11842105263167</v>
      </c>
    </row>
    <row r="43" spans="2:14">
      <c r="B43" s="4" t="s">
        <v>19</v>
      </c>
      <c r="C43" s="4"/>
      <c r="D43" s="13"/>
      <c r="E43" s="13">
        <f>C48*(1-$C$6)</f>
        <v>4578.5946825827468</v>
      </c>
      <c r="F43" s="13">
        <f t="shared" ref="F43:G43" si="21">D48*(1-$C$6)</f>
        <v>5002.4633749321756</v>
      </c>
      <c r="G43" s="13">
        <f t="shared" si="21"/>
        <v>3787.5451709169829</v>
      </c>
    </row>
    <row r="44" spans="2:14">
      <c r="B44" s="4" t="s">
        <v>11</v>
      </c>
      <c r="C44" s="4"/>
      <c r="D44" s="13"/>
      <c r="E44" s="13">
        <f>(E42+E43)*$C$4</f>
        <v>138.8578404774824</v>
      </c>
      <c r="F44" s="13">
        <f t="shared" ref="F44:G44" si="22">(F42+F43)*$C$4</f>
        <v>162.31863809007055</v>
      </c>
      <c r="G44" s="13">
        <f t="shared" si="22"/>
        <v>127.93990775908843</v>
      </c>
    </row>
    <row r="45" spans="2:14">
      <c r="B45" s="4" t="s">
        <v>20</v>
      </c>
      <c r="C45" s="4"/>
      <c r="D45" s="13"/>
      <c r="E45" s="13">
        <f>+E42+E43-E44</f>
        <v>4489.7368421052643</v>
      </c>
      <c r="F45" s="13">
        <f t="shared" ref="F45:G45" si="23">+F42+F43-F44</f>
        <v>5248.3026315789475</v>
      </c>
      <c r="G45" s="13">
        <f t="shared" si="23"/>
        <v>4136.7236842105258</v>
      </c>
    </row>
    <row r="46" spans="2:14">
      <c r="B46" s="4" t="s">
        <v>21</v>
      </c>
      <c r="C46" s="4"/>
      <c r="D46" s="4"/>
      <c r="E46" s="13">
        <f>C50</f>
        <v>4081.5789473684217</v>
      </c>
      <c r="F46" s="13">
        <f>C53</f>
        <v>4771.1842105263158</v>
      </c>
      <c r="G46" s="13">
        <f>C56</f>
        <v>3760.6578947368416</v>
      </c>
    </row>
    <row r="47" spans="2:14">
      <c r="B47" s="4" t="s">
        <v>22</v>
      </c>
      <c r="C47" s="4"/>
      <c r="D47" s="13"/>
      <c r="E47" s="13">
        <f>+E45-E46</f>
        <v>408.15789473684254</v>
      </c>
      <c r="F47" s="13">
        <f t="shared" ref="F47:G47" si="24">+F45-F46</f>
        <v>477.11842105263167</v>
      </c>
      <c r="G47" s="13">
        <f t="shared" si="24"/>
        <v>376.06578947368416</v>
      </c>
    </row>
    <row r="48" spans="2:14">
      <c r="B48" s="4" t="s">
        <v>23</v>
      </c>
      <c r="C48" s="13">
        <f>D51</f>
        <v>4923.2200887986528</v>
      </c>
      <c r="D48" s="13">
        <f>D54</f>
        <v>5378.992876271157</v>
      </c>
      <c r="E48" s="13">
        <f>D57</f>
        <v>4072.629216039767</v>
      </c>
      <c r="F48" s="15"/>
      <c r="G48" s="4"/>
      <c r="I48" s="19"/>
    </row>
    <row r="49" spans="2:13">
      <c r="H49" s="10"/>
      <c r="I49" s="12"/>
    </row>
    <row r="50" spans="2:13">
      <c r="B50" t="s">
        <v>30</v>
      </c>
      <c r="C50" s="18">
        <f>+(C13*$I$3)+(H13*$I$4)+(M13*$I$5)</f>
        <v>4081.5789473684217</v>
      </c>
      <c r="D50" s="17"/>
      <c r="H50" s="14"/>
      <c r="I50" s="14"/>
    </row>
    <row r="51" spans="2:13">
      <c r="B51" t="s">
        <v>32</v>
      </c>
      <c r="C51" s="18">
        <f>+((C50*1.1)-(E42*(1-$C$4)))/(1-$C$4)</f>
        <v>4578.5946825827468</v>
      </c>
      <c r="D51" s="18">
        <f>+C51/(1-$C$6)</f>
        <v>4923.2200887986528</v>
      </c>
      <c r="H51" s="14"/>
      <c r="I51" s="10"/>
    </row>
    <row r="52" spans="2:13">
      <c r="C52" s="17"/>
      <c r="D52" s="17"/>
      <c r="H52" s="14"/>
      <c r="I52" s="14"/>
    </row>
    <row r="53" spans="2:13">
      <c r="B53" t="s">
        <v>33</v>
      </c>
      <c r="C53" s="18">
        <f>+(D13*$I$3)+(I13*$I$4)+(N13*$I$5)</f>
        <v>4771.1842105263158</v>
      </c>
      <c r="D53" s="17"/>
      <c r="H53" s="14"/>
      <c r="I53" s="14"/>
    </row>
    <row r="54" spans="2:13">
      <c r="B54" t="s">
        <v>35</v>
      </c>
      <c r="C54" s="18">
        <f>+((C53*1.1)-(F42*(1-$C$4)))/(1-$C$4)</f>
        <v>5002.4633749321756</v>
      </c>
      <c r="D54" s="18">
        <f>+C54/(1-$C$6)</f>
        <v>5378.992876271157</v>
      </c>
      <c r="H54" s="10"/>
      <c r="I54" s="10"/>
    </row>
    <row r="55" spans="2:13">
      <c r="C55" s="17"/>
      <c r="D55" s="17"/>
      <c r="H55" s="14"/>
      <c r="I55" s="14"/>
    </row>
    <row r="56" spans="2:13">
      <c r="B56" t="s">
        <v>36</v>
      </c>
      <c r="C56" s="18">
        <f>+(E13*$I$3)+(J13*$I$4)+(O13*$I$5)</f>
        <v>3760.6578947368416</v>
      </c>
      <c r="D56" s="17"/>
      <c r="H56" s="10"/>
      <c r="I56" s="10"/>
    </row>
    <row r="57" spans="2:13">
      <c r="B57" t="s">
        <v>38</v>
      </c>
      <c r="C57" s="18">
        <f>+((C56*1.1)-(G42*(1-$C$4)))/(1-$C$4)</f>
        <v>3787.5451709169829</v>
      </c>
      <c r="D57" s="18">
        <f>+C57/(1-$C$6)</f>
        <v>4072.629216039767</v>
      </c>
    </row>
    <row r="59" spans="2:13">
      <c r="B59" s="80" t="s">
        <v>48</v>
      </c>
      <c r="C59" s="80"/>
      <c r="D59" s="80"/>
      <c r="E59" s="80"/>
      <c r="F59" s="80"/>
      <c r="G59" s="80"/>
      <c r="H59" s="29"/>
      <c r="I59" s="29"/>
      <c r="J59" s="29"/>
    </row>
    <row r="60" spans="2:13">
      <c r="B60" t="s">
        <v>49</v>
      </c>
      <c r="C60">
        <f>26*7.5*60*0.95*0.8</f>
        <v>8892</v>
      </c>
      <c r="L60" s="78" t="s">
        <v>52</v>
      </c>
      <c r="M60" s="78"/>
    </row>
    <row r="61" spans="2:13">
      <c r="B61" s="79" t="s">
        <v>50</v>
      </c>
      <c r="C61" s="79"/>
      <c r="D61" s="79"/>
      <c r="E61" s="79"/>
      <c r="F61" s="79"/>
      <c r="G61" s="79"/>
      <c r="L61" s="4" t="s">
        <v>8</v>
      </c>
      <c r="M61" s="13">
        <f>AVERAGE(C13:E13)</f>
        <v>1123.1578947368421</v>
      </c>
    </row>
    <row r="62" spans="2:13">
      <c r="B62" t="s">
        <v>51</v>
      </c>
      <c r="C62" s="27">
        <f>+C60/(M61+M62+M63)</f>
        <v>3.1723352318958504</v>
      </c>
      <c r="L62" s="4" t="s">
        <v>9</v>
      </c>
      <c r="M62" s="13">
        <f>AVERAGE(H13:J13)</f>
        <v>654.73684210526312</v>
      </c>
    </row>
    <row r="63" spans="2:13">
      <c r="B63" t="s">
        <v>54</v>
      </c>
      <c r="C63" s="17" t="s">
        <v>55</v>
      </c>
      <c r="D63" s="17" t="s">
        <v>56</v>
      </c>
      <c r="E63" s="17" t="s">
        <v>57</v>
      </c>
      <c r="F63" s="17" t="s">
        <v>58</v>
      </c>
      <c r="G63" s="17" t="s">
        <v>59</v>
      </c>
      <c r="L63" s="4" t="s">
        <v>10</v>
      </c>
      <c r="M63" s="13">
        <f>AVERAGE(M13:O13)</f>
        <v>1025.0877192982455</v>
      </c>
    </row>
    <row r="64" spans="2:13">
      <c r="B64" t="s">
        <v>92</v>
      </c>
      <c r="C64" s="17">
        <f>ROUNDUP(9/C62,0)</f>
        <v>3</v>
      </c>
      <c r="D64" s="17">
        <f>ROUNDUP(11/C62,0)</f>
        <v>4</v>
      </c>
      <c r="E64" s="17">
        <f>ROUNDUP(16/C62,0)</f>
        <v>6</v>
      </c>
      <c r="F64" s="17">
        <f>ROUNDUP(13/C62,0)</f>
        <v>5</v>
      </c>
      <c r="G64" s="17">
        <f>ROUNDUP(6/C62,0)</f>
        <v>2</v>
      </c>
      <c r="L64" s="10"/>
      <c r="M64" s="14"/>
    </row>
    <row r="65" spans="2:8">
      <c r="B65" t="s">
        <v>53</v>
      </c>
      <c r="C65" s="25">
        <f>C64</f>
        <v>3</v>
      </c>
      <c r="D65" s="25">
        <f>D64</f>
        <v>4</v>
      </c>
      <c r="E65" s="25">
        <f>E64*3</f>
        <v>18</v>
      </c>
      <c r="F65" s="25">
        <f>F64</f>
        <v>5</v>
      </c>
      <c r="G65" s="25">
        <f>G64</f>
        <v>2</v>
      </c>
    </row>
    <row r="66" spans="2:8">
      <c r="B66" t="s">
        <v>60</v>
      </c>
      <c r="C66" s="17">
        <f>C64</f>
        <v>3</v>
      </c>
      <c r="D66" s="17">
        <f>D64</f>
        <v>4</v>
      </c>
      <c r="E66" s="17">
        <f>E65</f>
        <v>18</v>
      </c>
      <c r="F66" s="17">
        <f>F64</f>
        <v>5</v>
      </c>
      <c r="G66" s="17">
        <f>G64</f>
        <v>2</v>
      </c>
    </row>
    <row r="67" spans="2:8">
      <c r="B67" t="s">
        <v>61</v>
      </c>
      <c r="C67" s="17">
        <f>+C66*1000</f>
        <v>3000</v>
      </c>
      <c r="D67" s="17">
        <f>+D66*500</f>
        <v>2000</v>
      </c>
      <c r="E67" s="17">
        <f>+E66*(400+1500)</f>
        <v>34200</v>
      </c>
      <c r="F67" s="17">
        <f>+F66*750</f>
        <v>3750</v>
      </c>
      <c r="G67" s="17">
        <f>+G66*100</f>
        <v>200</v>
      </c>
      <c r="H67" s="30">
        <f>SUM(C67:G67)</f>
        <v>43150</v>
      </c>
    </row>
    <row r="68" spans="2:8">
      <c r="B68" t="s">
        <v>62</v>
      </c>
      <c r="C68" s="17">
        <f>+C64*2.5*7.5*26</f>
        <v>1462.5</v>
      </c>
      <c r="D68" s="17">
        <f>+D64*2.5*7.5*26</f>
        <v>1950</v>
      </c>
      <c r="E68" s="17">
        <f>+E65*2.5*7.5*26</f>
        <v>8775</v>
      </c>
      <c r="F68" s="17">
        <f>+F64*2.5*7.5*26</f>
        <v>2437.5</v>
      </c>
      <c r="G68" s="17">
        <f>+G64*2.5*7.5*26</f>
        <v>975</v>
      </c>
      <c r="H68" s="30">
        <f>SUM(C68:G68)</f>
        <v>15600</v>
      </c>
    </row>
    <row r="69" spans="2:8">
      <c r="B69" t="s">
        <v>78</v>
      </c>
      <c r="C69" s="32">
        <f>9/C64</f>
        <v>3</v>
      </c>
      <c r="D69" s="32">
        <f>11/D64</f>
        <v>2.75</v>
      </c>
      <c r="E69" s="32">
        <f>16/E64</f>
        <v>2.6666666666666665</v>
      </c>
      <c r="F69" s="32">
        <f>13/F64</f>
        <v>2.6</v>
      </c>
      <c r="G69" s="32">
        <f>6/G64</f>
        <v>3</v>
      </c>
    </row>
    <row r="70" spans="2:8">
      <c r="B70" t="s">
        <v>63</v>
      </c>
      <c r="C70" s="31">
        <f>+($C$13+$H$13+$M$13)*C69</f>
        <v>8163.1578947368425</v>
      </c>
      <c r="D70" s="31">
        <f t="shared" ref="D70:G70" si="25">+($C$13+$H$13+$M$13)*D69</f>
        <v>7482.8947368421059</v>
      </c>
      <c r="E70" s="31">
        <f t="shared" si="25"/>
        <v>7256.1403508771928</v>
      </c>
      <c r="F70" s="31">
        <f t="shared" si="25"/>
        <v>7074.7368421052633</v>
      </c>
      <c r="G70" s="31">
        <f t="shared" si="25"/>
        <v>8163.1578947368425</v>
      </c>
    </row>
    <row r="71" spans="2:8">
      <c r="B71" t="s">
        <v>64</v>
      </c>
      <c r="C71" s="31">
        <f>+($D$13+$I$13+$N$13)*C69</f>
        <v>9542.3684210526335</v>
      </c>
      <c r="D71" s="31">
        <f t="shared" ref="D71:G71" si="26">+($D$13+$I$13+$N$13)*D69</f>
        <v>8747.1710526315801</v>
      </c>
      <c r="E71" s="31">
        <f t="shared" si="26"/>
        <v>8482.105263157895</v>
      </c>
      <c r="F71" s="31">
        <f t="shared" si="26"/>
        <v>8270.0526315789484</v>
      </c>
      <c r="G71" s="31">
        <f t="shared" si="26"/>
        <v>9542.3684210526335</v>
      </c>
    </row>
    <row r="72" spans="2:8">
      <c r="B72" t="s">
        <v>65</v>
      </c>
      <c r="C72" s="31">
        <f>+($E$13+$J$13+$O$13)*C69</f>
        <v>7521.3157894736823</v>
      </c>
      <c r="D72" s="31">
        <f t="shared" ref="D72:G72" si="27">+($E$13+$J$13+$O$13)*D69</f>
        <v>6894.539473684209</v>
      </c>
      <c r="E72" s="31">
        <f t="shared" si="27"/>
        <v>6685.6140350877176</v>
      </c>
      <c r="F72" s="31">
        <f t="shared" si="27"/>
        <v>6518.4736842105249</v>
      </c>
      <c r="G72" s="31">
        <f t="shared" si="27"/>
        <v>7521.3157894736823</v>
      </c>
    </row>
    <row r="73" spans="2:8">
      <c r="B73" t="s">
        <v>67</v>
      </c>
      <c r="C73">
        <f>26*7.5*60*0.95</f>
        <v>11115</v>
      </c>
      <c r="D73">
        <f t="shared" ref="D73:G73" si="28">26*7.5*60*0.95</f>
        <v>11115</v>
      </c>
      <c r="E73">
        <f t="shared" si="28"/>
        <v>11115</v>
      </c>
      <c r="F73">
        <f t="shared" si="28"/>
        <v>11115</v>
      </c>
      <c r="G73">
        <f t="shared" si="28"/>
        <v>11115</v>
      </c>
    </row>
    <row r="74" spans="2:8">
      <c r="B74" t="s">
        <v>66</v>
      </c>
      <c r="C74">
        <v>0</v>
      </c>
      <c r="D74">
        <v>0</v>
      </c>
      <c r="E74">
        <v>0</v>
      </c>
      <c r="F74">
        <v>0</v>
      </c>
      <c r="G74">
        <v>0</v>
      </c>
    </row>
  </sheetData>
  <mergeCells count="8">
    <mergeCell ref="B8:O8"/>
    <mergeCell ref="B19:P19"/>
    <mergeCell ref="L60:M60"/>
    <mergeCell ref="B61:G61"/>
    <mergeCell ref="B59:G59"/>
    <mergeCell ref="C21:I21"/>
    <mergeCell ref="C40:G40"/>
    <mergeCell ref="M21:P21"/>
  </mergeCells>
  <pageMargins left="0.75" right="0.75" top="1" bottom="1" header="0.5" footer="0.5"/>
  <pageSetup orientation="portrait" horizontalDpi="4294967292" verticalDpi="4294967292"/>
  <ignoredErrors>
    <ignoredError sqref="H4 J4 F46 E65:E66 E6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4"/>
  <sheetViews>
    <sheetView topLeftCell="A10" zoomScale="125" zoomScaleNormal="125" zoomScalePageLayoutView="125" workbookViewId="0">
      <selection activeCell="C20" sqref="C20"/>
    </sheetView>
  </sheetViews>
  <sheetFormatPr baseColWidth="10" defaultRowHeight="15" x14ac:dyDescent="0"/>
  <cols>
    <col min="2" max="2" width="10.83203125" customWidth="1"/>
    <col min="3" max="3" width="16.33203125" bestFit="1" customWidth="1"/>
    <col min="5" max="5" width="15.5" bestFit="1" customWidth="1"/>
    <col min="8" max="8" width="12.5" customWidth="1"/>
    <col min="12" max="12" width="11.33203125" bestFit="1" customWidth="1"/>
  </cols>
  <sheetData>
    <row r="2" spans="2:15">
      <c r="B2" s="17" t="s">
        <v>69</v>
      </c>
      <c r="C2" s="17" t="s">
        <v>68</v>
      </c>
      <c r="D2" s="17" t="s">
        <v>73</v>
      </c>
      <c r="E2" s="17" t="s">
        <v>74</v>
      </c>
      <c r="H2" s="17" t="s">
        <v>69</v>
      </c>
      <c r="I2" s="17" t="s">
        <v>70</v>
      </c>
      <c r="J2" s="17" t="s">
        <v>71</v>
      </c>
      <c r="K2" s="17" t="s">
        <v>72</v>
      </c>
    </row>
    <row r="3" spans="2:15">
      <c r="B3" s="17" t="s">
        <v>70</v>
      </c>
      <c r="C3" s="17">
        <v>1000</v>
      </c>
      <c r="D3" s="17">
        <v>20</v>
      </c>
      <c r="E3" s="17">
        <f>+C3/D3</f>
        <v>50</v>
      </c>
      <c r="H3" s="28" t="s">
        <v>84</v>
      </c>
      <c r="I3" s="17">
        <v>55</v>
      </c>
      <c r="J3" s="17">
        <v>65</v>
      </c>
      <c r="K3" s="17">
        <v>55</v>
      </c>
    </row>
    <row r="4" spans="2:15">
      <c r="B4" s="17" t="s">
        <v>71</v>
      </c>
      <c r="C4" s="17">
        <v>500</v>
      </c>
      <c r="D4" s="17">
        <v>20</v>
      </c>
      <c r="E4" s="17">
        <f t="shared" ref="E4:E5" si="0">+C4/D4</f>
        <v>25</v>
      </c>
      <c r="H4" s="28" t="s">
        <v>85</v>
      </c>
      <c r="I4" s="17">
        <f>(4*7)+(2.5*1.5)+(0.05*10)</f>
        <v>32.25</v>
      </c>
      <c r="J4" s="32">
        <f>(4*7.5)+(2.5*1.5)+(0.05*10.5)</f>
        <v>34.274999999999999</v>
      </c>
      <c r="K4" s="17">
        <f>(4*7)+(2.5*1.5)+(0.05*10)</f>
        <v>32.25</v>
      </c>
    </row>
    <row r="5" spans="2:15">
      <c r="B5" s="17" t="s">
        <v>72</v>
      </c>
      <c r="C5" s="17">
        <v>850</v>
      </c>
      <c r="D5" s="17">
        <v>20</v>
      </c>
      <c r="E5" s="18">
        <f t="shared" si="0"/>
        <v>42.5</v>
      </c>
      <c r="H5" s="28" t="s">
        <v>86</v>
      </c>
      <c r="I5" s="17">
        <f>I3-I4</f>
        <v>22.75</v>
      </c>
      <c r="J5" s="17">
        <f t="shared" ref="J5:K5" si="1">J3-J4</f>
        <v>30.725000000000001</v>
      </c>
      <c r="K5" s="17">
        <f t="shared" si="1"/>
        <v>22.75</v>
      </c>
    </row>
    <row r="6" spans="2:15">
      <c r="H6" s="28" t="s">
        <v>1</v>
      </c>
      <c r="I6" s="18">
        <f>('3ra pregunta'!C16+'3ra pregunta'!D16+'3ra pregunta'!E16)</f>
        <v>3100</v>
      </c>
      <c r="J6" s="18">
        <f>('3ra pregunta'!H16+'3ra pregunta'!I16+'3ra pregunta'!J16)</f>
        <v>1800</v>
      </c>
      <c r="K6" s="18">
        <f>('3ra pregunta'!M16+'3ra pregunta'!N16+'3ra pregunta'!O16)</f>
        <v>2820</v>
      </c>
    </row>
    <row r="7" spans="2:15">
      <c r="B7" s="28" t="s">
        <v>75</v>
      </c>
      <c r="D7">
        <f>7.5*60</f>
        <v>450</v>
      </c>
      <c r="H7" s="28" t="s">
        <v>87</v>
      </c>
      <c r="I7" s="17">
        <f>I5*I6</f>
        <v>70525</v>
      </c>
      <c r="J7" s="17">
        <f>J5*J6</f>
        <v>55305</v>
      </c>
      <c r="K7" s="17">
        <f>K5*K6</f>
        <v>64155</v>
      </c>
      <c r="L7">
        <f>SUM(I7:K7)</f>
        <v>189985</v>
      </c>
    </row>
    <row r="8" spans="2:15">
      <c r="H8" s="28" t="s">
        <v>89</v>
      </c>
      <c r="I8" s="17">
        <v>45000</v>
      </c>
      <c r="J8" s="17">
        <v>45000</v>
      </c>
      <c r="K8" s="17">
        <v>45000</v>
      </c>
      <c r="L8">
        <f>SUM(I8:K8)</f>
        <v>135000</v>
      </c>
    </row>
    <row r="9" spans="2:15">
      <c r="B9" s="79" t="s">
        <v>76</v>
      </c>
      <c r="C9" s="79"/>
      <c r="D9" s="79"/>
      <c r="H9" s="28" t="s">
        <v>90</v>
      </c>
      <c r="I9" s="18">
        <f>'3ra pregunta'!C17+'3ra pregunta'!D17+'3ra pregunta'!E17</f>
        <v>310.00000000000068</v>
      </c>
      <c r="J9" s="18">
        <f>'3ra pregunta'!H17+'3ra pregunta'!I17+'3ra pregunta'!J17</f>
        <v>180.00000000000034</v>
      </c>
      <c r="K9" s="18">
        <f>'3ra pregunta'!M17+'3ra pregunta'!N17+'3ra pregunta'!O17</f>
        <v>282.00000000000057</v>
      </c>
      <c r="L9" s="26">
        <f>(I9+J9+K9)*10</f>
        <v>7720.0000000000164</v>
      </c>
    </row>
    <row r="10" spans="2:15">
      <c r="B10" s="17" t="s">
        <v>70</v>
      </c>
      <c r="C10" s="17">
        <f>+D7/E3</f>
        <v>9</v>
      </c>
      <c r="D10" s="17">
        <f>+C11/C10</f>
        <v>2</v>
      </c>
      <c r="H10" s="28" t="s">
        <v>91</v>
      </c>
      <c r="I10" s="17">
        <f>'3ra pregunta'!H68</f>
        <v>15600</v>
      </c>
      <c r="J10" s="17">
        <f>I10</f>
        <v>15600</v>
      </c>
      <c r="K10" s="17">
        <f>J10</f>
        <v>15600</v>
      </c>
      <c r="L10">
        <f>SUM(I10:K10)</f>
        <v>46800</v>
      </c>
    </row>
    <row r="11" spans="2:15">
      <c r="B11" s="17" t="s">
        <v>71</v>
      </c>
      <c r="C11" s="17">
        <f>+D7/E4</f>
        <v>18</v>
      </c>
      <c r="D11" s="17">
        <f>+C11/C11</f>
        <v>1</v>
      </c>
      <c r="H11" s="28" t="s">
        <v>88</v>
      </c>
      <c r="L11" s="33">
        <f>+L7-L8-L9-L10</f>
        <v>464.99999999998545</v>
      </c>
    </row>
    <row r="12" spans="2:15">
      <c r="B12" s="17" t="s">
        <v>72</v>
      </c>
      <c r="C12" s="18">
        <f>+D7/E5</f>
        <v>10.588235294117647</v>
      </c>
      <c r="D12" s="18">
        <v>2</v>
      </c>
    </row>
    <row r="14" spans="2:15">
      <c r="B14" s="28" t="s">
        <v>77</v>
      </c>
      <c r="N14" t="s">
        <v>82</v>
      </c>
      <c r="O14">
        <f>7.5*60</f>
        <v>450</v>
      </c>
    </row>
    <row r="15" spans="2:15">
      <c r="E15" t="s">
        <v>78</v>
      </c>
      <c r="G15" s="31">
        <f>'3ra pregunta'!C69</f>
        <v>3</v>
      </c>
      <c r="I15" s="31">
        <f>'3ra pregunta'!D69</f>
        <v>2.75</v>
      </c>
      <c r="K15" s="31">
        <f>'3ra pregunta'!E69</f>
        <v>2.6666666666666665</v>
      </c>
      <c r="M15" s="31">
        <f>'3ra pregunta'!F69</f>
        <v>2.6</v>
      </c>
      <c r="O15" s="31">
        <f>'3ra pregunta'!G69</f>
        <v>3</v>
      </c>
    </row>
    <row r="16" spans="2:15">
      <c r="F16" s="79" t="s">
        <v>55</v>
      </c>
      <c r="G16" s="79"/>
      <c r="H16" s="79" t="s">
        <v>56</v>
      </c>
      <c r="I16" s="79"/>
      <c r="J16" s="79" t="s">
        <v>57</v>
      </c>
      <c r="K16" s="79"/>
      <c r="L16" s="79" t="s">
        <v>58</v>
      </c>
      <c r="M16" s="79"/>
      <c r="N16" s="79" t="s">
        <v>59</v>
      </c>
      <c r="O16" s="79"/>
    </row>
    <row r="17" spans="2:16">
      <c r="E17" s="17" t="s">
        <v>81</v>
      </c>
      <c r="F17" s="17" t="s">
        <v>79</v>
      </c>
      <c r="G17" s="17" t="s">
        <v>80</v>
      </c>
      <c r="H17" s="17" t="s">
        <v>79</v>
      </c>
      <c r="I17" s="17" t="s">
        <v>80</v>
      </c>
      <c r="J17" s="17" t="s">
        <v>79</v>
      </c>
      <c r="K17" s="17" t="s">
        <v>80</v>
      </c>
      <c r="L17" s="17" t="s">
        <v>79</v>
      </c>
      <c r="M17" s="17" t="s">
        <v>80</v>
      </c>
      <c r="N17" s="17" t="s">
        <v>79</v>
      </c>
      <c r="O17" s="17" t="s">
        <v>80</v>
      </c>
    </row>
    <row r="18" spans="2:16">
      <c r="B18" s="79" t="s">
        <v>93</v>
      </c>
      <c r="C18" s="79"/>
      <c r="E18" s="17">
        <v>5</v>
      </c>
      <c r="F18" s="17">
        <v>0</v>
      </c>
      <c r="G18" s="32">
        <f>F18+($G$15*5)</f>
        <v>15</v>
      </c>
      <c r="H18" s="32">
        <f>G18</f>
        <v>15</v>
      </c>
      <c r="I18" s="17">
        <f>H18+($I$15*5)</f>
        <v>28.75</v>
      </c>
      <c r="J18" s="17">
        <f>I18</f>
        <v>28.75</v>
      </c>
      <c r="K18" s="32">
        <f>J18+($K$15*5)</f>
        <v>42.083333333333329</v>
      </c>
      <c r="L18" s="32">
        <f>K18</f>
        <v>42.083333333333329</v>
      </c>
      <c r="M18" s="32">
        <f>L18+(5*$M$15)</f>
        <v>55.083333333333329</v>
      </c>
      <c r="N18" s="32">
        <f>M18</f>
        <v>55.083333333333329</v>
      </c>
      <c r="O18" s="32">
        <f>N18+(5*$O$15)</f>
        <v>70.083333333333329</v>
      </c>
    </row>
    <row r="19" spans="2:16">
      <c r="B19" s="32">
        <f>(G15*5)+(I15*5)+(K15*5)+(M15*5)</f>
        <v>55.083333333333329</v>
      </c>
      <c r="C19" s="32">
        <f>E18*O15</f>
        <v>15</v>
      </c>
      <c r="E19" s="17">
        <v>5</v>
      </c>
      <c r="F19" s="32">
        <f>G18</f>
        <v>15</v>
      </c>
      <c r="G19" s="32">
        <f t="shared" ref="G19:G43" si="2">F19+($G$15*5)</f>
        <v>30</v>
      </c>
      <c r="H19" s="32">
        <f t="shared" ref="H19:H43" si="3">G19</f>
        <v>30</v>
      </c>
      <c r="I19" s="17">
        <f t="shared" ref="I19:I43" si="4">H19+($I$15*5)</f>
        <v>43.75</v>
      </c>
      <c r="J19" s="17">
        <f t="shared" ref="J19:J43" si="5">I19</f>
        <v>43.75</v>
      </c>
      <c r="K19" s="32">
        <f t="shared" ref="K19:K43" si="6">J19+($K$15*5)</f>
        <v>57.083333333333329</v>
      </c>
      <c r="L19" s="32">
        <f t="shared" ref="L19:L43" si="7">K19</f>
        <v>57.083333333333329</v>
      </c>
      <c r="M19" s="32">
        <f t="shared" ref="M19:M43" si="8">L19+(5*$M$15)</f>
        <v>70.083333333333329</v>
      </c>
      <c r="N19" s="32">
        <f t="shared" ref="N19:N43" si="9">M19</f>
        <v>70.083333333333329</v>
      </c>
      <c r="O19" s="32">
        <f t="shared" ref="O19:O43" si="10">N19+(5*$O$15)</f>
        <v>85.083333333333329</v>
      </c>
      <c r="P19" s="31"/>
    </row>
    <row r="20" spans="2:16">
      <c r="B20" s="32">
        <f>O14-B19</f>
        <v>394.91666666666669</v>
      </c>
      <c r="C20" s="32">
        <f>B20/C19</f>
        <v>26.327777777777779</v>
      </c>
      <c r="E20" s="17">
        <v>5</v>
      </c>
      <c r="F20" s="32">
        <f t="shared" ref="F20:F43" si="11">G19</f>
        <v>30</v>
      </c>
      <c r="G20" s="32">
        <f t="shared" si="2"/>
        <v>45</v>
      </c>
      <c r="H20" s="32">
        <f t="shared" si="3"/>
        <v>45</v>
      </c>
      <c r="I20" s="17">
        <f t="shared" si="4"/>
        <v>58.75</v>
      </c>
      <c r="J20" s="17">
        <f t="shared" si="5"/>
        <v>58.75</v>
      </c>
      <c r="K20" s="32">
        <f t="shared" si="6"/>
        <v>72.083333333333329</v>
      </c>
      <c r="L20" s="32">
        <f t="shared" si="7"/>
        <v>72.083333333333329</v>
      </c>
      <c r="M20" s="32">
        <f t="shared" si="8"/>
        <v>85.083333333333329</v>
      </c>
      <c r="N20" s="32">
        <f t="shared" si="9"/>
        <v>85.083333333333329</v>
      </c>
      <c r="O20" s="32">
        <f t="shared" si="10"/>
        <v>100.08333333333333</v>
      </c>
      <c r="P20" s="31"/>
    </row>
    <row r="21" spans="2:16">
      <c r="C21" s="32">
        <f>ROUNDDOWN(C20,0)</f>
        <v>26</v>
      </c>
      <c r="D21" s="31"/>
      <c r="E21" s="17">
        <v>5</v>
      </c>
      <c r="F21" s="32">
        <f t="shared" si="11"/>
        <v>45</v>
      </c>
      <c r="G21" s="32">
        <f t="shared" si="2"/>
        <v>60</v>
      </c>
      <c r="H21" s="32">
        <f t="shared" si="3"/>
        <v>60</v>
      </c>
      <c r="I21" s="17">
        <f t="shared" si="4"/>
        <v>73.75</v>
      </c>
      <c r="J21" s="17">
        <f t="shared" si="5"/>
        <v>73.75</v>
      </c>
      <c r="K21" s="32">
        <f t="shared" si="6"/>
        <v>87.083333333333329</v>
      </c>
      <c r="L21" s="32">
        <f t="shared" si="7"/>
        <v>87.083333333333329</v>
      </c>
      <c r="M21" s="32">
        <f t="shared" si="8"/>
        <v>100.08333333333333</v>
      </c>
      <c r="N21" s="32">
        <f t="shared" si="9"/>
        <v>100.08333333333333</v>
      </c>
      <c r="O21" s="32">
        <f t="shared" si="10"/>
        <v>115.08333333333333</v>
      </c>
    </row>
    <row r="22" spans="2:16">
      <c r="B22" s="79" t="s">
        <v>83</v>
      </c>
      <c r="C22" s="79"/>
      <c r="E22" s="17">
        <v>5</v>
      </c>
      <c r="F22" s="32">
        <f t="shared" si="11"/>
        <v>60</v>
      </c>
      <c r="G22" s="32">
        <f t="shared" si="2"/>
        <v>75</v>
      </c>
      <c r="H22" s="32">
        <f t="shared" si="3"/>
        <v>75</v>
      </c>
      <c r="I22" s="17">
        <f t="shared" si="4"/>
        <v>88.75</v>
      </c>
      <c r="J22" s="17">
        <f t="shared" si="5"/>
        <v>88.75</v>
      </c>
      <c r="K22" s="32">
        <f t="shared" si="6"/>
        <v>102.08333333333333</v>
      </c>
      <c r="L22" s="32">
        <f t="shared" si="7"/>
        <v>102.08333333333333</v>
      </c>
      <c r="M22" s="32">
        <f t="shared" si="8"/>
        <v>115.08333333333333</v>
      </c>
      <c r="N22" s="32">
        <f t="shared" si="9"/>
        <v>115.08333333333333</v>
      </c>
      <c r="O22" s="32">
        <f t="shared" si="10"/>
        <v>130.08333333333331</v>
      </c>
    </row>
    <row r="23" spans="2:16">
      <c r="B23" t="s">
        <v>70</v>
      </c>
      <c r="C23" s="18">
        <f>C21*D10</f>
        <v>52</v>
      </c>
      <c r="E23" s="17">
        <v>5</v>
      </c>
      <c r="F23" s="32">
        <f t="shared" si="11"/>
        <v>75</v>
      </c>
      <c r="G23" s="32">
        <f t="shared" si="2"/>
        <v>90</v>
      </c>
      <c r="H23" s="32">
        <f t="shared" si="3"/>
        <v>90</v>
      </c>
      <c r="I23" s="17">
        <f t="shared" si="4"/>
        <v>103.75</v>
      </c>
      <c r="J23" s="17">
        <f t="shared" si="5"/>
        <v>103.75</v>
      </c>
      <c r="K23" s="32">
        <f t="shared" si="6"/>
        <v>117.08333333333333</v>
      </c>
      <c r="L23" s="32">
        <f t="shared" si="7"/>
        <v>117.08333333333333</v>
      </c>
      <c r="M23" s="32">
        <f t="shared" si="8"/>
        <v>130.08333333333331</v>
      </c>
      <c r="N23" s="32">
        <f t="shared" si="9"/>
        <v>130.08333333333331</v>
      </c>
      <c r="O23" s="32">
        <f t="shared" si="10"/>
        <v>145.08333333333331</v>
      </c>
    </row>
    <row r="24" spans="2:16">
      <c r="B24" t="s">
        <v>71</v>
      </c>
      <c r="C24" s="17">
        <f>C21*D11</f>
        <v>26</v>
      </c>
      <c r="E24" s="17">
        <v>5</v>
      </c>
      <c r="F24" s="32">
        <f t="shared" si="11"/>
        <v>90</v>
      </c>
      <c r="G24" s="32">
        <f t="shared" si="2"/>
        <v>105</v>
      </c>
      <c r="H24" s="32">
        <f t="shared" si="3"/>
        <v>105</v>
      </c>
      <c r="I24" s="17">
        <f t="shared" si="4"/>
        <v>118.75</v>
      </c>
      <c r="J24" s="17">
        <f t="shared" si="5"/>
        <v>118.75</v>
      </c>
      <c r="K24" s="32">
        <f t="shared" si="6"/>
        <v>132.08333333333334</v>
      </c>
      <c r="L24" s="32">
        <f t="shared" si="7"/>
        <v>132.08333333333334</v>
      </c>
      <c r="M24" s="32">
        <f t="shared" si="8"/>
        <v>145.08333333333334</v>
      </c>
      <c r="N24" s="32">
        <f t="shared" si="9"/>
        <v>145.08333333333334</v>
      </c>
      <c r="O24" s="32">
        <f t="shared" si="10"/>
        <v>160.08333333333334</v>
      </c>
    </row>
    <row r="25" spans="2:16">
      <c r="B25" t="s">
        <v>72</v>
      </c>
      <c r="C25" s="17">
        <f>C21*D12</f>
        <v>52</v>
      </c>
      <c r="E25" s="17">
        <v>5</v>
      </c>
      <c r="F25" s="32">
        <f t="shared" si="11"/>
        <v>105</v>
      </c>
      <c r="G25" s="32">
        <f t="shared" si="2"/>
        <v>120</v>
      </c>
      <c r="H25" s="32">
        <f t="shared" si="3"/>
        <v>120</v>
      </c>
      <c r="I25" s="17">
        <f t="shared" si="4"/>
        <v>133.75</v>
      </c>
      <c r="J25" s="17">
        <f t="shared" si="5"/>
        <v>133.75</v>
      </c>
      <c r="K25" s="32">
        <f t="shared" si="6"/>
        <v>147.08333333333334</v>
      </c>
      <c r="L25" s="32">
        <f t="shared" si="7"/>
        <v>147.08333333333334</v>
      </c>
      <c r="M25" s="32">
        <f t="shared" si="8"/>
        <v>160.08333333333334</v>
      </c>
      <c r="N25" s="32">
        <f t="shared" si="9"/>
        <v>160.08333333333334</v>
      </c>
      <c r="O25" s="32">
        <f t="shared" si="10"/>
        <v>175.08333333333334</v>
      </c>
    </row>
    <row r="26" spans="2:16">
      <c r="C26" s="18">
        <f>SUM(C23:C25)</f>
        <v>130</v>
      </c>
      <c r="E26" s="17">
        <v>5</v>
      </c>
      <c r="F26" s="32">
        <f t="shared" si="11"/>
        <v>120</v>
      </c>
      <c r="G26" s="32">
        <f t="shared" si="2"/>
        <v>135</v>
      </c>
      <c r="H26" s="32">
        <f t="shared" si="3"/>
        <v>135</v>
      </c>
      <c r="I26" s="17">
        <f t="shared" si="4"/>
        <v>148.75</v>
      </c>
      <c r="J26" s="17">
        <f t="shared" si="5"/>
        <v>148.75</v>
      </c>
      <c r="K26" s="32">
        <f t="shared" si="6"/>
        <v>162.08333333333334</v>
      </c>
      <c r="L26" s="32">
        <f t="shared" si="7"/>
        <v>162.08333333333334</v>
      </c>
      <c r="M26" s="32">
        <f t="shared" si="8"/>
        <v>175.08333333333334</v>
      </c>
      <c r="N26" s="32">
        <f t="shared" si="9"/>
        <v>175.08333333333334</v>
      </c>
      <c r="O26" s="32">
        <f t="shared" si="10"/>
        <v>190.08333333333334</v>
      </c>
    </row>
    <row r="27" spans="2:16">
      <c r="E27" s="17">
        <v>5</v>
      </c>
      <c r="F27" s="32">
        <f t="shared" si="11"/>
        <v>135</v>
      </c>
      <c r="G27" s="32">
        <f t="shared" si="2"/>
        <v>150</v>
      </c>
      <c r="H27" s="32">
        <f t="shared" si="3"/>
        <v>150</v>
      </c>
      <c r="I27" s="17">
        <f t="shared" si="4"/>
        <v>163.75</v>
      </c>
      <c r="J27" s="17">
        <f t="shared" si="5"/>
        <v>163.75</v>
      </c>
      <c r="K27" s="32">
        <f t="shared" si="6"/>
        <v>177.08333333333334</v>
      </c>
      <c r="L27" s="32">
        <f t="shared" si="7"/>
        <v>177.08333333333334</v>
      </c>
      <c r="M27" s="32">
        <f t="shared" si="8"/>
        <v>190.08333333333334</v>
      </c>
      <c r="N27" s="32">
        <f t="shared" si="9"/>
        <v>190.08333333333334</v>
      </c>
      <c r="O27" s="32">
        <f t="shared" si="10"/>
        <v>205.08333333333334</v>
      </c>
    </row>
    <row r="28" spans="2:16">
      <c r="B28">
        <v>7</v>
      </c>
      <c r="C28">
        <v>0.5</v>
      </c>
      <c r="D28">
        <f>2*0.36</f>
        <v>0.72</v>
      </c>
      <c r="E28" s="17">
        <v>5</v>
      </c>
      <c r="F28" s="32">
        <f t="shared" si="11"/>
        <v>150</v>
      </c>
      <c r="G28" s="32">
        <f t="shared" si="2"/>
        <v>165</v>
      </c>
      <c r="H28" s="32">
        <f t="shared" si="3"/>
        <v>165</v>
      </c>
      <c r="I28" s="17">
        <f t="shared" si="4"/>
        <v>178.75</v>
      </c>
      <c r="J28" s="17">
        <f t="shared" si="5"/>
        <v>178.75</v>
      </c>
      <c r="K28" s="32">
        <f t="shared" si="6"/>
        <v>192.08333333333334</v>
      </c>
      <c r="L28" s="32">
        <f t="shared" si="7"/>
        <v>192.08333333333334</v>
      </c>
      <c r="M28" s="32">
        <f t="shared" si="8"/>
        <v>205.08333333333334</v>
      </c>
      <c r="N28" s="32">
        <f t="shared" si="9"/>
        <v>205.08333333333334</v>
      </c>
      <c r="O28" s="32">
        <f t="shared" si="10"/>
        <v>220.08333333333334</v>
      </c>
    </row>
    <row r="29" spans="2:16">
      <c r="E29" s="17">
        <v>5</v>
      </c>
      <c r="F29" s="32">
        <f t="shared" si="11"/>
        <v>165</v>
      </c>
      <c r="G29" s="32">
        <f t="shared" si="2"/>
        <v>180</v>
      </c>
      <c r="H29" s="32">
        <f t="shared" si="3"/>
        <v>180</v>
      </c>
      <c r="I29" s="17">
        <f t="shared" si="4"/>
        <v>193.75</v>
      </c>
      <c r="J29" s="17">
        <f t="shared" si="5"/>
        <v>193.75</v>
      </c>
      <c r="K29" s="32">
        <f t="shared" si="6"/>
        <v>207.08333333333334</v>
      </c>
      <c r="L29" s="32">
        <f t="shared" si="7"/>
        <v>207.08333333333334</v>
      </c>
      <c r="M29" s="32">
        <f t="shared" si="8"/>
        <v>220.08333333333334</v>
      </c>
      <c r="N29" s="32">
        <f t="shared" si="9"/>
        <v>220.08333333333334</v>
      </c>
      <c r="O29" s="32">
        <f t="shared" si="10"/>
        <v>235.08333333333334</v>
      </c>
    </row>
    <row r="30" spans="2:16">
      <c r="C30">
        <f>B28-C28-D28</f>
        <v>5.78</v>
      </c>
      <c r="E30" s="17">
        <v>5</v>
      </c>
      <c r="F30" s="32">
        <f t="shared" si="11"/>
        <v>180</v>
      </c>
      <c r="G30" s="32">
        <f t="shared" si="2"/>
        <v>195</v>
      </c>
      <c r="H30" s="32">
        <f t="shared" si="3"/>
        <v>195</v>
      </c>
      <c r="I30" s="17">
        <f t="shared" si="4"/>
        <v>208.75</v>
      </c>
      <c r="J30" s="17">
        <f t="shared" si="5"/>
        <v>208.75</v>
      </c>
      <c r="K30" s="32">
        <f t="shared" si="6"/>
        <v>222.08333333333334</v>
      </c>
      <c r="L30" s="32">
        <f t="shared" si="7"/>
        <v>222.08333333333334</v>
      </c>
      <c r="M30" s="32">
        <f t="shared" si="8"/>
        <v>235.08333333333334</v>
      </c>
      <c r="N30" s="32">
        <f t="shared" si="9"/>
        <v>235.08333333333334</v>
      </c>
      <c r="O30" s="32">
        <f t="shared" si="10"/>
        <v>250.08333333333334</v>
      </c>
    </row>
    <row r="31" spans="2:16">
      <c r="C31">
        <f>C30/0.36</f>
        <v>16.055555555555557</v>
      </c>
      <c r="E31" s="17">
        <v>5</v>
      </c>
      <c r="F31" s="32">
        <f t="shared" si="11"/>
        <v>195</v>
      </c>
      <c r="G31" s="32">
        <f t="shared" si="2"/>
        <v>210</v>
      </c>
      <c r="H31" s="32">
        <f t="shared" si="3"/>
        <v>210</v>
      </c>
      <c r="I31" s="17">
        <f t="shared" si="4"/>
        <v>223.75</v>
      </c>
      <c r="J31" s="17">
        <f t="shared" si="5"/>
        <v>223.75</v>
      </c>
      <c r="K31" s="32">
        <f t="shared" si="6"/>
        <v>237.08333333333334</v>
      </c>
      <c r="L31" s="32">
        <f t="shared" si="7"/>
        <v>237.08333333333334</v>
      </c>
      <c r="M31" s="32">
        <f t="shared" si="8"/>
        <v>250.08333333333334</v>
      </c>
      <c r="N31" s="32">
        <f t="shared" si="9"/>
        <v>250.08333333333334</v>
      </c>
      <c r="O31" s="32">
        <f t="shared" si="10"/>
        <v>265.08333333333337</v>
      </c>
    </row>
    <row r="32" spans="2:16">
      <c r="E32" s="17">
        <v>5</v>
      </c>
      <c r="F32" s="32">
        <f t="shared" si="11"/>
        <v>210</v>
      </c>
      <c r="G32" s="32">
        <f t="shared" si="2"/>
        <v>225</v>
      </c>
      <c r="H32" s="32">
        <f t="shared" si="3"/>
        <v>225</v>
      </c>
      <c r="I32" s="17">
        <f t="shared" si="4"/>
        <v>238.75</v>
      </c>
      <c r="J32" s="17">
        <f t="shared" si="5"/>
        <v>238.75</v>
      </c>
      <c r="K32" s="32">
        <f t="shared" si="6"/>
        <v>252.08333333333334</v>
      </c>
      <c r="L32" s="32">
        <f t="shared" si="7"/>
        <v>252.08333333333334</v>
      </c>
      <c r="M32" s="32">
        <f t="shared" si="8"/>
        <v>265.08333333333337</v>
      </c>
      <c r="N32" s="32">
        <f t="shared" si="9"/>
        <v>265.08333333333337</v>
      </c>
      <c r="O32" s="32">
        <f t="shared" si="10"/>
        <v>280.08333333333337</v>
      </c>
    </row>
    <row r="33" spans="5:15">
      <c r="E33" s="17">
        <v>5</v>
      </c>
      <c r="F33" s="32">
        <f t="shared" si="11"/>
        <v>225</v>
      </c>
      <c r="G33" s="32">
        <f t="shared" si="2"/>
        <v>240</v>
      </c>
      <c r="H33" s="32">
        <f t="shared" si="3"/>
        <v>240</v>
      </c>
      <c r="I33" s="17">
        <f t="shared" si="4"/>
        <v>253.75</v>
      </c>
      <c r="J33" s="17">
        <f t="shared" si="5"/>
        <v>253.75</v>
      </c>
      <c r="K33" s="32">
        <f t="shared" si="6"/>
        <v>267.08333333333331</v>
      </c>
      <c r="L33" s="32">
        <f t="shared" si="7"/>
        <v>267.08333333333331</v>
      </c>
      <c r="M33" s="32">
        <f t="shared" si="8"/>
        <v>280.08333333333331</v>
      </c>
      <c r="N33" s="32">
        <f t="shared" si="9"/>
        <v>280.08333333333331</v>
      </c>
      <c r="O33" s="32">
        <f t="shared" si="10"/>
        <v>295.08333333333331</v>
      </c>
    </row>
    <row r="34" spans="5:15">
      <c r="E34" s="17">
        <v>5</v>
      </c>
      <c r="F34" s="32">
        <f t="shared" si="11"/>
        <v>240</v>
      </c>
      <c r="G34" s="32">
        <f t="shared" si="2"/>
        <v>255</v>
      </c>
      <c r="H34" s="32">
        <f t="shared" si="3"/>
        <v>255</v>
      </c>
      <c r="I34" s="17">
        <f t="shared" si="4"/>
        <v>268.75</v>
      </c>
      <c r="J34" s="17">
        <f t="shared" si="5"/>
        <v>268.75</v>
      </c>
      <c r="K34" s="32">
        <f t="shared" si="6"/>
        <v>282.08333333333331</v>
      </c>
      <c r="L34" s="32">
        <f t="shared" si="7"/>
        <v>282.08333333333331</v>
      </c>
      <c r="M34" s="32">
        <f t="shared" si="8"/>
        <v>295.08333333333331</v>
      </c>
      <c r="N34" s="32">
        <f t="shared" si="9"/>
        <v>295.08333333333331</v>
      </c>
      <c r="O34" s="32">
        <f t="shared" si="10"/>
        <v>310.08333333333331</v>
      </c>
    </row>
    <row r="35" spans="5:15">
      <c r="E35" s="17">
        <v>5</v>
      </c>
      <c r="F35" s="32">
        <f t="shared" si="11"/>
        <v>255</v>
      </c>
      <c r="G35" s="32">
        <f t="shared" si="2"/>
        <v>270</v>
      </c>
      <c r="H35" s="32">
        <f t="shared" si="3"/>
        <v>270</v>
      </c>
      <c r="I35" s="17">
        <f t="shared" si="4"/>
        <v>283.75</v>
      </c>
      <c r="J35" s="17">
        <f t="shared" si="5"/>
        <v>283.75</v>
      </c>
      <c r="K35" s="32">
        <f t="shared" si="6"/>
        <v>297.08333333333331</v>
      </c>
      <c r="L35" s="32">
        <f t="shared" si="7"/>
        <v>297.08333333333331</v>
      </c>
      <c r="M35" s="32">
        <f t="shared" si="8"/>
        <v>310.08333333333331</v>
      </c>
      <c r="N35" s="32">
        <f t="shared" si="9"/>
        <v>310.08333333333331</v>
      </c>
      <c r="O35" s="32">
        <f t="shared" si="10"/>
        <v>325.08333333333331</v>
      </c>
    </row>
    <row r="36" spans="5:15">
      <c r="E36" s="17">
        <v>5</v>
      </c>
      <c r="F36" s="32">
        <f t="shared" si="11"/>
        <v>270</v>
      </c>
      <c r="G36" s="32">
        <f t="shared" si="2"/>
        <v>285</v>
      </c>
      <c r="H36" s="32">
        <f t="shared" si="3"/>
        <v>285</v>
      </c>
      <c r="I36" s="17">
        <f t="shared" si="4"/>
        <v>298.75</v>
      </c>
      <c r="J36" s="17">
        <f t="shared" si="5"/>
        <v>298.75</v>
      </c>
      <c r="K36" s="32">
        <f t="shared" si="6"/>
        <v>312.08333333333331</v>
      </c>
      <c r="L36" s="32">
        <f t="shared" si="7"/>
        <v>312.08333333333331</v>
      </c>
      <c r="M36" s="32">
        <f t="shared" si="8"/>
        <v>325.08333333333331</v>
      </c>
      <c r="N36" s="32">
        <f t="shared" si="9"/>
        <v>325.08333333333331</v>
      </c>
      <c r="O36" s="32">
        <f t="shared" si="10"/>
        <v>340.08333333333331</v>
      </c>
    </row>
    <row r="37" spans="5:15">
      <c r="E37" s="17">
        <v>5</v>
      </c>
      <c r="F37" s="32">
        <f t="shared" si="11"/>
        <v>285</v>
      </c>
      <c r="G37" s="32">
        <f t="shared" si="2"/>
        <v>300</v>
      </c>
      <c r="H37" s="32">
        <f t="shared" si="3"/>
        <v>300</v>
      </c>
      <c r="I37" s="17">
        <f t="shared" si="4"/>
        <v>313.75</v>
      </c>
      <c r="J37" s="17">
        <f t="shared" si="5"/>
        <v>313.75</v>
      </c>
      <c r="K37" s="32">
        <f t="shared" si="6"/>
        <v>327.08333333333331</v>
      </c>
      <c r="L37" s="32">
        <f t="shared" si="7"/>
        <v>327.08333333333331</v>
      </c>
      <c r="M37" s="32">
        <f t="shared" si="8"/>
        <v>340.08333333333331</v>
      </c>
      <c r="N37" s="32">
        <f t="shared" si="9"/>
        <v>340.08333333333331</v>
      </c>
      <c r="O37" s="32">
        <f t="shared" si="10"/>
        <v>355.08333333333331</v>
      </c>
    </row>
    <row r="38" spans="5:15">
      <c r="E38" s="17">
        <v>5</v>
      </c>
      <c r="F38" s="32">
        <f t="shared" si="11"/>
        <v>300</v>
      </c>
      <c r="G38" s="32">
        <f t="shared" si="2"/>
        <v>315</v>
      </c>
      <c r="H38" s="32">
        <f t="shared" si="3"/>
        <v>315</v>
      </c>
      <c r="I38" s="17">
        <f t="shared" si="4"/>
        <v>328.75</v>
      </c>
      <c r="J38" s="17">
        <f t="shared" si="5"/>
        <v>328.75</v>
      </c>
      <c r="K38" s="32">
        <f t="shared" si="6"/>
        <v>342.08333333333331</v>
      </c>
      <c r="L38" s="32">
        <f t="shared" si="7"/>
        <v>342.08333333333331</v>
      </c>
      <c r="M38" s="32">
        <f t="shared" si="8"/>
        <v>355.08333333333331</v>
      </c>
      <c r="N38" s="32">
        <f t="shared" si="9"/>
        <v>355.08333333333331</v>
      </c>
      <c r="O38" s="32">
        <f t="shared" si="10"/>
        <v>370.08333333333331</v>
      </c>
    </row>
    <row r="39" spans="5:15">
      <c r="E39" s="17">
        <v>5</v>
      </c>
      <c r="F39" s="32">
        <f t="shared" si="11"/>
        <v>315</v>
      </c>
      <c r="G39" s="32">
        <f t="shared" si="2"/>
        <v>330</v>
      </c>
      <c r="H39" s="32">
        <f t="shared" si="3"/>
        <v>330</v>
      </c>
      <c r="I39" s="17">
        <f t="shared" si="4"/>
        <v>343.75</v>
      </c>
      <c r="J39" s="17">
        <f t="shared" si="5"/>
        <v>343.75</v>
      </c>
      <c r="K39" s="32">
        <f t="shared" si="6"/>
        <v>357.08333333333331</v>
      </c>
      <c r="L39" s="32">
        <f t="shared" si="7"/>
        <v>357.08333333333331</v>
      </c>
      <c r="M39" s="32">
        <f t="shared" si="8"/>
        <v>370.08333333333331</v>
      </c>
      <c r="N39" s="32">
        <f t="shared" si="9"/>
        <v>370.08333333333331</v>
      </c>
      <c r="O39" s="32">
        <f t="shared" si="10"/>
        <v>385.08333333333331</v>
      </c>
    </row>
    <row r="40" spans="5:15">
      <c r="E40" s="17">
        <v>5</v>
      </c>
      <c r="F40" s="32">
        <f t="shared" si="11"/>
        <v>330</v>
      </c>
      <c r="G40" s="32">
        <f t="shared" si="2"/>
        <v>345</v>
      </c>
      <c r="H40" s="32">
        <f t="shared" si="3"/>
        <v>345</v>
      </c>
      <c r="I40" s="17">
        <f t="shared" si="4"/>
        <v>358.75</v>
      </c>
      <c r="J40" s="17">
        <f t="shared" si="5"/>
        <v>358.75</v>
      </c>
      <c r="K40" s="32">
        <f t="shared" si="6"/>
        <v>372.08333333333331</v>
      </c>
      <c r="L40" s="32">
        <f t="shared" si="7"/>
        <v>372.08333333333331</v>
      </c>
      <c r="M40" s="32">
        <f t="shared" si="8"/>
        <v>385.08333333333331</v>
      </c>
      <c r="N40" s="32">
        <f t="shared" si="9"/>
        <v>385.08333333333331</v>
      </c>
      <c r="O40" s="32">
        <f t="shared" si="10"/>
        <v>400.08333333333331</v>
      </c>
    </row>
    <row r="41" spans="5:15">
      <c r="E41" s="17">
        <v>5</v>
      </c>
      <c r="F41" s="32">
        <f t="shared" si="11"/>
        <v>345</v>
      </c>
      <c r="G41" s="32">
        <f t="shared" si="2"/>
        <v>360</v>
      </c>
      <c r="H41" s="32">
        <f t="shared" si="3"/>
        <v>360</v>
      </c>
      <c r="I41" s="17">
        <f t="shared" si="4"/>
        <v>373.75</v>
      </c>
      <c r="J41" s="17">
        <f t="shared" si="5"/>
        <v>373.75</v>
      </c>
      <c r="K41" s="32">
        <f t="shared" si="6"/>
        <v>387.08333333333331</v>
      </c>
      <c r="L41" s="32">
        <f t="shared" si="7"/>
        <v>387.08333333333331</v>
      </c>
      <c r="M41" s="32">
        <f t="shared" si="8"/>
        <v>400.08333333333331</v>
      </c>
      <c r="N41" s="32">
        <f t="shared" si="9"/>
        <v>400.08333333333331</v>
      </c>
      <c r="O41" s="32">
        <f t="shared" si="10"/>
        <v>415.08333333333331</v>
      </c>
    </row>
    <row r="42" spans="5:15">
      <c r="E42" s="17">
        <v>5</v>
      </c>
      <c r="F42" s="32">
        <f t="shared" si="11"/>
        <v>360</v>
      </c>
      <c r="G42" s="32">
        <f t="shared" si="2"/>
        <v>375</v>
      </c>
      <c r="H42" s="32">
        <f t="shared" si="3"/>
        <v>375</v>
      </c>
      <c r="I42" s="17">
        <f t="shared" si="4"/>
        <v>388.75</v>
      </c>
      <c r="J42" s="17">
        <f t="shared" si="5"/>
        <v>388.75</v>
      </c>
      <c r="K42" s="32">
        <f t="shared" si="6"/>
        <v>402.08333333333331</v>
      </c>
      <c r="L42" s="32">
        <f t="shared" si="7"/>
        <v>402.08333333333331</v>
      </c>
      <c r="M42" s="32">
        <f t="shared" si="8"/>
        <v>415.08333333333331</v>
      </c>
      <c r="N42" s="32">
        <f t="shared" si="9"/>
        <v>415.08333333333331</v>
      </c>
      <c r="O42" s="32">
        <f t="shared" si="10"/>
        <v>430.08333333333331</v>
      </c>
    </row>
    <row r="43" spans="5:15">
      <c r="E43" s="17">
        <v>5</v>
      </c>
      <c r="F43" s="32">
        <f t="shared" si="11"/>
        <v>375</v>
      </c>
      <c r="G43" s="32">
        <f t="shared" si="2"/>
        <v>390</v>
      </c>
      <c r="H43" s="32">
        <f t="shared" si="3"/>
        <v>390</v>
      </c>
      <c r="I43" s="17">
        <f t="shared" si="4"/>
        <v>403.75</v>
      </c>
      <c r="J43" s="17">
        <f t="shared" si="5"/>
        <v>403.75</v>
      </c>
      <c r="K43" s="32">
        <f t="shared" si="6"/>
        <v>417.08333333333331</v>
      </c>
      <c r="L43" s="32">
        <f t="shared" si="7"/>
        <v>417.08333333333331</v>
      </c>
      <c r="M43" s="32">
        <f t="shared" si="8"/>
        <v>430.08333333333331</v>
      </c>
      <c r="N43" s="32">
        <f t="shared" si="9"/>
        <v>430.08333333333331</v>
      </c>
      <c r="O43" s="32">
        <f t="shared" si="10"/>
        <v>445.08333333333331</v>
      </c>
    </row>
    <row r="44" spans="5:15">
      <c r="E44" s="17">
        <f>SUM(E18:E43)</f>
        <v>130</v>
      </c>
      <c r="O44" s="32"/>
    </row>
  </sheetData>
  <mergeCells count="8">
    <mergeCell ref="L16:M16"/>
    <mergeCell ref="N16:O16"/>
    <mergeCell ref="B18:C18"/>
    <mergeCell ref="B22:C22"/>
    <mergeCell ref="B9:D9"/>
    <mergeCell ref="F16:G16"/>
    <mergeCell ref="H16:I16"/>
    <mergeCell ref="J16:K16"/>
  </mergeCells>
  <pageMargins left="0.75" right="0.75" top="1" bottom="1" header="0.5" footer="0.5"/>
  <pageSetup orientation="portrait" horizontalDpi="4294967292" verticalDpi="4294967292"/>
  <ignoredErrors>
    <ignoredError sqref="K18:K28 I18:I28 M18 M19:M28 I29:I43 K29:K44 M29:M43 J4 L9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Pregunta 1</vt:lpstr>
      <vt:lpstr>Pregunta 2</vt:lpstr>
      <vt:lpstr>3ra pregunta</vt:lpstr>
      <vt:lpstr>3ra pregunta piso y UAII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2015-10-30T15:56:35Z</dcterms:created>
  <dcterms:modified xsi:type="dcterms:W3CDTF">2016-05-14T20:00:00Z</dcterms:modified>
</cp:coreProperties>
</file>