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nrique Leó/UCR/Docencia/Exámenes/Solución de Exámenes/Gerencia de Operaciones/Hasta 2019/"/>
    </mc:Choice>
  </mc:AlternateContent>
  <xr:revisionPtr revIDLastSave="0" documentId="13_ncr:1_{A00EC098-E729-3441-BBCF-F7AE4684D774}" xr6:coauthVersionLast="47" xr6:coauthVersionMax="47" xr10:uidLastSave="{00000000-0000-0000-0000-000000000000}"/>
  <bookViews>
    <workbookView xWindow="0" yWindow="500" windowWidth="38400" windowHeight="19080" tabRatio="500" xr2:uid="{00000000-000D-0000-FFFF-FFFF00000000}"/>
  </bookViews>
  <sheets>
    <sheet name="Primera pregunta" sheetId="2" r:id="rId1"/>
    <sheet name="Segunda pregunta" sheetId="6" r:id="rId2"/>
    <sheet name="Tercera pregun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6" l="1"/>
  <c r="K62" i="6"/>
  <c r="M62" i="6" s="1"/>
  <c r="N22" i="6" s="1"/>
  <c r="H14" i="6"/>
  <c r="H15" i="6" s="1"/>
  <c r="B24" i="6"/>
  <c r="H17" i="6"/>
  <c r="I17" i="6"/>
  <c r="H1" i="6"/>
  <c r="H3" i="6"/>
  <c r="B14" i="6"/>
  <c r="B16" i="6" s="1"/>
  <c r="B15" i="6"/>
  <c r="B17" i="6"/>
  <c r="C17" i="6"/>
  <c r="B41" i="6"/>
  <c r="B42" i="6" s="1"/>
  <c r="B37" i="6" s="1"/>
  <c r="D24" i="6"/>
  <c r="C35" i="6"/>
  <c r="H41" i="6"/>
  <c r="H42" i="6" s="1"/>
  <c r="E24" i="6"/>
  <c r="I35" i="6"/>
  <c r="D17" i="6"/>
  <c r="J17" i="6"/>
  <c r="N16" i="6"/>
  <c r="N19" i="6"/>
  <c r="M59" i="6"/>
  <c r="M60" i="6"/>
  <c r="M61" i="6"/>
  <c r="M53" i="6"/>
  <c r="N53" i="6" s="1"/>
  <c r="I59" i="6" s="1"/>
  <c r="M54" i="6"/>
  <c r="N54" i="6" s="1"/>
  <c r="I60" i="6" s="1"/>
  <c r="M55" i="6"/>
  <c r="N55" i="6" s="1"/>
  <c r="I61" i="6" s="1"/>
  <c r="D53" i="6"/>
  <c r="L13" i="3"/>
  <c r="W16" i="3"/>
  <c r="X16" i="3" s="1"/>
  <c r="Y16" i="3" s="1"/>
  <c r="AB16" i="3" s="1"/>
  <c r="AC16" i="3" s="1"/>
  <c r="AD16" i="3" s="1"/>
  <c r="S16" i="3"/>
  <c r="R16" i="3"/>
  <c r="S15" i="3"/>
  <c r="V15" i="3" s="1"/>
  <c r="W15" i="3" s="1"/>
  <c r="X15" i="3" s="1"/>
  <c r="Y15" i="3" s="1"/>
  <c r="AB15" i="3" s="1"/>
  <c r="AC15" i="3" s="1"/>
  <c r="N19" i="3"/>
  <c r="J19" i="3"/>
  <c r="I19" i="3"/>
  <c r="N18" i="3"/>
  <c r="L19" i="3" s="1"/>
  <c r="N13" i="3"/>
  <c r="J13" i="3"/>
  <c r="H13" i="3"/>
  <c r="D13" i="3"/>
  <c r="K7" i="3"/>
  <c r="K6" i="3"/>
  <c r="K5" i="3"/>
  <c r="K4" i="3"/>
  <c r="J7" i="3"/>
  <c r="J6" i="3"/>
  <c r="J5" i="3"/>
  <c r="J4" i="3"/>
  <c r="I7" i="2"/>
  <c r="J7" i="2" s="1"/>
  <c r="K7" i="2" s="1"/>
  <c r="I6" i="2"/>
  <c r="J6" i="2" s="1"/>
  <c r="K6" i="2" s="1"/>
  <c r="I5" i="2"/>
  <c r="J5" i="2" s="1"/>
  <c r="K5" i="2" s="1"/>
  <c r="I4" i="2"/>
  <c r="J4" i="2" s="1"/>
  <c r="K4" i="2" s="1"/>
  <c r="K8" i="2" s="1"/>
  <c r="H37" i="6" l="1"/>
  <c r="I32" i="6"/>
  <c r="C32" i="6"/>
  <c r="L61" i="6"/>
  <c r="I68" i="6" s="1"/>
  <c r="J68" i="6" s="1"/>
  <c r="H16" i="6"/>
  <c r="L60" i="6"/>
  <c r="I67" i="6" s="1"/>
  <c r="L59" i="6"/>
  <c r="I66" i="6" s="1"/>
  <c r="B18" i="6"/>
  <c r="C12" i="6" s="1"/>
  <c r="J66" i="6" l="1"/>
  <c r="C33" i="6"/>
  <c r="C34" i="6" s="1"/>
  <c r="C14" i="6"/>
  <c r="I33" i="6"/>
  <c r="J67" i="6" s="1"/>
  <c r="I34" i="6"/>
  <c r="H18" i="6"/>
  <c r="I12" i="6" s="1"/>
  <c r="B64" i="6"/>
  <c r="C36" i="6" l="1"/>
  <c r="D31" i="6" s="1"/>
  <c r="C15" i="6"/>
  <c r="C16" i="6" s="1"/>
  <c r="D58" i="6"/>
  <c r="B65" i="6"/>
  <c r="C65" i="6" s="1"/>
  <c r="I36" i="6"/>
  <c r="J31" i="6" s="1"/>
  <c r="I14" i="6"/>
  <c r="B44" i="6" s="1"/>
  <c r="D35" i="6" l="1"/>
  <c r="B45" i="6"/>
  <c r="C37" i="6" s="1"/>
  <c r="C18" i="6"/>
  <c r="D12" i="6" s="1"/>
  <c r="H44" i="6"/>
  <c r="I15" i="6"/>
  <c r="I16" i="6" s="1"/>
  <c r="K68" i="6"/>
  <c r="J35" i="6" l="1"/>
  <c r="H45" i="6"/>
  <c r="D14" i="6"/>
  <c r="I18" i="6"/>
  <c r="J12" i="6" s="1"/>
  <c r="D32" i="6"/>
  <c r="J14" i="6" l="1"/>
  <c r="N17" i="6" s="1"/>
  <c r="N18" i="6" s="1"/>
  <c r="K66" i="6"/>
  <c r="D33" i="6"/>
  <c r="D34" i="6" s="1"/>
  <c r="I37" i="6"/>
  <c r="J32" i="6"/>
  <c r="D15" i="6"/>
  <c r="D16" i="6" s="1"/>
  <c r="N9" i="6"/>
  <c r="O9" i="6" s="1"/>
  <c r="D18" i="6" l="1"/>
  <c r="I72" i="6"/>
  <c r="J72" i="6" s="1"/>
  <c r="D36" i="6"/>
  <c r="E31" i="6" s="1"/>
  <c r="B67" i="6"/>
  <c r="H47" i="6"/>
  <c r="J33" i="6"/>
  <c r="K67" i="6" s="1"/>
  <c r="J34" i="6"/>
  <c r="J15" i="6"/>
  <c r="L68" i="6" s="1"/>
  <c r="N68" i="6" s="1"/>
  <c r="O68" i="6" s="1"/>
  <c r="B47" i="6"/>
  <c r="N10" i="6"/>
  <c r="O10" i="6" s="1"/>
  <c r="Q9" i="6" s="1"/>
  <c r="J61" i="6" s="1"/>
  <c r="J16" i="6"/>
  <c r="B48" i="6" l="1"/>
  <c r="D37" i="6" s="1"/>
  <c r="E35" i="6"/>
  <c r="K35" i="6"/>
  <c r="E58" i="6"/>
  <c r="J18" i="6"/>
  <c r="I73" i="6"/>
  <c r="J73" i="6" s="1"/>
  <c r="J36" i="6"/>
  <c r="K31" i="6" s="1"/>
  <c r="H48" i="6" l="1"/>
  <c r="E32" i="6"/>
  <c r="E33" i="6" l="1"/>
  <c r="N11" i="6" s="1"/>
  <c r="O11" i="6" s="1"/>
  <c r="Q11" i="6" s="1"/>
  <c r="J59" i="6" s="1"/>
  <c r="L66" i="6"/>
  <c r="N66" i="6" s="1"/>
  <c r="O66" i="6" s="1"/>
  <c r="E34" i="6"/>
  <c r="J37" i="6"/>
  <c r="K32" i="6"/>
  <c r="E36" i="6" l="1"/>
  <c r="I74" i="6"/>
  <c r="J74" i="6" s="1"/>
  <c r="K33" i="6"/>
  <c r="L67" i="6" s="1"/>
  <c r="N67" i="6" s="1"/>
  <c r="O67" i="6" s="1"/>
  <c r="O69" i="6" s="1"/>
  <c r="N20" i="6" s="1"/>
  <c r="K34" i="6"/>
  <c r="B70" i="6"/>
  <c r="N12" i="6"/>
  <c r="O12" i="6" s="1"/>
  <c r="Q12" i="6" s="1"/>
  <c r="J60" i="6" s="1"/>
  <c r="F58" i="6" l="1"/>
  <c r="B73" i="6"/>
  <c r="C73" i="6" s="1"/>
  <c r="D73" i="6" s="1"/>
  <c r="K36" i="6"/>
  <c r="I75" i="6"/>
  <c r="J75" i="6" s="1"/>
  <c r="D60" i="6" l="1"/>
  <c r="B60" i="6"/>
  <c r="D55" i="6" s="1"/>
  <c r="D57" i="6" s="1"/>
  <c r="F55" i="6"/>
  <c r="C60" i="6"/>
  <c r="E55" i="6" s="1"/>
  <c r="D59" i="6" l="1"/>
  <c r="E53" i="6" s="1"/>
  <c r="E57" i="6" l="1"/>
  <c r="B68" i="6"/>
  <c r="C68" i="6" s="1"/>
  <c r="E59" i="6" l="1"/>
  <c r="F53" i="6" s="1"/>
  <c r="F57" i="6" l="1"/>
  <c r="B71" i="6"/>
  <c r="C71" i="6" s="1"/>
  <c r="F59" i="6" l="1"/>
  <c r="I76" i="6"/>
  <c r="J76" i="6" s="1"/>
  <c r="J77" i="6" s="1"/>
  <c r="N21" i="6" s="1"/>
  <c r="N23" i="6" s="1"/>
</calcChain>
</file>

<file path=xl/sharedStrings.xml><?xml version="1.0" encoding="utf-8"?>
<sst xmlns="http://schemas.openxmlformats.org/spreadsheetml/2006/main" count="218" uniqueCount="145">
  <si>
    <t>Despacho</t>
  </si>
  <si>
    <t>Inventario Final</t>
  </si>
  <si>
    <t>Mes</t>
  </si>
  <si>
    <t>Demanda</t>
  </si>
  <si>
    <t>Inventario Inicial</t>
  </si>
  <si>
    <t>Plan de Producción</t>
  </si>
  <si>
    <t>Disponible</t>
  </si>
  <si>
    <t>Inventario en tránsito</t>
  </si>
  <si>
    <t>Periodos</t>
  </si>
  <si>
    <t>Producto P</t>
  </si>
  <si>
    <t>Producto Q</t>
  </si>
  <si>
    <t>P</t>
  </si>
  <si>
    <t>Q</t>
  </si>
  <si>
    <t xml:space="preserve"> --</t>
  </si>
  <si>
    <t>B</t>
  </si>
  <si>
    <t>Aprovechamiento</t>
  </si>
  <si>
    <t>Desperdicio</t>
  </si>
  <si>
    <t>W</t>
  </si>
  <si>
    <t>X</t>
  </si>
  <si>
    <t>Lista de materiales</t>
  </si>
  <si>
    <r>
      <t>Necesidad de W</t>
    </r>
    <r>
      <rPr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 =</t>
    </r>
  </si>
  <si>
    <r>
      <t>Necesidad de W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 =</t>
    </r>
  </si>
  <si>
    <r>
      <t>Necesidad de W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 xml:space="preserve">  =</t>
    </r>
  </si>
  <si>
    <r>
      <t>Necesidad de X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=</t>
    </r>
  </si>
  <si>
    <r>
      <t>Necesidad de X</t>
    </r>
    <r>
      <rPr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=</t>
    </r>
  </si>
  <si>
    <r>
      <t>Necesidad de X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=</t>
    </r>
  </si>
  <si>
    <t>Plan de producción</t>
  </si>
  <si>
    <t>PNCT</t>
  </si>
  <si>
    <r>
      <t>Necesidad de B-1</t>
    </r>
    <r>
      <rPr>
        <sz val="10"/>
        <rFont val="Verdana"/>
        <family val="2"/>
      </rPr>
      <t xml:space="preserve"> =</t>
    </r>
  </si>
  <si>
    <t>Necesidad de B0 =</t>
  </si>
  <si>
    <t>Necesidad de B1 =</t>
  </si>
  <si>
    <t>MZ</t>
  </si>
  <si>
    <t>MW</t>
  </si>
  <si>
    <t>MX</t>
  </si>
  <si>
    <t>Tr min/und</t>
  </si>
  <si>
    <t>E</t>
  </si>
  <si>
    <t>U</t>
  </si>
  <si>
    <t>a</t>
  </si>
  <si>
    <t>Tstd</t>
  </si>
  <si>
    <t>Tstd ajustado</t>
  </si>
  <si>
    <t>CRP específico</t>
  </si>
  <si>
    <t>Cálculos de tiempos de ejecución ajustados</t>
  </si>
  <si>
    <t>Balance del Flujo del proceso</t>
  </si>
  <si>
    <t>Tstd ajsutado</t>
  </si>
  <si>
    <t>Tstd/trp</t>
  </si>
  <si>
    <t>Unidades buenas totales</t>
  </si>
  <si>
    <t>MPS por Persecución</t>
  </si>
  <si>
    <t>TRP</t>
  </si>
  <si>
    <t>Componente W</t>
  </si>
  <si>
    <t>Componente X</t>
  </si>
  <si>
    <t>Capacidad Disponible</t>
  </si>
  <si>
    <t># de Máq</t>
  </si>
  <si>
    <t>Carga min/und</t>
  </si>
  <si>
    <t>Carga de trabajo esperada y tiempo extra por departamento</t>
  </si>
  <si>
    <t>Periodo 1</t>
  </si>
  <si>
    <t>Periodo 2</t>
  </si>
  <si>
    <t>Periodo 3</t>
  </si>
  <si>
    <t>Carga</t>
  </si>
  <si>
    <t>Tiempo extra</t>
  </si>
  <si>
    <t>Tiempo extra máximo</t>
  </si>
  <si>
    <t>Salario regular por hora</t>
  </si>
  <si>
    <t>Salario tiempo extra por hr.</t>
  </si>
  <si>
    <t>Costo de conservación</t>
  </si>
  <si>
    <t>Gasto de depreciación por maq</t>
  </si>
  <si>
    <t>Gastos de operación por periodo</t>
  </si>
  <si>
    <t>Costo T extra</t>
  </si>
  <si>
    <t>Costo de conservación total</t>
  </si>
  <si>
    <t>Ch</t>
  </si>
  <si>
    <t>Ventas</t>
  </si>
  <si>
    <t>CMP</t>
  </si>
  <si>
    <t>U bruta</t>
  </si>
  <si>
    <t>Producto</t>
  </si>
  <si>
    <t>Precio</t>
  </si>
  <si>
    <t>Producción promedio</t>
  </si>
  <si>
    <t>Gastos de operación</t>
  </si>
  <si>
    <t>Gastos por salarios</t>
  </si>
  <si>
    <t>Costos de conservación</t>
  </si>
  <si>
    <t>Gastos por depreciación</t>
  </si>
  <si>
    <t>Inventario medio</t>
  </si>
  <si>
    <t>UAII</t>
  </si>
  <si>
    <t>Elemento</t>
  </si>
  <si>
    <t>Tasa de Desempeño</t>
  </si>
  <si>
    <t>Asir y colocar el costal</t>
  </si>
  <si>
    <t>Llenar el costal</t>
  </si>
  <si>
    <t>Sellar el costal</t>
  </si>
  <si>
    <t>Colocar el costal en la banda transportadora</t>
  </si>
  <si>
    <t>TO</t>
  </si>
  <si>
    <t>TN</t>
  </si>
  <si>
    <t>TE</t>
  </si>
  <si>
    <t>A1</t>
  </si>
  <si>
    <t>TC</t>
  </si>
  <si>
    <t>TM</t>
  </si>
  <si>
    <t>A2</t>
  </si>
  <si>
    <t>A3</t>
  </si>
  <si>
    <t>PUSH/TPT</t>
  </si>
  <si>
    <t>MC por</t>
  </si>
  <si>
    <t>Carga en minutos por unidad</t>
  </si>
  <si>
    <t>Unidad</t>
  </si>
  <si>
    <t>M1</t>
  </si>
  <si>
    <t>M2</t>
  </si>
  <si>
    <t>M3</t>
  </si>
  <si>
    <t>M4</t>
  </si>
  <si>
    <t>M5</t>
  </si>
  <si>
    <t>M6</t>
  </si>
  <si>
    <t>CB</t>
  </si>
  <si>
    <t>Ord</t>
  </si>
  <si>
    <t>Prod</t>
  </si>
  <si>
    <t>Tam</t>
  </si>
  <si>
    <t>TPT</t>
  </si>
  <si>
    <t>TPT2</t>
  </si>
  <si>
    <t>Aumento transitorio =</t>
  </si>
  <si>
    <t>Fp promedio =</t>
  </si>
  <si>
    <r>
      <t>PC</t>
    </r>
    <r>
      <rPr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=</t>
    </r>
  </si>
  <si>
    <r>
      <t>PC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=</t>
    </r>
  </si>
  <si>
    <r>
      <t>PC</t>
    </r>
    <r>
      <rPr>
        <vertAlign val="subscript"/>
        <sz val="10"/>
        <rFont val="Verdana"/>
        <family val="2"/>
      </rPr>
      <t>-1</t>
    </r>
    <r>
      <rPr>
        <sz val="10"/>
        <rFont val="Verdana"/>
        <family val="2"/>
      </rPr>
      <t xml:space="preserve"> =</t>
    </r>
  </si>
  <si>
    <t>MRP de B nivelación</t>
  </si>
  <si>
    <r>
      <t>PP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=</t>
    </r>
  </si>
  <si>
    <r>
      <t>PP</t>
    </r>
    <r>
      <rPr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=</t>
    </r>
  </si>
  <si>
    <r>
      <t>PP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=</t>
    </r>
  </si>
  <si>
    <t>MRP de X persecución</t>
  </si>
  <si>
    <t>MRP de W persecución</t>
  </si>
  <si>
    <t>Alist</t>
  </si>
  <si>
    <t>Min</t>
  </si>
  <si>
    <t>A4</t>
  </si>
  <si>
    <t>A5</t>
  </si>
  <si>
    <t>A6</t>
  </si>
  <si>
    <t>DBR/TPT</t>
  </si>
  <si>
    <t>Al realizar la programación DBR, las máquinas M3 y M4 deberían terminar 2 horas antes que M5.</t>
  </si>
  <si>
    <t>Esto implicaría que deben terminar 120 minutos antes de los 1340 minutos. Tanto en M3 como en</t>
  </si>
  <si>
    <t>M4, esto no es posible. Por lo tanto, la única programación factible es PUSH.</t>
  </si>
  <si>
    <t>Formulación del pedido</t>
    <phoneticPr fontId="1" type="noConversion"/>
  </si>
  <si>
    <t>Inventario final</t>
    <phoneticPr fontId="1" type="noConversion"/>
  </si>
  <si>
    <t>PNM</t>
    <phoneticPr fontId="1" type="noConversion"/>
  </si>
  <si>
    <t>Disponible</t>
    <phoneticPr fontId="1" type="noConversion"/>
  </si>
  <si>
    <t>Pedido adicional</t>
  </si>
  <si>
    <t>Plan de compras</t>
    <phoneticPr fontId="1" type="noConversion"/>
  </si>
  <si>
    <t>Invenatrio inical</t>
    <phoneticPr fontId="1" type="noConversion"/>
  </si>
  <si>
    <t>Inventario final</t>
    <phoneticPr fontId="1" type="noConversion"/>
  </si>
  <si>
    <t>Desperdicio</t>
    <phoneticPr fontId="1" type="noConversion"/>
  </si>
  <si>
    <t>Plan de producción</t>
    <phoneticPr fontId="1" type="noConversion"/>
  </si>
  <si>
    <t>Inventario inicial</t>
    <phoneticPr fontId="1" type="noConversion"/>
  </si>
  <si>
    <t>Inventario de seguridad</t>
    <phoneticPr fontId="1" type="noConversion"/>
  </si>
  <si>
    <t>Desperdicio</t>
    <phoneticPr fontId="1" type="noConversion"/>
  </si>
  <si>
    <t>Máquinas a comprar</t>
  </si>
  <si>
    <t>Operarios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</si>
</sst>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&quot;$&quot;#,##0.00_);[Red]\(&quot;$&quot;#,##0.00\)"/>
    <numFmt numFmtId="166" formatCode="[$$-409]#,##0.00"/>
    <numFmt numFmtId="167" formatCode="0.0%"/>
    <numFmt numFmtId="168" formatCode="_([$$-409]* #,##0.00_);_([$$-409]* \(#,##0.00\);_([$$-409]* &quot;-&quot;??_);_(@_)"/>
    <numFmt numFmtId="169" formatCode="[$$-409]#,##0"/>
  </numFmts>
  <fonts count="12" x14ac:knownFonts="1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Verdana"/>
      <family val="2"/>
    </font>
    <font>
      <b/>
      <sz val="10"/>
      <color indexed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6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1" fontId="0" fillId="0" borderId="0" xfId="0" applyNumberFormat="1" applyBorder="1"/>
    <xf numFmtId="0" fontId="9" fillId="0" borderId="1" xfId="0" applyFont="1" applyBorder="1"/>
    <xf numFmtId="9" fontId="0" fillId="0" borderId="0" xfId="83" applyFont="1"/>
    <xf numFmtId="167" fontId="0" fillId="0" borderId="0" xfId="83" applyNumberFormat="1" applyFont="1"/>
    <xf numFmtId="167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Font="1" applyFill="1" applyBorder="1"/>
    <xf numFmtId="0" fontId="0" fillId="0" borderId="0" xfId="0" applyAlignment="1">
      <alignment horizontal="center" wrapText="1"/>
    </xf>
    <xf numFmtId="0" fontId="11" fillId="0" borderId="0" xfId="0" applyFont="1"/>
    <xf numFmtId="0" fontId="0" fillId="0" borderId="0" xfId="0" applyAlignment="1"/>
    <xf numFmtId="168" fontId="0" fillId="0" borderId="0" xfId="0" applyNumberFormat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3" fontId="0" fillId="0" borderId="0" xfId="0" applyNumberFormat="1"/>
    <xf numFmtId="169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2" fontId="9" fillId="3" borderId="0" xfId="0" applyNumberFormat="1" applyFont="1" applyFill="1"/>
    <xf numFmtId="0" fontId="0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3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Normal" xfId="0" builtinId="0"/>
    <cellStyle name="Percent" xfId="8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"/>
  <sheetViews>
    <sheetView tabSelected="1" zoomScale="150" zoomScaleNormal="150" zoomScalePageLayoutView="150" workbookViewId="0">
      <selection activeCell="C11" sqref="C11"/>
    </sheetView>
  </sheetViews>
  <sheetFormatPr baseColWidth="10" defaultRowHeight="13" x14ac:dyDescent="0.15"/>
  <cols>
    <col min="1" max="1" width="4.83203125" customWidth="1"/>
    <col min="2" max="2" width="32.6640625" customWidth="1"/>
    <col min="3" max="7" width="5.83203125" customWidth="1"/>
    <col min="8" max="8" width="15.33203125" customWidth="1"/>
    <col min="9" max="9" width="5" bestFit="1" customWidth="1"/>
    <col min="10" max="10" width="6" bestFit="1" customWidth="1"/>
    <col min="11" max="11" width="7.6640625" customWidth="1"/>
  </cols>
  <sheetData>
    <row r="2" spans="2:12" ht="14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27" customHeight="1" x14ac:dyDescent="0.15">
      <c r="B3" s="44" t="s">
        <v>80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56" t="s">
        <v>81</v>
      </c>
      <c r="I3" s="48" t="s">
        <v>86</v>
      </c>
      <c r="J3" s="48" t="s">
        <v>87</v>
      </c>
      <c r="K3" s="48" t="s">
        <v>88</v>
      </c>
      <c r="L3" s="42"/>
    </row>
    <row r="4" spans="2:12" ht="14" customHeight="1" x14ac:dyDescent="0.15">
      <c r="B4" s="66" t="s">
        <v>82</v>
      </c>
      <c r="C4" s="45">
        <v>8</v>
      </c>
      <c r="D4" s="45">
        <v>9</v>
      </c>
      <c r="E4" s="45">
        <v>8</v>
      </c>
      <c r="F4" s="45">
        <v>11</v>
      </c>
      <c r="G4" s="45">
        <v>7</v>
      </c>
      <c r="H4" s="46">
        <v>1.1000000000000001</v>
      </c>
      <c r="I4" s="42">
        <f>AVERAGE(C4:G4)</f>
        <v>8.6</v>
      </c>
      <c r="J4" s="42">
        <f>I4*H4</f>
        <v>9.4600000000000009</v>
      </c>
      <c r="K4" s="43">
        <f>J4/0.82</f>
        <v>11.536585365853661</v>
      </c>
      <c r="L4" s="42"/>
    </row>
    <row r="5" spans="2:12" ht="14" customHeight="1" x14ac:dyDescent="0.15">
      <c r="B5" s="66" t="s">
        <v>83</v>
      </c>
      <c r="C5" s="45">
        <v>36</v>
      </c>
      <c r="D5" s="45">
        <v>41</v>
      </c>
      <c r="E5" s="45">
        <v>39</v>
      </c>
      <c r="F5" s="45">
        <v>35</v>
      </c>
      <c r="G5" s="45">
        <v>36</v>
      </c>
      <c r="H5" s="46">
        <v>0.85</v>
      </c>
      <c r="I5" s="42">
        <f>AVERAGE(C5:G5)</f>
        <v>37.4</v>
      </c>
      <c r="J5" s="42">
        <f>I5*H5</f>
        <v>31.79</v>
      </c>
      <c r="K5" s="43">
        <f>J5/0.82</f>
        <v>38.768292682926834</v>
      </c>
      <c r="L5" s="42"/>
    </row>
    <row r="6" spans="2:12" ht="14" customHeight="1" x14ac:dyDescent="0.15">
      <c r="B6" s="66" t="s">
        <v>84</v>
      </c>
      <c r="C6" s="45">
        <v>15</v>
      </c>
      <c r="D6" s="45">
        <v>17</v>
      </c>
      <c r="E6" s="45">
        <v>13</v>
      </c>
      <c r="F6" s="45">
        <v>20</v>
      </c>
      <c r="G6" s="45">
        <v>18</v>
      </c>
      <c r="H6" s="46">
        <v>1.05</v>
      </c>
      <c r="I6" s="42">
        <f>AVERAGE(C6:G6)</f>
        <v>16.600000000000001</v>
      </c>
      <c r="J6" s="42">
        <f>I6*H6</f>
        <v>17.430000000000003</v>
      </c>
      <c r="K6" s="43">
        <f>J6/0.82</f>
        <v>21.256097560975615</v>
      </c>
      <c r="L6" s="42"/>
    </row>
    <row r="7" spans="2:12" ht="25" customHeight="1" x14ac:dyDescent="0.15">
      <c r="B7" s="66" t="s">
        <v>85</v>
      </c>
      <c r="C7" s="45">
        <v>8</v>
      </c>
      <c r="D7" s="45">
        <v>6</v>
      </c>
      <c r="E7" s="45">
        <v>9</v>
      </c>
      <c r="F7" s="45">
        <v>8</v>
      </c>
      <c r="G7" s="45">
        <v>7</v>
      </c>
      <c r="H7" s="46">
        <v>0.9</v>
      </c>
      <c r="I7" s="42">
        <f>AVERAGE(C7:G7)</f>
        <v>7.6</v>
      </c>
      <c r="J7" s="42">
        <f>I7*H7</f>
        <v>6.84</v>
      </c>
      <c r="K7" s="43">
        <f>J7/0.82</f>
        <v>8.3414634146341466</v>
      </c>
      <c r="L7" s="42"/>
    </row>
    <row r="8" spans="2:12" ht="14" customHeight="1" x14ac:dyDescent="0.15">
      <c r="B8" s="42"/>
      <c r="C8" s="42"/>
      <c r="D8" s="42"/>
      <c r="E8" s="42"/>
      <c r="F8" s="42"/>
      <c r="G8" s="42"/>
      <c r="H8" s="42"/>
      <c r="I8" s="42"/>
      <c r="J8" s="42"/>
      <c r="K8" s="47">
        <f>SUM(K4:K7)</f>
        <v>79.902439024390262</v>
      </c>
      <c r="L8" s="42"/>
    </row>
    <row r="9" spans="2:12" x14ac:dyDescent="0.1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</sheetData>
  <pageMargins left="0.75" right="0.75" top="1" bottom="1" header="0.5" footer="0.5"/>
  <pageSetup orientation="portrait" horizontalDpi="4294967292" verticalDpi="4294967292"/>
  <ignoredErrors>
    <ignoredError sqref="I4:I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7"/>
  <sheetViews>
    <sheetView topLeftCell="E45" zoomScale="150" zoomScaleNormal="150" zoomScalePageLayoutView="150" workbookViewId="0">
      <selection activeCell="K60" sqref="K60"/>
    </sheetView>
  </sheetViews>
  <sheetFormatPr baseColWidth="10" defaultRowHeight="13" x14ac:dyDescent="0.15"/>
  <cols>
    <col min="1" max="1" width="26.1640625" customWidth="1"/>
    <col min="5" max="5" width="11.33203125" customWidth="1"/>
    <col min="6" max="6" width="9" customWidth="1"/>
    <col min="7" max="7" width="24.83203125" customWidth="1"/>
    <col min="8" max="8" width="12.1640625" customWidth="1"/>
    <col min="9" max="9" width="12" customWidth="1"/>
    <col min="10" max="10" width="14.33203125" customWidth="1"/>
    <col min="12" max="12" width="13.1640625" customWidth="1"/>
    <col min="13" max="13" width="18.5" customWidth="1"/>
    <col min="14" max="14" width="13.1640625" customWidth="1"/>
    <col min="18" max="18" width="4.6640625" customWidth="1"/>
    <col min="19" max="19" width="10.6640625" customWidth="1"/>
    <col min="20" max="20" width="5.5" customWidth="1"/>
    <col min="21" max="21" width="5.33203125" customWidth="1"/>
  </cols>
  <sheetData>
    <row r="1" spans="1:17" x14ac:dyDescent="0.15">
      <c r="B1" s="57" t="s">
        <v>19</v>
      </c>
      <c r="C1" s="57"/>
      <c r="D1" s="57"/>
      <c r="E1" s="57"/>
      <c r="G1" t="s">
        <v>59</v>
      </c>
      <c r="H1">
        <f>P9*0.4</f>
        <v>3440</v>
      </c>
      <c r="J1" s="31" t="s">
        <v>71</v>
      </c>
      <c r="K1" s="31" t="s">
        <v>72</v>
      </c>
      <c r="L1" s="31" t="s">
        <v>69</v>
      </c>
    </row>
    <row r="2" spans="1:17" x14ac:dyDescent="0.15">
      <c r="B2" s="27"/>
      <c r="C2" s="27" t="s">
        <v>11</v>
      </c>
      <c r="D2" s="27" t="s">
        <v>12</v>
      </c>
      <c r="E2" s="27" t="s">
        <v>18</v>
      </c>
      <c r="G2" s="37" t="s">
        <v>60</v>
      </c>
      <c r="H2" s="36">
        <v>2.5</v>
      </c>
      <c r="J2" s="31" t="s">
        <v>11</v>
      </c>
      <c r="K2" s="39">
        <v>650</v>
      </c>
      <c r="L2" s="31">
        <v>500</v>
      </c>
    </row>
    <row r="3" spans="1:17" x14ac:dyDescent="0.15">
      <c r="B3" s="27" t="s">
        <v>17</v>
      </c>
      <c r="C3" s="27">
        <v>2</v>
      </c>
      <c r="D3" s="27">
        <v>3</v>
      </c>
      <c r="E3" s="27" t="s">
        <v>13</v>
      </c>
      <c r="G3" t="s">
        <v>61</v>
      </c>
      <c r="H3" s="36">
        <f>H2*1.5</f>
        <v>3.75</v>
      </c>
      <c r="J3" s="31" t="s">
        <v>12</v>
      </c>
      <c r="K3" s="39">
        <v>950</v>
      </c>
      <c r="L3" s="31">
        <v>800</v>
      </c>
    </row>
    <row r="4" spans="1:17" x14ac:dyDescent="0.15">
      <c r="B4" s="27" t="s">
        <v>18</v>
      </c>
      <c r="C4" s="27">
        <v>1</v>
      </c>
      <c r="D4" s="27">
        <v>3</v>
      </c>
      <c r="E4" s="27" t="s">
        <v>13</v>
      </c>
      <c r="G4" t="s">
        <v>62</v>
      </c>
      <c r="H4" s="36">
        <v>0.12</v>
      </c>
    </row>
    <row r="5" spans="1:17" x14ac:dyDescent="0.15">
      <c r="B5" s="27" t="s">
        <v>14</v>
      </c>
      <c r="C5" s="27" t="s">
        <v>13</v>
      </c>
      <c r="D5" s="27" t="s">
        <v>13</v>
      </c>
      <c r="E5" s="27">
        <v>3</v>
      </c>
      <c r="G5" s="37" t="s">
        <v>63</v>
      </c>
      <c r="H5" s="36">
        <f>(20000/10)/12</f>
        <v>166.66666666666666</v>
      </c>
    </row>
    <row r="6" spans="1:17" x14ac:dyDescent="0.15">
      <c r="G6" t="s">
        <v>64</v>
      </c>
      <c r="H6" s="36">
        <v>100000</v>
      </c>
    </row>
    <row r="7" spans="1:17" ht="16" customHeight="1" x14ac:dyDescent="0.15"/>
    <row r="8" spans="1:17" ht="43" x14ac:dyDescent="0.2">
      <c r="A8" s="34" t="s">
        <v>46</v>
      </c>
      <c r="G8" s="34" t="s">
        <v>46</v>
      </c>
      <c r="N8" s="33" t="s">
        <v>45</v>
      </c>
      <c r="O8" s="33" t="s">
        <v>73</v>
      </c>
      <c r="P8" s="33" t="s">
        <v>50</v>
      </c>
      <c r="Q8" s="33" t="s">
        <v>47</v>
      </c>
    </row>
    <row r="9" spans="1:17" x14ac:dyDescent="0.15">
      <c r="A9" s="1" t="s">
        <v>9</v>
      </c>
      <c r="G9" s="1" t="s">
        <v>10</v>
      </c>
      <c r="M9" t="s">
        <v>9</v>
      </c>
      <c r="N9" s="13">
        <f>(B14+C14+D14)-(B15+C15+D15)</f>
        <v>7350</v>
      </c>
      <c r="O9">
        <f>N9/3</f>
        <v>2450</v>
      </c>
      <c r="P9">
        <v>8600</v>
      </c>
      <c r="Q9" s="30">
        <f>P9/(O9+O10)</f>
        <v>1.7562968005445885</v>
      </c>
    </row>
    <row r="10" spans="1:17" x14ac:dyDescent="0.15">
      <c r="A10" s="2" t="s">
        <v>2</v>
      </c>
      <c r="B10" s="6">
        <v>1</v>
      </c>
      <c r="C10" s="6">
        <v>2</v>
      </c>
      <c r="D10" s="6">
        <v>3</v>
      </c>
      <c r="G10" s="2" t="s">
        <v>2</v>
      </c>
      <c r="H10" s="6">
        <v>1</v>
      </c>
      <c r="I10" s="6">
        <v>2</v>
      </c>
      <c r="J10" s="6">
        <v>3</v>
      </c>
      <c r="M10" t="s">
        <v>10</v>
      </c>
      <c r="N10" s="13">
        <f>(H14+I14+J14)-(H15+I15+J15)</f>
        <v>7340</v>
      </c>
      <c r="O10" s="13">
        <f>N10/3</f>
        <v>2446.6666666666665</v>
      </c>
      <c r="Q10" s="30"/>
    </row>
    <row r="11" spans="1:17" x14ac:dyDescent="0.15">
      <c r="A11" s="3" t="s">
        <v>3</v>
      </c>
      <c r="B11" s="28">
        <v>1700</v>
      </c>
      <c r="C11" s="28">
        <v>2300</v>
      </c>
      <c r="D11" s="28">
        <v>3500</v>
      </c>
      <c r="G11" s="3" t="s">
        <v>3</v>
      </c>
      <c r="H11" s="28">
        <v>1500</v>
      </c>
      <c r="I11" s="28">
        <v>2000</v>
      </c>
      <c r="J11" s="28">
        <v>3700</v>
      </c>
      <c r="M11" t="s">
        <v>48</v>
      </c>
      <c r="N11" s="13">
        <f>(B37+C37+D37)-(C33+D33+E33)</f>
        <v>37531.282051282054</v>
      </c>
      <c r="O11" s="13">
        <f>N11/3</f>
        <v>12510.427350427351</v>
      </c>
      <c r="P11">
        <v>8600</v>
      </c>
      <c r="Q11" s="30">
        <f>P11/O11</f>
        <v>0.68742655699177435</v>
      </c>
    </row>
    <row r="12" spans="1:17" x14ac:dyDescent="0.15">
      <c r="A12" s="3" t="s">
        <v>4</v>
      </c>
      <c r="B12" s="28">
        <v>500</v>
      </c>
      <c r="C12" s="8">
        <f>B18</f>
        <v>170.00000000000023</v>
      </c>
      <c r="D12" s="8">
        <f>C18</f>
        <v>230.00000000000045</v>
      </c>
      <c r="G12" s="3" t="s">
        <v>4</v>
      </c>
      <c r="H12" s="28">
        <v>600</v>
      </c>
      <c r="I12" s="8">
        <f>H18</f>
        <v>300</v>
      </c>
      <c r="J12" s="8">
        <f>I18</f>
        <v>400</v>
      </c>
      <c r="M12" t="s">
        <v>49</v>
      </c>
      <c r="N12" s="13">
        <f>(H37+I37+J37)-(I33+J33+K33)</f>
        <v>32851.794871794875</v>
      </c>
      <c r="O12" s="13">
        <f>N12/3</f>
        <v>10950.598290598291</v>
      </c>
      <c r="P12">
        <v>8600</v>
      </c>
      <c r="Q12" s="30">
        <f>P12/O12</f>
        <v>0.78534521783924693</v>
      </c>
    </row>
    <row r="13" spans="1:17" x14ac:dyDescent="0.15">
      <c r="A13" s="3" t="s">
        <v>7</v>
      </c>
      <c r="B13" s="28">
        <v>0</v>
      </c>
      <c r="C13" s="28">
        <v>0</v>
      </c>
      <c r="D13" s="28">
        <v>0</v>
      </c>
      <c r="G13" s="3" t="s">
        <v>7</v>
      </c>
      <c r="H13" s="28">
        <v>0</v>
      </c>
      <c r="I13" s="8">
        <v>0</v>
      </c>
      <c r="J13" s="8">
        <v>0</v>
      </c>
    </row>
    <row r="14" spans="1:17" x14ac:dyDescent="0.15">
      <c r="A14" s="3" t="s">
        <v>5</v>
      </c>
      <c r="B14" s="8">
        <f>((B11*(1+$B$22))-B12)/$B$23</f>
        <v>1405.1282051282053</v>
      </c>
      <c r="C14" s="8">
        <f>((C11*(1+$B$22))-C12)/$B$23</f>
        <v>2420.5128205128208</v>
      </c>
      <c r="D14" s="8">
        <f>((D11*(1+$B$22))-D12)/$B$23</f>
        <v>3712.8205128205127</v>
      </c>
      <c r="G14" s="3" t="s">
        <v>5</v>
      </c>
      <c r="H14" s="8">
        <f>((H11*(1+$C$22))-H12)/$B$23</f>
        <v>1230.7692307692307</v>
      </c>
      <c r="I14" s="8">
        <f>((I11*(1+$C$22))-I12)/$B$23</f>
        <v>2153.8461538461538</v>
      </c>
      <c r="J14" s="8">
        <f>((J11*(1+$C$22))-J12)/$B$23</f>
        <v>4143.5897435897441</v>
      </c>
    </row>
    <row r="15" spans="1:17" x14ac:dyDescent="0.15">
      <c r="A15" s="3" t="s">
        <v>142</v>
      </c>
      <c r="B15" s="8">
        <f>B14*$B$24</f>
        <v>35.128205128205167</v>
      </c>
      <c r="C15" s="8">
        <f>C14*$B$24</f>
        <v>60.512820512820575</v>
      </c>
      <c r="D15" s="8">
        <f>D14*$B$24</f>
        <v>92.820512820512903</v>
      </c>
      <c r="G15" s="3" t="s">
        <v>142</v>
      </c>
      <c r="H15" s="8">
        <f>H14*$B$24</f>
        <v>30.769230769230795</v>
      </c>
      <c r="I15" s="8">
        <f>I14*$B$24</f>
        <v>53.846153846153896</v>
      </c>
      <c r="J15" s="8">
        <f>J14*$B$24</f>
        <v>103.58974358974369</v>
      </c>
    </row>
    <row r="16" spans="1:17" x14ac:dyDescent="0.15">
      <c r="A16" s="3" t="s">
        <v>6</v>
      </c>
      <c r="B16" s="8">
        <f>B12+B13+B14-B15</f>
        <v>1870.0000000000002</v>
      </c>
      <c r="C16" s="8">
        <f>C12+C13+C14-C15</f>
        <v>2530.0000000000005</v>
      </c>
      <c r="D16" s="8">
        <f>D12+D13+D14-D15</f>
        <v>3850.0000000000005</v>
      </c>
      <c r="G16" s="3" t="s">
        <v>6</v>
      </c>
      <c r="H16" s="8">
        <f>H12+H13+H14-H15</f>
        <v>1800</v>
      </c>
      <c r="I16" s="8">
        <f>I12+I13+I14-I15</f>
        <v>2400</v>
      </c>
      <c r="J16" s="8">
        <f>J12+J13+J14-J15</f>
        <v>4440</v>
      </c>
      <c r="M16" t="s">
        <v>68</v>
      </c>
      <c r="N16" s="40">
        <f>((B17+C17+D17)*K2)+((H17+I17+J17)*K3)</f>
        <v>11715000</v>
      </c>
    </row>
    <row r="17" spans="1:14" x14ac:dyDescent="0.15">
      <c r="A17" s="3" t="s">
        <v>0</v>
      </c>
      <c r="B17" s="8">
        <f>B11</f>
        <v>1700</v>
      </c>
      <c r="C17" s="8">
        <f>C11</f>
        <v>2300</v>
      </c>
      <c r="D17" s="8">
        <f>D11</f>
        <v>3500</v>
      </c>
      <c r="G17" s="3" t="s">
        <v>0</v>
      </c>
      <c r="H17" s="8">
        <f>H11</f>
        <v>1500</v>
      </c>
      <c r="I17" s="8">
        <f>I11</f>
        <v>2000</v>
      </c>
      <c r="J17" s="8">
        <f>J11</f>
        <v>3700</v>
      </c>
      <c r="M17" t="s">
        <v>69</v>
      </c>
      <c r="N17" s="40">
        <f>((B14+C14+D14)*L2)+((H14+I14+J14)*L3)</f>
        <v>9791794.871794872</v>
      </c>
    </row>
    <row r="18" spans="1:14" x14ac:dyDescent="0.15">
      <c r="A18" s="3" t="s">
        <v>1</v>
      </c>
      <c r="B18" s="8">
        <f>B16-B17</f>
        <v>170.00000000000023</v>
      </c>
      <c r="C18" s="8">
        <f>C16-C17</f>
        <v>230.00000000000045</v>
      </c>
      <c r="D18" s="8">
        <f>D16-D17</f>
        <v>350.00000000000045</v>
      </c>
      <c r="G18" s="3" t="s">
        <v>1</v>
      </c>
      <c r="H18" s="8">
        <f>H16-H17</f>
        <v>300</v>
      </c>
      <c r="I18" s="8">
        <f>I16-I17</f>
        <v>400</v>
      </c>
      <c r="J18" s="8">
        <f>J16-J17</f>
        <v>740</v>
      </c>
      <c r="M18" t="s">
        <v>70</v>
      </c>
      <c r="N18" s="41">
        <f>N16-N17</f>
        <v>1923205.128205128</v>
      </c>
    </row>
    <row r="19" spans="1:14" x14ac:dyDescent="0.15">
      <c r="A19" s="4"/>
      <c r="B19" s="7"/>
      <c r="C19" s="7"/>
      <c r="D19" s="7"/>
      <c r="G19" s="4"/>
      <c r="H19" s="7"/>
      <c r="I19" s="7"/>
      <c r="J19" s="7"/>
      <c r="M19" t="s">
        <v>74</v>
      </c>
      <c r="N19" s="40">
        <f>H6*3</f>
        <v>300000</v>
      </c>
    </row>
    <row r="20" spans="1:14" x14ac:dyDescent="0.15">
      <c r="A20" s="18"/>
      <c r="B20" s="9"/>
      <c r="C20" s="9"/>
      <c r="D20" s="9"/>
      <c r="E20" s="10"/>
      <c r="F20" s="10"/>
      <c r="M20" t="s">
        <v>75</v>
      </c>
      <c r="N20" s="40">
        <f>((M59+M60+M61)*((8600/60)*H2)*3)+O69</f>
        <v>13408.866844233691</v>
      </c>
    </row>
    <row r="21" spans="1:14" x14ac:dyDescent="0.15">
      <c r="A21" s="18"/>
      <c r="B21" s="9" t="s">
        <v>11</v>
      </c>
      <c r="C21" s="9" t="s">
        <v>12</v>
      </c>
      <c r="D21" s="9" t="s">
        <v>17</v>
      </c>
      <c r="E21" s="9" t="s">
        <v>18</v>
      </c>
      <c r="F21" s="9" t="s">
        <v>14</v>
      </c>
      <c r="M21" t="s">
        <v>76</v>
      </c>
      <c r="N21" s="40">
        <f>J77</f>
        <v>14775.593100713719</v>
      </c>
    </row>
    <row r="22" spans="1:14" x14ac:dyDescent="0.15">
      <c r="A22" s="17" t="s">
        <v>141</v>
      </c>
      <c r="B22" s="21">
        <v>0.1</v>
      </c>
      <c r="C22" s="21">
        <v>0.2</v>
      </c>
      <c r="D22" s="21">
        <v>0.2</v>
      </c>
      <c r="E22" s="21">
        <v>0.2</v>
      </c>
      <c r="F22" s="21">
        <v>0.1</v>
      </c>
      <c r="I22" s="5"/>
      <c r="M22" t="s">
        <v>77</v>
      </c>
      <c r="N22" s="40">
        <f>M62*H5*3</f>
        <v>3499.9999999999995</v>
      </c>
    </row>
    <row r="23" spans="1:14" x14ac:dyDescent="0.15">
      <c r="A23" t="s">
        <v>15</v>
      </c>
      <c r="B23" s="22">
        <v>0.97499999999999998</v>
      </c>
      <c r="C23" s="13"/>
      <c r="D23" s="21">
        <v>0.98</v>
      </c>
      <c r="E23" s="21">
        <v>0.97</v>
      </c>
      <c r="I23" s="5"/>
      <c r="M23" t="s">
        <v>79</v>
      </c>
      <c r="N23" s="41">
        <f>N18-N19-N20-N21-N22</f>
        <v>1591520.6682601806</v>
      </c>
    </row>
    <row r="24" spans="1:14" x14ac:dyDescent="0.15">
      <c r="A24" t="s">
        <v>16</v>
      </c>
      <c r="B24" s="23">
        <f>1-B23</f>
        <v>2.5000000000000022E-2</v>
      </c>
      <c r="C24" s="13"/>
      <c r="D24" s="23">
        <f>1-D23</f>
        <v>2.0000000000000018E-2</v>
      </c>
      <c r="E24" s="23">
        <f>1-E23</f>
        <v>3.0000000000000027E-2</v>
      </c>
      <c r="N24" s="40"/>
    </row>
    <row r="25" spans="1:14" x14ac:dyDescent="0.15">
      <c r="A25" t="s">
        <v>27</v>
      </c>
      <c r="B25" s="13"/>
      <c r="C25" s="13"/>
      <c r="D25" s="13"/>
      <c r="F25" s="23">
        <v>0.05</v>
      </c>
    </row>
    <row r="26" spans="1:14" x14ac:dyDescent="0.15">
      <c r="B26" s="13"/>
      <c r="C26" s="13"/>
      <c r="D26" s="13"/>
    </row>
    <row r="29" spans="1:14" x14ac:dyDescent="0.15">
      <c r="A29" s="3"/>
      <c r="B29" s="61" t="s">
        <v>8</v>
      </c>
      <c r="C29" s="61"/>
      <c r="D29" s="61"/>
      <c r="E29" s="61"/>
      <c r="F29" s="24"/>
      <c r="G29" s="3"/>
      <c r="H29" s="62" t="s">
        <v>8</v>
      </c>
      <c r="I29" s="63"/>
      <c r="J29" s="63"/>
      <c r="K29" s="64"/>
    </row>
    <row r="30" spans="1:14" x14ac:dyDescent="0.15">
      <c r="A30" s="14" t="s">
        <v>120</v>
      </c>
      <c r="B30" s="20">
        <v>0</v>
      </c>
      <c r="C30" s="20">
        <v>1</v>
      </c>
      <c r="D30" s="20">
        <v>2</v>
      </c>
      <c r="E30" s="20">
        <v>3</v>
      </c>
      <c r="F30" s="18"/>
      <c r="G30" s="14" t="s">
        <v>119</v>
      </c>
      <c r="H30" s="20">
        <v>0</v>
      </c>
      <c r="I30" s="20">
        <v>1</v>
      </c>
      <c r="J30" s="20">
        <v>2</v>
      </c>
      <c r="K30" s="20">
        <v>3</v>
      </c>
    </row>
    <row r="31" spans="1:14" x14ac:dyDescent="0.15">
      <c r="A31" s="3" t="s">
        <v>140</v>
      </c>
      <c r="B31" s="3"/>
      <c r="C31" s="3">
        <v>1000</v>
      </c>
      <c r="D31" s="15">
        <f>C36</f>
        <v>1300.5128205128203</v>
      </c>
      <c r="E31" s="15">
        <f>D36</f>
        <v>2260.5128205128203</v>
      </c>
      <c r="F31" s="18"/>
      <c r="G31" s="3" t="s">
        <v>136</v>
      </c>
      <c r="H31" s="3"/>
      <c r="I31" s="3">
        <v>500</v>
      </c>
      <c r="J31" s="15">
        <f>I36</f>
        <v>1019.4871794871797</v>
      </c>
      <c r="K31" s="15">
        <f>J36</f>
        <v>1776.4102564102559</v>
      </c>
    </row>
    <row r="32" spans="1:14" x14ac:dyDescent="0.15">
      <c r="A32" s="3" t="s">
        <v>139</v>
      </c>
      <c r="B32" s="3"/>
      <c r="C32" s="15">
        <f>B37</f>
        <v>6941.9152276295144</v>
      </c>
      <c r="D32" s="15">
        <f>C37</f>
        <v>12512.820512820512</v>
      </c>
      <c r="E32" s="15">
        <f>D37</f>
        <v>18842.490842490846</v>
      </c>
      <c r="F32" s="19"/>
      <c r="G32" s="3" t="s">
        <v>26</v>
      </c>
      <c r="H32" s="3"/>
      <c r="I32" s="15">
        <f>H42</f>
        <v>5790.6423473433788</v>
      </c>
      <c r="J32" s="15">
        <f>H45</f>
        <v>9937.0869680148026</v>
      </c>
      <c r="K32" s="15">
        <f>H48</f>
        <v>18140.100449378802</v>
      </c>
    </row>
    <row r="33" spans="1:11" x14ac:dyDescent="0.15">
      <c r="A33" s="3" t="s">
        <v>138</v>
      </c>
      <c r="B33" s="3"/>
      <c r="C33" s="15">
        <f>C32*$D$24</f>
        <v>138.83830455259042</v>
      </c>
      <c r="D33" s="15">
        <f>D32*$D$24</f>
        <v>250.25641025641045</v>
      </c>
      <c r="E33" s="15">
        <f>E32*$D$24</f>
        <v>376.84981684981727</v>
      </c>
      <c r="F33" s="19"/>
      <c r="G33" s="3" t="s">
        <v>16</v>
      </c>
      <c r="H33" s="3"/>
      <c r="I33" s="15">
        <f>I32*$E$24</f>
        <v>173.71927042030151</v>
      </c>
      <c r="J33" s="15">
        <f>J32*$E$24</f>
        <v>298.11260904044434</v>
      </c>
      <c r="K33" s="15">
        <f>K32*$E$24</f>
        <v>544.20301348136456</v>
      </c>
    </row>
    <row r="34" spans="1:11" x14ac:dyDescent="0.15">
      <c r="A34" s="3" t="s">
        <v>133</v>
      </c>
      <c r="B34" s="3"/>
      <c r="C34" s="15">
        <f>C31+C32-C33</f>
        <v>7803.0769230769238</v>
      </c>
      <c r="D34" s="15">
        <f>D31+D32-D33</f>
        <v>13563.076923076922</v>
      </c>
      <c r="E34" s="15">
        <f>E31+E32-E33</f>
        <v>20726.153846153848</v>
      </c>
      <c r="F34" s="18"/>
      <c r="G34" s="3" t="s">
        <v>133</v>
      </c>
      <c r="H34" s="3"/>
      <c r="I34" s="15">
        <f>I31+I32-I33</f>
        <v>6116.9230769230771</v>
      </c>
      <c r="J34" s="15">
        <f>J31+J32-J33</f>
        <v>10658.461538461537</v>
      </c>
      <c r="K34" s="15">
        <f>K31+K32-K33</f>
        <v>19372.307692307691</v>
      </c>
    </row>
    <row r="35" spans="1:11" x14ac:dyDescent="0.15">
      <c r="A35" s="3" t="s">
        <v>132</v>
      </c>
      <c r="B35" s="3"/>
      <c r="C35" s="15">
        <f>B41</f>
        <v>6502.5641025641035</v>
      </c>
      <c r="D35" s="15">
        <f>B44</f>
        <v>11302.564102564102</v>
      </c>
      <c r="E35" s="15">
        <f>B47</f>
        <v>17271.794871794875</v>
      </c>
      <c r="F35" s="18"/>
      <c r="G35" s="3" t="s">
        <v>132</v>
      </c>
      <c r="H35" s="3"/>
      <c r="I35" s="15">
        <f>H41</f>
        <v>5097.4358974358975</v>
      </c>
      <c r="J35" s="15">
        <f>H44</f>
        <v>8882.0512820512813</v>
      </c>
      <c r="K35" s="15">
        <f>H47</f>
        <v>16143.589743589746</v>
      </c>
    </row>
    <row r="36" spans="1:11" x14ac:dyDescent="0.15">
      <c r="A36" s="3" t="s">
        <v>137</v>
      </c>
      <c r="B36" s="3"/>
      <c r="C36" s="15">
        <f>C34-C35</f>
        <v>1300.5128205128203</v>
      </c>
      <c r="D36" s="15">
        <f>D34-D35</f>
        <v>2260.5128205128203</v>
      </c>
      <c r="E36" s="15">
        <f>E34-E35</f>
        <v>3454.3589743589728</v>
      </c>
      <c r="F36" s="18"/>
      <c r="G36" s="3" t="s">
        <v>131</v>
      </c>
      <c r="H36" s="3"/>
      <c r="I36" s="15">
        <f>I34-I35</f>
        <v>1019.4871794871797</v>
      </c>
      <c r="J36" s="15">
        <f>J34-J35</f>
        <v>1776.4102564102559</v>
      </c>
      <c r="K36" s="15">
        <f>K34-K35</f>
        <v>3228.7179487179455</v>
      </c>
    </row>
    <row r="37" spans="1:11" x14ac:dyDescent="0.15">
      <c r="A37" s="3" t="s">
        <v>130</v>
      </c>
      <c r="B37" s="15">
        <f>B42</f>
        <v>6941.9152276295144</v>
      </c>
      <c r="C37" s="15">
        <f>B45</f>
        <v>12512.820512820512</v>
      </c>
      <c r="D37" s="15">
        <f>B48</f>
        <v>18842.490842490846</v>
      </c>
      <c r="E37" s="16"/>
      <c r="F37" s="25"/>
      <c r="G37" s="3" t="s">
        <v>130</v>
      </c>
      <c r="H37" s="15">
        <f>H42</f>
        <v>5790.6423473433788</v>
      </c>
      <c r="I37" s="15">
        <f>H45</f>
        <v>9937.0869680148026</v>
      </c>
      <c r="J37" s="15">
        <f>H48</f>
        <v>18140.100449378802</v>
      </c>
      <c r="K37" s="3"/>
    </row>
    <row r="39" spans="1:11" x14ac:dyDescent="0.15">
      <c r="B39" s="31"/>
      <c r="C39" s="31"/>
      <c r="H39" s="31"/>
    </row>
    <row r="40" spans="1:11" x14ac:dyDescent="0.15">
      <c r="B40" s="31"/>
      <c r="C40" s="31"/>
      <c r="H40" s="31"/>
    </row>
    <row r="41" spans="1:11" ht="15" x14ac:dyDescent="0.2">
      <c r="A41" t="s">
        <v>20</v>
      </c>
      <c r="B41" s="12">
        <f>(B14*$C$3)+(H14*$D$3)</f>
        <v>6502.5641025641035</v>
      </c>
      <c r="C41" s="31"/>
      <c r="G41" t="s">
        <v>23</v>
      </c>
      <c r="H41" s="12">
        <f>(B14*$C$4)+(H14*$D$4)</f>
        <v>5097.4358974358975</v>
      </c>
    </row>
    <row r="42" spans="1:11" ht="15" x14ac:dyDescent="0.2">
      <c r="A42" t="s">
        <v>118</v>
      </c>
      <c r="B42" s="12">
        <f>(((B41*(1+$D$22))-C31)/$D$23)</f>
        <v>6941.9152276295144</v>
      </c>
      <c r="C42" s="31"/>
      <c r="G42" t="s">
        <v>114</v>
      </c>
      <c r="H42" s="12">
        <f>(((H41*(1+$E$22))-I31)/$E$23)</f>
        <v>5790.6423473433788</v>
      </c>
    </row>
    <row r="43" spans="1:11" x14ac:dyDescent="0.15">
      <c r="B43" s="31"/>
      <c r="C43" s="31"/>
      <c r="H43" s="31"/>
    </row>
    <row r="44" spans="1:11" ht="15" x14ac:dyDescent="0.2">
      <c r="A44" t="s">
        <v>21</v>
      </c>
      <c r="B44" s="12">
        <f>(C14*$C$3)+(I14*$D$3)</f>
        <v>11302.564102564102</v>
      </c>
      <c r="C44" s="31"/>
      <c r="G44" t="s">
        <v>24</v>
      </c>
      <c r="H44" s="12">
        <f>(C14*$C$4)+(I14*$D$4)</f>
        <v>8882.0512820512813</v>
      </c>
    </row>
    <row r="45" spans="1:11" ht="15" x14ac:dyDescent="0.2">
      <c r="A45" t="s">
        <v>117</v>
      </c>
      <c r="B45" s="12">
        <f>(((B44*(1+$D$22))-D31)/$D$23)</f>
        <v>12512.820512820512</v>
      </c>
      <c r="C45" s="31"/>
      <c r="G45" t="s">
        <v>113</v>
      </c>
      <c r="H45" s="12">
        <f>(((H44*(1+$E$22))-J31)/$E$23)</f>
        <v>9937.0869680148026</v>
      </c>
    </row>
    <row r="46" spans="1:11" x14ac:dyDescent="0.15">
      <c r="B46" s="31"/>
      <c r="C46" s="31"/>
      <c r="H46" s="31"/>
    </row>
    <row r="47" spans="1:11" ht="15" x14ac:dyDescent="0.2">
      <c r="A47" t="s">
        <v>22</v>
      </c>
      <c r="B47" s="12">
        <f>(C14*$C$3)+(J14*$D$3)</f>
        <v>17271.794871794875</v>
      </c>
      <c r="C47" s="31"/>
      <c r="G47" t="s">
        <v>25</v>
      </c>
      <c r="H47" s="12">
        <f>(D14*$C$4)+(J14*$D$4)</f>
        <v>16143.589743589746</v>
      </c>
    </row>
    <row r="48" spans="1:11" ht="15" x14ac:dyDescent="0.2">
      <c r="A48" t="s">
        <v>116</v>
      </c>
      <c r="B48" s="12">
        <f>(((B47*(1+$D$22))-E31)/$D$23)</f>
        <v>18842.490842490846</v>
      </c>
      <c r="C48" s="31"/>
      <c r="G48" t="s">
        <v>112</v>
      </c>
      <c r="H48" s="12">
        <f>(((H47*(1+$E$22))-K31)/$E$23)</f>
        <v>18140.100449378802</v>
      </c>
    </row>
    <row r="50" spans="1:14" x14ac:dyDescent="0.15">
      <c r="H50" s="58" t="s">
        <v>40</v>
      </c>
      <c r="I50" s="58"/>
      <c r="J50" s="58"/>
      <c r="K50" s="58"/>
      <c r="L50" s="58"/>
      <c r="M50" s="58"/>
      <c r="N50" s="58"/>
    </row>
    <row r="51" spans="1:14" x14ac:dyDescent="0.15">
      <c r="A51" s="3"/>
      <c r="B51" s="61" t="s">
        <v>8</v>
      </c>
      <c r="C51" s="61"/>
      <c r="D51" s="61"/>
      <c r="E51" s="61"/>
      <c r="F51" s="61"/>
      <c r="G51" s="11"/>
      <c r="H51" s="59" t="s">
        <v>41</v>
      </c>
      <c r="I51" s="59"/>
      <c r="J51" s="59"/>
      <c r="K51" s="59"/>
    </row>
    <row r="52" spans="1:14" x14ac:dyDescent="0.15">
      <c r="A52" s="14" t="s">
        <v>115</v>
      </c>
      <c r="B52" s="20">
        <v>-2</v>
      </c>
      <c r="C52" s="20">
        <v>-1</v>
      </c>
      <c r="D52" s="20">
        <v>0</v>
      </c>
      <c r="E52" s="20">
        <v>1</v>
      </c>
      <c r="F52" s="26">
        <v>2</v>
      </c>
      <c r="G52" s="11"/>
      <c r="H52" s="31"/>
      <c r="I52" s="31" t="s">
        <v>34</v>
      </c>
      <c r="J52" s="31" t="s">
        <v>35</v>
      </c>
      <c r="K52" s="31" t="s">
        <v>36</v>
      </c>
      <c r="L52" s="31" t="s">
        <v>37</v>
      </c>
      <c r="M52" s="31" t="s">
        <v>38</v>
      </c>
      <c r="N52" s="31" t="s">
        <v>39</v>
      </c>
    </row>
    <row r="53" spans="1:14" x14ac:dyDescent="0.15">
      <c r="A53" s="3" t="s">
        <v>136</v>
      </c>
      <c r="B53" s="3"/>
      <c r="C53" s="3"/>
      <c r="D53" s="3">
        <f>1400</f>
        <v>1400</v>
      </c>
      <c r="E53" s="15">
        <f>D59</f>
        <v>19275.572957969864</v>
      </c>
      <c r="F53" s="15">
        <f>E59</f>
        <v>24711.81205392546</v>
      </c>
      <c r="G53" s="11"/>
      <c r="H53" t="s">
        <v>32</v>
      </c>
      <c r="I53">
        <v>2</v>
      </c>
      <c r="J53">
        <v>0.9</v>
      </c>
      <c r="K53">
        <v>0.95</v>
      </c>
      <c r="L53">
        <v>0.98</v>
      </c>
      <c r="M53" s="30">
        <f>(I53*K53)/(2-J53)</f>
        <v>1.7272727272727271</v>
      </c>
      <c r="N53" s="30">
        <f>M53/L53</f>
        <v>1.7625231910946195</v>
      </c>
    </row>
    <row r="54" spans="1:14" x14ac:dyDescent="0.15">
      <c r="A54" s="3" t="s">
        <v>7</v>
      </c>
      <c r="B54" s="3"/>
      <c r="C54" s="3"/>
      <c r="D54" s="3">
        <v>1000</v>
      </c>
      <c r="E54" s="3">
        <v>1000</v>
      </c>
      <c r="F54" s="3">
        <v>1000</v>
      </c>
      <c r="G54" s="11"/>
      <c r="H54" s="29" t="s">
        <v>33</v>
      </c>
      <c r="I54" s="29">
        <v>4</v>
      </c>
      <c r="J54">
        <v>0.93</v>
      </c>
      <c r="K54">
        <v>0.9</v>
      </c>
      <c r="L54">
        <v>0.97</v>
      </c>
      <c r="M54" s="30">
        <f>(I54*K54)/(2-J54)</f>
        <v>3.3644859813084116</v>
      </c>
      <c r="N54" s="30">
        <f>M54/L54</f>
        <v>3.4685422487715583</v>
      </c>
    </row>
    <row r="55" spans="1:14" x14ac:dyDescent="0.15">
      <c r="A55" s="3" t="s">
        <v>135</v>
      </c>
      <c r="B55" s="3"/>
      <c r="C55" s="3"/>
      <c r="D55" s="15">
        <f>B60*(1-$F$25)</f>
        <v>34247.5</v>
      </c>
      <c r="E55" s="15">
        <f>C60*(1-$F$25)</f>
        <v>34247.5</v>
      </c>
      <c r="F55" s="15">
        <f>D73*(1-$F$25)</f>
        <v>34247.5</v>
      </c>
      <c r="H55" t="s">
        <v>31</v>
      </c>
      <c r="I55">
        <v>3</v>
      </c>
      <c r="J55">
        <v>0.95</v>
      </c>
      <c r="K55">
        <v>0.97</v>
      </c>
      <c r="L55">
        <v>0.97499999999999998</v>
      </c>
      <c r="M55" s="30">
        <f>(I55*K55)/(2-J55)</f>
        <v>2.7714285714285714</v>
      </c>
      <c r="N55" s="30">
        <f>M55/L55</f>
        <v>2.8424908424908426</v>
      </c>
    </row>
    <row r="56" spans="1:14" x14ac:dyDescent="0.15">
      <c r="A56" s="3" t="s">
        <v>134</v>
      </c>
      <c r="B56" s="3"/>
      <c r="C56" s="3"/>
      <c r="D56" s="3">
        <v>0</v>
      </c>
      <c r="E56" s="3">
        <v>0</v>
      </c>
      <c r="F56" s="15">
        <v>0</v>
      </c>
    </row>
    <row r="57" spans="1:14" x14ac:dyDescent="0.15">
      <c r="A57" s="3" t="s">
        <v>133</v>
      </c>
      <c r="B57" s="3"/>
      <c r="C57" s="3"/>
      <c r="D57" s="15">
        <f>D53+D54+D55+D56</f>
        <v>36647.5</v>
      </c>
      <c r="E57" s="15">
        <f>E53+E54+E55+E56</f>
        <v>54523.072957969867</v>
      </c>
      <c r="F57" s="15">
        <f>F53+F54+F55+F56</f>
        <v>59959.31205392546</v>
      </c>
      <c r="H57" s="60" t="s">
        <v>42</v>
      </c>
      <c r="I57" s="60"/>
      <c r="J57" s="60"/>
      <c r="K57" s="60"/>
    </row>
    <row r="58" spans="1:14" x14ac:dyDescent="0.15">
      <c r="A58" s="3" t="s">
        <v>132</v>
      </c>
      <c r="B58" s="3"/>
      <c r="C58" s="3"/>
      <c r="D58" s="15">
        <f>B64</f>
        <v>17371.927042030136</v>
      </c>
      <c r="E58" s="15">
        <f>B67</f>
        <v>29811.260904044408</v>
      </c>
      <c r="F58" s="15">
        <f>B70</f>
        <v>54420.301348136403</v>
      </c>
      <c r="H58" s="31"/>
      <c r="I58" s="31" t="s">
        <v>43</v>
      </c>
      <c r="J58" s="31" t="s">
        <v>44</v>
      </c>
      <c r="K58" s="31" t="s">
        <v>51</v>
      </c>
      <c r="L58" s="31" t="s">
        <v>52</v>
      </c>
      <c r="M58" s="31" t="s">
        <v>144</v>
      </c>
      <c r="N58" s="31"/>
    </row>
    <row r="59" spans="1:14" x14ac:dyDescent="0.15">
      <c r="A59" s="3" t="s">
        <v>131</v>
      </c>
      <c r="B59" s="3"/>
      <c r="C59" s="3"/>
      <c r="D59" s="15">
        <f>D57-D58</f>
        <v>19275.572957969864</v>
      </c>
      <c r="E59" s="15">
        <f>E57-E58</f>
        <v>24711.81205392546</v>
      </c>
      <c r="F59" s="15">
        <f>F57-F58</f>
        <v>5539.0107057890564</v>
      </c>
      <c r="H59" t="s">
        <v>32</v>
      </c>
      <c r="I59" s="30">
        <f>N53</f>
        <v>1.7625231910946195</v>
      </c>
      <c r="J59" s="30">
        <f>I59/Q11</f>
        <v>2.563943992515421</v>
      </c>
      <c r="K59">
        <v>3</v>
      </c>
      <c r="L59" s="30">
        <f>I59/K59</f>
        <v>0.58750773036487314</v>
      </c>
      <c r="M59" s="13">
        <f>K59*1</f>
        <v>3</v>
      </c>
      <c r="N59" s="30"/>
    </row>
    <row r="60" spans="1:14" x14ac:dyDescent="0.15">
      <c r="A60" s="3" t="s">
        <v>130</v>
      </c>
      <c r="B60" s="15">
        <f>D73</f>
        <v>36050</v>
      </c>
      <c r="C60" s="15">
        <f>D73</f>
        <v>36050</v>
      </c>
      <c r="D60" s="15">
        <f>D73</f>
        <v>36050</v>
      </c>
      <c r="E60" s="3"/>
      <c r="F60" s="3"/>
      <c r="H60" s="29" t="s">
        <v>33</v>
      </c>
      <c r="I60" s="32">
        <f>N54</f>
        <v>3.4685422487715583</v>
      </c>
      <c r="J60" s="30">
        <f>I60/Q12</f>
        <v>4.4165828860774159</v>
      </c>
      <c r="K60">
        <v>5</v>
      </c>
      <c r="L60" s="30">
        <f>I60/K60</f>
        <v>0.69370844975431167</v>
      </c>
      <c r="M60" s="13">
        <f>K60*1</f>
        <v>5</v>
      </c>
      <c r="N60" s="30"/>
    </row>
    <row r="61" spans="1:14" x14ac:dyDescent="0.15">
      <c r="H61" t="s">
        <v>31</v>
      </c>
      <c r="I61" s="30">
        <f>N55</f>
        <v>2.8424908424908426</v>
      </c>
      <c r="J61" s="30">
        <f>I61/Q9</f>
        <v>1.6184569952011809</v>
      </c>
      <c r="K61">
        <v>2</v>
      </c>
      <c r="L61" s="30">
        <f>I61/K61</f>
        <v>1.4212454212454213</v>
      </c>
      <c r="M61" s="13">
        <f>K61*2</f>
        <v>4</v>
      </c>
      <c r="N61" s="30"/>
    </row>
    <row r="62" spans="1:14" x14ac:dyDescent="0.15">
      <c r="B62" s="31"/>
      <c r="I62" t="s">
        <v>143</v>
      </c>
      <c r="K62">
        <f>SUM(K59:K61)</f>
        <v>10</v>
      </c>
      <c r="L62">
        <v>3</v>
      </c>
      <c r="M62">
        <f>K62-L62</f>
        <v>7</v>
      </c>
    </row>
    <row r="63" spans="1:14" x14ac:dyDescent="0.15">
      <c r="B63" s="31"/>
      <c r="H63" s="35" t="s">
        <v>53</v>
      </c>
      <c r="I63" s="35"/>
      <c r="J63" s="35"/>
      <c r="K63" s="35"/>
    </row>
    <row r="64" spans="1:14" x14ac:dyDescent="0.15">
      <c r="A64" t="s">
        <v>28</v>
      </c>
      <c r="B64" s="13">
        <f>$E$5*H37</f>
        <v>17371.927042030136</v>
      </c>
      <c r="J64" s="58" t="s">
        <v>57</v>
      </c>
      <c r="K64" s="58"/>
      <c r="L64" s="58"/>
    </row>
    <row r="65" spans="1:17" ht="15" x14ac:dyDescent="0.2">
      <c r="A65" t="s">
        <v>114</v>
      </c>
      <c r="B65" s="13">
        <f>(((B64*(1+$F$22))-D53-1000)/(1-$F$25))</f>
        <v>17588.547101298056</v>
      </c>
      <c r="C65">
        <f>CEILING(B65,50)</f>
        <v>17600</v>
      </c>
      <c r="H65" s="31"/>
      <c r="I65" s="31" t="s">
        <v>52</v>
      </c>
      <c r="J65" s="31" t="s">
        <v>54</v>
      </c>
      <c r="K65" s="31" t="s">
        <v>55</v>
      </c>
      <c r="L65" s="31" t="s">
        <v>56</v>
      </c>
      <c r="M65" s="31" t="s">
        <v>6</v>
      </c>
      <c r="N65" s="31" t="s">
        <v>58</v>
      </c>
      <c r="O65" s="31" t="s">
        <v>65</v>
      </c>
    </row>
    <row r="66" spans="1:17" x14ac:dyDescent="0.15">
      <c r="H66" t="s">
        <v>32</v>
      </c>
      <c r="I66" s="30">
        <f>L59</f>
        <v>0.58750773036487314</v>
      </c>
      <c r="J66" s="30">
        <f>(C32-C33)*$I$66</f>
        <v>3996.8602825745679</v>
      </c>
      <c r="K66" s="30">
        <f>(D32-D33)*$I$66</f>
        <v>7204.3512043512028</v>
      </c>
      <c r="L66" s="30">
        <f>(E32-E33)*$I$66</f>
        <v>10848.706848706848</v>
      </c>
      <c r="M66" s="13">
        <v>8600</v>
      </c>
      <c r="N66" s="30">
        <f>L66-M66</f>
        <v>2248.7068487068482</v>
      </c>
      <c r="O66" s="36">
        <f>(N66/60)*$H$3</f>
        <v>140.54417804417801</v>
      </c>
      <c r="P66" s="30"/>
    </row>
    <row r="67" spans="1:17" x14ac:dyDescent="0.15">
      <c r="A67" t="s">
        <v>29</v>
      </c>
      <c r="B67" s="13">
        <f>$E$5*I37</f>
        <v>29811.260904044408</v>
      </c>
      <c r="H67" s="29" t="s">
        <v>33</v>
      </c>
      <c r="I67" s="32">
        <f>L60</f>
        <v>0.69370844975431167</v>
      </c>
      <c r="J67" s="30">
        <f>(I32-I33)*$I$67</f>
        <v>3896.5070000815263</v>
      </c>
      <c r="K67" s="30">
        <f>(J32-J33)*$I$67</f>
        <v>6686.6379597856612</v>
      </c>
      <c r="L67" s="30">
        <f>(K32-K33)*$I$67</f>
        <v>12206.42273229228</v>
      </c>
      <c r="M67" s="13">
        <v>8600</v>
      </c>
      <c r="N67" s="30">
        <f>L67-M67</f>
        <v>3606.4227322922798</v>
      </c>
      <c r="O67" s="36">
        <f>(N67/60)*$H$3</f>
        <v>225.40142076826749</v>
      </c>
      <c r="Q67" s="30"/>
    </row>
    <row r="68" spans="1:17" ht="15" x14ac:dyDescent="0.2">
      <c r="A68" t="s">
        <v>113</v>
      </c>
      <c r="B68" s="13">
        <f>(((B67*(1+$F$22))-E53-1000)/(1-$F$25))</f>
        <v>13175.593722609465</v>
      </c>
      <c r="C68">
        <f>CEILING(B68,50)</f>
        <v>13200</v>
      </c>
      <c r="H68" t="s">
        <v>31</v>
      </c>
      <c r="I68" s="30">
        <f>L61</f>
        <v>1.4212454212454213</v>
      </c>
      <c r="J68" s="30">
        <f>(((B14-B15)+((H14-H15)))*I68)</f>
        <v>3652.600732600733</v>
      </c>
      <c r="K68" s="30">
        <f>(((C14-C15)+((I14-I15)))*I68)</f>
        <v>6338.7545787545787</v>
      </c>
      <c r="L68" s="30">
        <f>(((D14-D15)+((J14-J15)))*I68)</f>
        <v>10886.739926739927</v>
      </c>
      <c r="M68" s="13">
        <v>8600</v>
      </c>
      <c r="N68" s="30">
        <f>L68-M68</f>
        <v>2286.7399267399269</v>
      </c>
      <c r="O68" s="36">
        <f>(N68/60)*$H$3</f>
        <v>142.92124542124543</v>
      </c>
    </row>
    <row r="69" spans="1:17" x14ac:dyDescent="0.15">
      <c r="O69" s="36">
        <f>SUM(O66:O68)</f>
        <v>508.86684423369093</v>
      </c>
    </row>
    <row r="70" spans="1:17" x14ac:dyDescent="0.15">
      <c r="A70" t="s">
        <v>30</v>
      </c>
      <c r="B70" s="13">
        <f>$E$5*J37</f>
        <v>54420.301348136403</v>
      </c>
      <c r="H70" t="s">
        <v>66</v>
      </c>
    </row>
    <row r="71" spans="1:17" ht="29" x14ac:dyDescent="0.2">
      <c r="A71" t="s">
        <v>112</v>
      </c>
      <c r="B71" s="13">
        <f>(((B70*(1+$F$22))-F53-1000)/(1-$F$25))</f>
        <v>35947.915188446932</v>
      </c>
      <c r="C71">
        <f>CEILING(B71,50)</f>
        <v>35950</v>
      </c>
      <c r="I71" s="33" t="s">
        <v>78</v>
      </c>
      <c r="J71" s="38" t="s">
        <v>67</v>
      </c>
    </row>
    <row r="72" spans="1:17" x14ac:dyDescent="0.15">
      <c r="H72" t="s">
        <v>11</v>
      </c>
      <c r="I72">
        <f>(B16+C16+D16)/2</f>
        <v>4125.0000000000009</v>
      </c>
      <c r="J72" s="36">
        <f>I72*$H$4</f>
        <v>495.00000000000011</v>
      </c>
    </row>
    <row r="73" spans="1:17" x14ac:dyDescent="0.15">
      <c r="A73" t="s">
        <v>111</v>
      </c>
      <c r="B73" s="13">
        <f>((B64+B67+B70)+(B70*F22)-D53-3000)/3</f>
        <v>34215.173143008193</v>
      </c>
      <c r="C73" s="13">
        <f>+B73/(1-F25)</f>
        <v>36015.971729482313</v>
      </c>
      <c r="D73">
        <f>CEILING(C73,50)</f>
        <v>36050</v>
      </c>
      <c r="H73" t="s">
        <v>12</v>
      </c>
      <c r="I73">
        <f>(H16+I16+J16)/2</f>
        <v>4320</v>
      </c>
      <c r="J73" s="36">
        <f>I73*$H$4</f>
        <v>518.4</v>
      </c>
    </row>
    <row r="74" spans="1:17" x14ac:dyDescent="0.15">
      <c r="A74" t="s">
        <v>110</v>
      </c>
      <c r="H74" t="s">
        <v>17</v>
      </c>
      <c r="I74" s="13">
        <f>(C34+D34+E34)/2</f>
        <v>21046.153846153844</v>
      </c>
      <c r="J74" s="36">
        <f>I74*$H$4</f>
        <v>2525.538461538461</v>
      </c>
    </row>
    <row r="75" spans="1:17" x14ac:dyDescent="0.15">
      <c r="H75" t="s">
        <v>18</v>
      </c>
      <c r="I75" s="13">
        <f>(I34+J34+K34)/2</f>
        <v>18073.846153846152</v>
      </c>
      <c r="J75" s="36">
        <f>I75*$H$4</f>
        <v>2168.8615384615382</v>
      </c>
    </row>
    <row r="76" spans="1:17" x14ac:dyDescent="0.15">
      <c r="H76" t="s">
        <v>14</v>
      </c>
      <c r="I76" s="13">
        <f>(D57+E57+F57)/2</f>
        <v>75564.942505947663</v>
      </c>
      <c r="J76" s="36">
        <f>I76*$H$4</f>
        <v>9067.7931007137195</v>
      </c>
    </row>
    <row r="77" spans="1:17" x14ac:dyDescent="0.15">
      <c r="J77" s="36">
        <f>SUM(J72:J76)</f>
        <v>14775.593100713719</v>
      </c>
    </row>
  </sheetData>
  <mergeCells count="8">
    <mergeCell ref="B1:E1"/>
    <mergeCell ref="H50:N50"/>
    <mergeCell ref="H51:K51"/>
    <mergeCell ref="H57:K57"/>
    <mergeCell ref="J64:L64"/>
    <mergeCell ref="B29:E29"/>
    <mergeCell ref="H29:K29"/>
    <mergeCell ref="B51:F5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25"/>
  <sheetViews>
    <sheetView zoomScale="150" zoomScaleNormal="150" zoomScalePageLayoutView="150" workbookViewId="0">
      <selection activeCell="AD16" sqref="AD16"/>
    </sheetView>
  </sheetViews>
  <sheetFormatPr baseColWidth="10" defaultRowHeight="13" x14ac:dyDescent="0.15"/>
  <cols>
    <col min="1" max="1" width="9.33203125" bestFit="1" customWidth="1"/>
    <col min="2" max="2" width="6.83203125" customWidth="1"/>
    <col min="3" max="9" width="4.5" customWidth="1"/>
    <col min="10" max="10" width="6.1640625" customWidth="1"/>
    <col min="11" max="13" width="4.5" customWidth="1"/>
    <col min="14" max="14" width="5.6640625" customWidth="1"/>
    <col min="15" max="17" width="4.5" customWidth="1"/>
    <col min="18" max="19" width="5.5" bestFit="1" customWidth="1"/>
    <col min="20" max="21" width="4.5" customWidth="1"/>
    <col min="22" max="24" width="5.5" bestFit="1" customWidth="1"/>
    <col min="25" max="25" width="5.6640625" customWidth="1"/>
    <col min="26" max="26" width="3.33203125" bestFit="1" customWidth="1"/>
    <col min="27" max="27" width="4.5" customWidth="1"/>
    <col min="28" max="28" width="5.6640625" customWidth="1"/>
    <col min="29" max="29" width="6" customWidth="1"/>
  </cols>
  <sheetData>
    <row r="2" spans="1:30" ht="28" x14ac:dyDescent="0.15">
      <c r="A2" s="42"/>
      <c r="B2" s="44"/>
      <c r="C2" s="45" t="s">
        <v>95</v>
      </c>
      <c r="D2" s="65" t="s">
        <v>96</v>
      </c>
      <c r="E2" s="65"/>
      <c r="F2" s="65"/>
      <c r="G2" s="65"/>
      <c r="H2" s="65"/>
      <c r="I2" s="65"/>
      <c r="J2" s="42"/>
      <c r="K2" s="42"/>
      <c r="L2" s="42"/>
      <c r="M2" s="42"/>
    </row>
    <row r="3" spans="1:30" ht="28" x14ac:dyDescent="0.15">
      <c r="A3" s="42"/>
      <c r="B3" s="44" t="s">
        <v>71</v>
      </c>
      <c r="C3" s="45" t="s">
        <v>97</v>
      </c>
      <c r="D3" s="45" t="s">
        <v>98</v>
      </c>
      <c r="E3" s="45" t="s">
        <v>99</v>
      </c>
      <c r="F3" s="45" t="s">
        <v>100</v>
      </c>
      <c r="G3" s="45" t="s">
        <v>101</v>
      </c>
      <c r="H3" s="50" t="s">
        <v>102</v>
      </c>
      <c r="I3" s="45" t="s">
        <v>103</v>
      </c>
      <c r="J3" s="53" t="s">
        <v>108</v>
      </c>
      <c r="K3" s="53" t="s">
        <v>109</v>
      </c>
      <c r="L3" s="42"/>
      <c r="M3" s="52" t="s">
        <v>105</v>
      </c>
      <c r="N3" s="45" t="s">
        <v>106</v>
      </c>
      <c r="O3" s="45" t="s">
        <v>107</v>
      </c>
      <c r="S3" s="65" t="s">
        <v>106</v>
      </c>
      <c r="T3" s="45" t="s">
        <v>121</v>
      </c>
    </row>
    <row r="4" spans="1:30" ht="14" x14ac:dyDescent="0.15">
      <c r="A4" s="42"/>
      <c r="B4" s="44">
        <v>4899</v>
      </c>
      <c r="C4" s="51">
        <v>30</v>
      </c>
      <c r="D4" s="45">
        <v>2</v>
      </c>
      <c r="E4" s="45">
        <v>1</v>
      </c>
      <c r="F4" s="45">
        <v>3</v>
      </c>
      <c r="G4" s="45">
        <v>2</v>
      </c>
      <c r="H4" s="50">
        <v>6</v>
      </c>
      <c r="I4" s="45">
        <v>1</v>
      </c>
      <c r="J4" s="54">
        <f>C4/H4</f>
        <v>5</v>
      </c>
      <c r="K4" s="53">
        <f>H4*O4/H4</f>
        <v>100</v>
      </c>
      <c r="L4" s="42"/>
      <c r="M4" s="52">
        <v>101</v>
      </c>
      <c r="N4" s="45">
        <v>4899</v>
      </c>
      <c r="O4" s="45">
        <v>100</v>
      </c>
      <c r="S4" s="65"/>
      <c r="T4" s="45" t="s">
        <v>122</v>
      </c>
    </row>
    <row r="5" spans="1:30" x14ac:dyDescent="0.15">
      <c r="A5" s="42"/>
      <c r="B5" s="44">
        <v>4500</v>
      </c>
      <c r="C5" s="51">
        <v>20</v>
      </c>
      <c r="D5" s="45">
        <v>1</v>
      </c>
      <c r="E5" s="45">
        <v>2</v>
      </c>
      <c r="F5" s="45">
        <v>2</v>
      </c>
      <c r="G5" s="45">
        <v>3</v>
      </c>
      <c r="H5" s="50">
        <v>5</v>
      </c>
      <c r="I5" s="45">
        <v>1</v>
      </c>
      <c r="J5" s="54">
        <f>C5/H5</f>
        <v>4</v>
      </c>
      <c r="K5" s="53">
        <f>H5*O5/H5</f>
        <v>300</v>
      </c>
      <c r="L5" s="42"/>
      <c r="M5" s="52">
        <v>102</v>
      </c>
      <c r="N5" s="45">
        <v>4500</v>
      </c>
      <c r="O5" s="45">
        <v>300</v>
      </c>
      <c r="S5" s="45">
        <v>4899</v>
      </c>
      <c r="T5" s="45">
        <v>120</v>
      </c>
    </row>
    <row r="6" spans="1:30" x14ac:dyDescent="0.15">
      <c r="A6" s="42"/>
      <c r="B6" s="44">
        <v>2350</v>
      </c>
      <c r="C6" s="51">
        <v>20</v>
      </c>
      <c r="D6" s="45">
        <v>3</v>
      </c>
      <c r="E6" s="45">
        <v>4</v>
      </c>
      <c r="F6" s="45">
        <v>1</v>
      </c>
      <c r="G6" s="45">
        <v>1</v>
      </c>
      <c r="H6" s="50">
        <v>6</v>
      </c>
      <c r="I6" s="45">
        <v>2</v>
      </c>
      <c r="J6" s="54">
        <f>C6/H6</f>
        <v>3.3333333333333335</v>
      </c>
      <c r="K6" s="53">
        <f>H6*O6/H6</f>
        <v>225</v>
      </c>
      <c r="L6" s="42"/>
      <c r="M6" s="52">
        <v>103</v>
      </c>
      <c r="N6" s="45">
        <v>2350</v>
      </c>
      <c r="O6" s="45">
        <v>225</v>
      </c>
      <c r="S6" s="45">
        <v>4500</v>
      </c>
      <c r="T6" s="45">
        <v>120</v>
      </c>
    </row>
    <row r="7" spans="1:30" x14ac:dyDescent="0.15">
      <c r="A7" s="42"/>
      <c r="B7" s="44">
        <v>3470</v>
      </c>
      <c r="C7" s="51">
        <v>15</v>
      </c>
      <c r="D7" s="45">
        <v>2</v>
      </c>
      <c r="E7" s="45">
        <v>2</v>
      </c>
      <c r="F7" s="45">
        <v>2</v>
      </c>
      <c r="G7" s="45">
        <v>4</v>
      </c>
      <c r="H7" s="50">
        <v>5.5</v>
      </c>
      <c r="I7" s="45">
        <v>2</v>
      </c>
      <c r="J7" s="54">
        <f>C7/H7</f>
        <v>2.7272727272727271</v>
      </c>
      <c r="K7" s="53">
        <f>H7*O7/H7</f>
        <v>125</v>
      </c>
      <c r="L7" s="42"/>
      <c r="M7" s="52">
        <v>104</v>
      </c>
      <c r="N7" s="45">
        <v>3470</v>
      </c>
      <c r="O7" s="45">
        <v>125</v>
      </c>
      <c r="S7" s="45">
        <v>2350</v>
      </c>
      <c r="T7" s="45">
        <v>60</v>
      </c>
    </row>
    <row r="8" spans="1:30" x14ac:dyDescent="0.15">
      <c r="A8" s="42"/>
      <c r="B8" s="42"/>
      <c r="C8" s="42"/>
      <c r="D8" s="42"/>
      <c r="E8" s="42"/>
      <c r="F8" s="42"/>
      <c r="G8" s="42"/>
      <c r="H8" s="48" t="s">
        <v>104</v>
      </c>
      <c r="I8" s="42"/>
      <c r="J8" s="42"/>
      <c r="K8" s="42"/>
      <c r="L8" s="42"/>
      <c r="M8" s="42"/>
    </row>
    <row r="9" spans="1:30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30" x14ac:dyDescent="0.15">
      <c r="A10" s="1" t="s">
        <v>94</v>
      </c>
    </row>
    <row r="11" spans="1:30" x14ac:dyDescent="0.15">
      <c r="B11" s="31" t="s">
        <v>12</v>
      </c>
      <c r="C11" s="58" t="s">
        <v>89</v>
      </c>
      <c r="D11" s="58"/>
      <c r="E11" s="31" t="s">
        <v>90</v>
      </c>
      <c r="F11" s="31" t="s">
        <v>91</v>
      </c>
      <c r="G11" s="58" t="s">
        <v>98</v>
      </c>
      <c r="H11" s="58"/>
      <c r="I11" s="58" t="s">
        <v>93</v>
      </c>
      <c r="J11" s="58"/>
      <c r="K11" s="31" t="s">
        <v>90</v>
      </c>
      <c r="L11" s="31" t="s">
        <v>91</v>
      </c>
      <c r="M11" s="58" t="s">
        <v>100</v>
      </c>
      <c r="N11" s="58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30" x14ac:dyDescent="0.15">
      <c r="A12" s="55">
        <v>4899</v>
      </c>
      <c r="B12" s="31">
        <v>100</v>
      </c>
      <c r="C12" s="28">
        <v>0</v>
      </c>
      <c r="D12" s="28">
        <v>120</v>
      </c>
      <c r="E12" s="49">
        <v>0</v>
      </c>
      <c r="F12" s="49">
        <v>0</v>
      </c>
      <c r="G12" s="28">
        <v>120</v>
      </c>
      <c r="H12" s="28">
        <v>320</v>
      </c>
      <c r="I12" s="28">
        <v>200</v>
      </c>
      <c r="J12" s="28">
        <v>320</v>
      </c>
      <c r="K12" s="49">
        <v>0</v>
      </c>
      <c r="L12" s="49">
        <v>0</v>
      </c>
      <c r="M12" s="28">
        <v>320</v>
      </c>
      <c r="N12" s="28">
        <v>620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30" x14ac:dyDescent="0.15">
      <c r="A13" s="55">
        <v>4500</v>
      </c>
      <c r="B13" s="31">
        <v>300</v>
      </c>
      <c r="C13" s="28">
        <v>320</v>
      </c>
      <c r="D13" s="28">
        <f>C13+120</f>
        <v>440</v>
      </c>
      <c r="E13" s="49">
        <v>0</v>
      </c>
      <c r="F13" s="49">
        <v>120</v>
      </c>
      <c r="G13" s="28">
        <v>440</v>
      </c>
      <c r="H13" s="28">
        <f>G13+300</f>
        <v>740</v>
      </c>
      <c r="I13" s="28">
        <v>620</v>
      </c>
      <c r="J13" s="28">
        <f>I13+120</f>
        <v>740</v>
      </c>
      <c r="K13" s="49">
        <v>0</v>
      </c>
      <c r="L13" s="49">
        <f>M13-N12</f>
        <v>120</v>
      </c>
      <c r="M13" s="28">
        <v>740</v>
      </c>
      <c r="N13" s="28">
        <f>M13+600</f>
        <v>1340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0" x14ac:dyDescent="0.15">
      <c r="O14" s="31"/>
      <c r="P14" s="31"/>
      <c r="Q14" s="31" t="s">
        <v>12</v>
      </c>
      <c r="R14" s="58" t="s">
        <v>124</v>
      </c>
      <c r="S14" s="58"/>
      <c r="T14" s="31" t="s">
        <v>90</v>
      </c>
      <c r="U14" s="31" t="s">
        <v>91</v>
      </c>
      <c r="V14" s="58" t="s">
        <v>102</v>
      </c>
      <c r="W14" s="58"/>
      <c r="X14" s="58" t="s">
        <v>125</v>
      </c>
      <c r="Y14" s="58"/>
      <c r="Z14" s="31" t="s">
        <v>90</v>
      </c>
      <c r="AA14" s="31" t="s">
        <v>91</v>
      </c>
      <c r="AB14" s="58" t="s">
        <v>103</v>
      </c>
      <c r="AC14" s="58"/>
    </row>
    <row r="15" spans="1:30" x14ac:dyDescent="0.15">
      <c r="O15" s="31"/>
      <c r="P15" s="53">
        <v>4899</v>
      </c>
      <c r="Q15" s="31">
        <v>100</v>
      </c>
      <c r="R15" s="28">
        <v>620</v>
      </c>
      <c r="S15" s="28">
        <f>R15+120</f>
        <v>740</v>
      </c>
      <c r="T15" s="49">
        <v>0</v>
      </c>
      <c r="U15" s="49">
        <v>0</v>
      </c>
      <c r="V15" s="28">
        <f>S15</f>
        <v>740</v>
      </c>
      <c r="W15" s="28">
        <f>V15+600</f>
        <v>1340</v>
      </c>
      <c r="X15" s="28">
        <f>W15-120</f>
        <v>1220</v>
      </c>
      <c r="Y15" s="28">
        <f>X15+120</f>
        <v>1340</v>
      </c>
      <c r="Z15" s="49">
        <v>0</v>
      </c>
      <c r="AA15" s="49">
        <v>0</v>
      </c>
      <c r="AB15" s="28">
        <f>Y15</f>
        <v>1340</v>
      </c>
      <c r="AC15" s="28">
        <f>AB15+100</f>
        <v>1440</v>
      </c>
    </row>
    <row r="16" spans="1:30" x14ac:dyDescent="0.1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53">
        <v>4500</v>
      </c>
      <c r="Q16" s="31">
        <v>300</v>
      </c>
      <c r="R16" s="28">
        <f>1840-120</f>
        <v>1720</v>
      </c>
      <c r="S16" s="28">
        <f>R16+120</f>
        <v>1840</v>
      </c>
      <c r="T16" s="49"/>
      <c r="U16" s="49"/>
      <c r="V16" s="28">
        <v>1840</v>
      </c>
      <c r="W16" s="28">
        <f>V16+1500</f>
        <v>3340</v>
      </c>
      <c r="X16" s="28">
        <f>W16-120</f>
        <v>3220</v>
      </c>
      <c r="Y16" s="28">
        <f>X16+120</f>
        <v>3340</v>
      </c>
      <c r="Z16" s="49"/>
      <c r="AA16" s="49"/>
      <c r="AB16" s="28">
        <f>Y16</f>
        <v>3340</v>
      </c>
      <c r="AC16" s="28">
        <f>AB16+300</f>
        <v>3640</v>
      </c>
      <c r="AD16">
        <f>AC16/60</f>
        <v>60.666666666666664</v>
      </c>
    </row>
    <row r="17" spans="1:29" x14ac:dyDescent="0.15">
      <c r="B17" s="31" t="s">
        <v>12</v>
      </c>
      <c r="C17" s="58" t="s">
        <v>92</v>
      </c>
      <c r="D17" s="58"/>
      <c r="E17" s="31" t="s">
        <v>90</v>
      </c>
      <c r="F17" s="31" t="s">
        <v>91</v>
      </c>
      <c r="G17" s="58" t="s">
        <v>99</v>
      </c>
      <c r="H17" s="58"/>
      <c r="I17" s="58" t="s">
        <v>123</v>
      </c>
      <c r="J17" s="58"/>
      <c r="K17" s="31" t="s">
        <v>90</v>
      </c>
      <c r="L17" s="31" t="s">
        <v>91</v>
      </c>
      <c r="M17" s="58" t="s">
        <v>101</v>
      </c>
      <c r="N17" s="58"/>
      <c r="O17" s="31"/>
    </row>
    <row r="18" spans="1:29" x14ac:dyDescent="0.15">
      <c r="A18" s="55">
        <v>4899</v>
      </c>
      <c r="B18" s="31">
        <v>100</v>
      </c>
      <c r="C18" s="28">
        <v>0</v>
      </c>
      <c r="D18" s="28">
        <v>120</v>
      </c>
      <c r="E18" s="49">
        <v>0</v>
      </c>
      <c r="F18" s="49">
        <v>0</v>
      </c>
      <c r="G18" s="28">
        <v>120</v>
      </c>
      <c r="H18" s="28">
        <v>220</v>
      </c>
      <c r="I18" s="28">
        <v>100</v>
      </c>
      <c r="J18" s="28">
        <v>220</v>
      </c>
      <c r="K18" s="49">
        <v>0</v>
      </c>
      <c r="L18" s="49">
        <v>0</v>
      </c>
      <c r="M18" s="28">
        <v>220</v>
      </c>
      <c r="N18" s="28">
        <f>M18+200</f>
        <v>420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x14ac:dyDescent="0.15">
      <c r="A19" s="55">
        <v>4500</v>
      </c>
      <c r="B19" s="31">
        <v>300</v>
      </c>
      <c r="C19" s="28">
        <v>220</v>
      </c>
      <c r="D19" s="28">
        <v>340</v>
      </c>
      <c r="E19" s="49">
        <v>0</v>
      </c>
      <c r="F19" s="49">
        <v>120</v>
      </c>
      <c r="G19" s="28">
        <v>340</v>
      </c>
      <c r="H19" s="28">
        <v>940</v>
      </c>
      <c r="I19" s="28">
        <f>940-120</f>
        <v>820</v>
      </c>
      <c r="J19" s="28">
        <f>I19+120</f>
        <v>940</v>
      </c>
      <c r="K19" s="49">
        <v>0</v>
      </c>
      <c r="L19" s="49">
        <f>M19-N18</f>
        <v>520</v>
      </c>
      <c r="M19" s="28">
        <v>940</v>
      </c>
      <c r="N19" s="28">
        <f>M19+900</f>
        <v>1840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x14ac:dyDescent="0.15"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x14ac:dyDescent="0.15"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x14ac:dyDescent="0.15">
      <c r="A22" s="1" t="s">
        <v>126</v>
      </c>
    </row>
    <row r="23" spans="1:29" x14ac:dyDescent="0.15">
      <c r="A23" t="s">
        <v>127</v>
      </c>
    </row>
    <row r="24" spans="1:29" x14ac:dyDescent="0.15">
      <c r="A24" t="s">
        <v>128</v>
      </c>
    </row>
    <row r="25" spans="1:29" x14ac:dyDescent="0.15">
      <c r="A25" t="s">
        <v>129</v>
      </c>
    </row>
  </sheetData>
  <mergeCells count="14">
    <mergeCell ref="AB14:AC14"/>
    <mergeCell ref="S3:S4"/>
    <mergeCell ref="D2:I2"/>
    <mergeCell ref="C17:D17"/>
    <mergeCell ref="G17:H17"/>
    <mergeCell ref="I17:J17"/>
    <mergeCell ref="M17:N17"/>
    <mergeCell ref="R14:S14"/>
    <mergeCell ref="C11:D11"/>
    <mergeCell ref="G11:H11"/>
    <mergeCell ref="I11:J11"/>
    <mergeCell ref="M11:N11"/>
    <mergeCell ref="V14:W14"/>
    <mergeCell ref="X14:Y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</vt:lpstr>
    </vt:vector>
  </TitlesOfParts>
  <Company>Leon y Parra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Edgar Hernandez</cp:lastModifiedBy>
  <dcterms:created xsi:type="dcterms:W3CDTF">2008-12-11T17:27:27Z</dcterms:created>
  <dcterms:modified xsi:type="dcterms:W3CDTF">2021-10-30T00:54:27Z</dcterms:modified>
</cp:coreProperties>
</file>