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 tabRatio="500" activeTab="1"/>
  </bookViews>
  <sheets>
    <sheet name="Primera pregunta" sheetId="1" r:id="rId1"/>
    <sheet name="Segunda pregunta" sheetId="4" r:id="rId2"/>
    <sheet name="Tercera pregunta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O29" i="4"/>
  <c r="O28" i="4"/>
  <c r="M34" i="4"/>
  <c r="M39" i="4"/>
  <c r="N38" i="4"/>
  <c r="M38" i="4"/>
  <c r="N36" i="4"/>
  <c r="M36" i="4"/>
  <c r="G43" i="4"/>
  <c r="G42" i="4"/>
  <c r="C47" i="4"/>
  <c r="F51" i="4"/>
  <c r="C51" i="4"/>
  <c r="D47" i="4"/>
  <c r="F29" i="4"/>
  <c r="F28" i="4"/>
  <c r="G37" i="4"/>
  <c r="C33" i="4"/>
  <c r="E37" i="4"/>
  <c r="D37" i="4"/>
  <c r="C37" i="4"/>
  <c r="E49" i="4"/>
  <c r="D49" i="4"/>
  <c r="C49" i="4"/>
  <c r="E35" i="4"/>
  <c r="D35" i="4"/>
  <c r="C35" i="4"/>
  <c r="I7" i="4"/>
  <c r="E4" i="4"/>
  <c r="O36" i="4"/>
  <c r="C50" i="4"/>
  <c r="D50" i="4"/>
  <c r="E50" i="4"/>
  <c r="G44" i="4"/>
  <c r="G45" i="4"/>
  <c r="G46" i="4"/>
  <c r="H41" i="4"/>
  <c r="D51" i="4"/>
  <c r="E51" i="4"/>
  <c r="H22" i="4"/>
  <c r="I22" i="4"/>
  <c r="H14" i="4"/>
  <c r="H16" i="4"/>
  <c r="H17" i="4"/>
  <c r="H18" i="4"/>
  <c r="H19" i="4"/>
  <c r="I13" i="4"/>
  <c r="I14" i="4"/>
  <c r="I15" i="4"/>
  <c r="I16" i="4"/>
  <c r="I17" i="4"/>
  <c r="I18" i="4"/>
  <c r="I19" i="4"/>
  <c r="J13" i="4"/>
  <c r="J14" i="4"/>
  <c r="J16" i="4"/>
  <c r="J17" i="4"/>
  <c r="J18" i="4"/>
  <c r="J19" i="4"/>
  <c r="M37" i="4"/>
  <c r="N37" i="4"/>
  <c r="O37" i="4"/>
  <c r="O30" i="4"/>
  <c r="O31" i="4"/>
  <c r="O32" i="4"/>
  <c r="O33" i="4"/>
  <c r="P27" i="4"/>
  <c r="N34" i="4"/>
  <c r="P28" i="4"/>
  <c r="P30" i="4"/>
  <c r="P31" i="4"/>
  <c r="P32" i="4"/>
  <c r="P33" i="4"/>
  <c r="Q27" i="4"/>
  <c r="Q29" i="4"/>
  <c r="O34" i="4"/>
  <c r="Q28" i="4"/>
  <c r="Q30" i="4"/>
  <c r="Q31" i="4"/>
  <c r="Q32" i="4"/>
  <c r="Q33" i="4"/>
  <c r="J5" i="4"/>
  <c r="H42" i="4"/>
  <c r="H45" i="4"/>
  <c r="E47" i="4"/>
  <c r="I45" i="4"/>
  <c r="C36" i="4"/>
  <c r="D36" i="4"/>
  <c r="E36" i="4"/>
  <c r="F30" i="4"/>
  <c r="F31" i="4"/>
  <c r="F32" i="4"/>
  <c r="G27" i="4"/>
  <c r="D33" i="4"/>
  <c r="G28" i="4"/>
  <c r="G30" i="4"/>
  <c r="G31" i="4"/>
  <c r="G32" i="4"/>
  <c r="H27" i="4"/>
  <c r="F37" i="4"/>
  <c r="H29" i="4"/>
  <c r="H28" i="4"/>
  <c r="H30" i="4"/>
  <c r="E33" i="4"/>
  <c r="H31" i="4"/>
  <c r="K14" i="4"/>
  <c r="K15" i="4"/>
  <c r="C22" i="4"/>
  <c r="D22" i="4"/>
  <c r="C14" i="4"/>
  <c r="D14" i="4"/>
  <c r="D15" i="4"/>
  <c r="D16" i="4"/>
  <c r="E14" i="4"/>
  <c r="E16" i="4"/>
  <c r="C16" i="4"/>
  <c r="C17" i="4"/>
  <c r="C18" i="4"/>
  <c r="C19" i="4"/>
  <c r="D13" i="4"/>
  <c r="D17" i="4"/>
  <c r="D18" i="4"/>
  <c r="D19" i="4"/>
  <c r="E13" i="4"/>
  <c r="E17" i="4"/>
  <c r="E18" i="4"/>
  <c r="E19" i="4"/>
  <c r="C5" i="4"/>
  <c r="E5" i="4"/>
  <c r="C6" i="4"/>
  <c r="E6" i="4"/>
  <c r="C7" i="4"/>
  <c r="E7" i="4"/>
  <c r="G14" i="1"/>
  <c r="F6" i="1"/>
  <c r="R43" i="1"/>
  <c r="E6" i="1"/>
  <c r="Q43" i="1"/>
  <c r="Q50" i="1"/>
  <c r="F7" i="1"/>
  <c r="R44" i="1"/>
  <c r="E7" i="1"/>
  <c r="Q44" i="1"/>
  <c r="Q51" i="1"/>
  <c r="F8" i="1"/>
  <c r="R45" i="1"/>
  <c r="E8" i="1"/>
  <c r="Q45" i="1"/>
  <c r="Q52" i="1"/>
  <c r="F9" i="1"/>
  <c r="R46" i="1"/>
  <c r="E9" i="1"/>
  <c r="Q46" i="1"/>
  <c r="Q53" i="1"/>
  <c r="F5" i="1"/>
  <c r="R42" i="1"/>
  <c r="E5" i="1"/>
  <c r="Q42" i="1"/>
  <c r="Q49" i="1"/>
  <c r="D6" i="1"/>
  <c r="P43" i="1"/>
  <c r="P50" i="1"/>
  <c r="D7" i="1"/>
  <c r="P44" i="1"/>
  <c r="P51" i="1"/>
  <c r="D8" i="1"/>
  <c r="P45" i="1"/>
  <c r="P52" i="1"/>
  <c r="D9" i="1"/>
  <c r="P46" i="1"/>
  <c r="P53" i="1"/>
  <c r="D5" i="1"/>
  <c r="P42" i="1"/>
  <c r="P49" i="1"/>
  <c r="D42" i="1"/>
  <c r="F42" i="1"/>
  <c r="D43" i="1"/>
  <c r="F43" i="1"/>
  <c r="D44" i="1"/>
  <c r="F44" i="1"/>
  <c r="D45" i="1"/>
  <c r="F45" i="1"/>
  <c r="D46" i="1"/>
  <c r="F46" i="1"/>
  <c r="F47" i="1"/>
  <c r="D47" i="1"/>
  <c r="C47" i="1"/>
  <c r="I44" i="1"/>
  <c r="I42" i="1"/>
  <c r="I43" i="1"/>
  <c r="I41" i="1"/>
  <c r="D33" i="1"/>
  <c r="F33" i="1"/>
  <c r="D34" i="1"/>
  <c r="F34" i="1"/>
  <c r="D35" i="1"/>
  <c r="F35" i="1"/>
  <c r="D36" i="1"/>
  <c r="F36" i="1"/>
  <c r="D37" i="1"/>
  <c r="F37" i="1"/>
  <c r="F38" i="1"/>
  <c r="D38" i="1"/>
  <c r="C38" i="1"/>
  <c r="I35" i="1"/>
  <c r="I33" i="1"/>
  <c r="I34" i="1"/>
  <c r="I32" i="1"/>
  <c r="D23" i="1"/>
  <c r="D24" i="1"/>
  <c r="D25" i="1"/>
  <c r="D26" i="1"/>
  <c r="D27" i="1"/>
  <c r="D28" i="1"/>
  <c r="I22" i="1"/>
  <c r="C28" i="1"/>
  <c r="I23" i="1"/>
  <c r="I24" i="1"/>
  <c r="F23" i="1"/>
  <c r="F24" i="1"/>
  <c r="F25" i="1"/>
  <c r="F26" i="1"/>
  <c r="F27" i="1"/>
  <c r="F28" i="1"/>
  <c r="I25" i="1"/>
  <c r="G13" i="1"/>
  <c r="G15" i="1"/>
  <c r="G16" i="1"/>
  <c r="G12" i="1"/>
  <c r="G6" i="1"/>
  <c r="D13" i="1"/>
  <c r="G7" i="1"/>
  <c r="D14" i="1"/>
  <c r="G8" i="1"/>
  <c r="D15" i="1"/>
  <c r="G9" i="1"/>
  <c r="D16" i="1"/>
  <c r="G5" i="1"/>
  <c r="D12" i="1"/>
  <c r="H32" i="4"/>
  <c r="I42" i="4"/>
  <c r="H44" i="4"/>
  <c r="H46" i="4"/>
  <c r="I41" i="4"/>
  <c r="I44" i="4"/>
  <c r="I46" i="4"/>
</calcChain>
</file>

<file path=xl/sharedStrings.xml><?xml version="1.0" encoding="utf-8"?>
<sst xmlns="http://schemas.openxmlformats.org/spreadsheetml/2006/main" count="194" uniqueCount="92">
  <si>
    <t>A</t>
  </si>
  <si>
    <t>B</t>
  </si>
  <si>
    <t>C</t>
  </si>
  <si>
    <t>D</t>
  </si>
  <si>
    <t>E</t>
  </si>
  <si>
    <t>Fecha de recepción de la orden</t>
  </si>
  <si>
    <t>Días de producción necesarios</t>
  </si>
  <si>
    <t>Fecha de Entrega</t>
  </si>
  <si>
    <t>Costo total del retraso</t>
  </si>
  <si>
    <t>Fecha de entrega en días</t>
  </si>
  <si>
    <t>Máquina 1</t>
  </si>
  <si>
    <t>Máquina 2</t>
  </si>
  <si>
    <t>Máquina 3</t>
  </si>
  <si>
    <t>Orden</t>
  </si>
  <si>
    <t>Carga en días</t>
  </si>
  <si>
    <t>Q</t>
  </si>
  <si>
    <t>Capacidad Diaria</t>
  </si>
  <si>
    <t>Hoy es el día:</t>
  </si>
  <si>
    <t>Fecha de recepción de la orden en días</t>
  </si>
  <si>
    <t>Fecha de Entrega en días</t>
  </si>
  <si>
    <t>MINDD</t>
  </si>
  <si>
    <t>Secuencia</t>
  </si>
  <si>
    <t>Producción</t>
  </si>
  <si>
    <t>Tiempo de flujo</t>
  </si>
  <si>
    <t>Fecha de entrega</t>
  </si>
  <si>
    <t>retraso</t>
  </si>
  <si>
    <t>Total</t>
  </si>
  <si>
    <t>Tiempo de flujo  promedio</t>
  </si>
  <si>
    <t>Utilización</t>
  </si>
  <si>
    <t>Retraso promedio</t>
  </si>
  <si>
    <t xml:space="preserve"># promedio de trabajos </t>
  </si>
  <si>
    <t>MINSOP</t>
  </si>
  <si>
    <t>JHONSON</t>
  </si>
  <si>
    <t>Máquina A</t>
  </si>
  <si>
    <t>Máquina B</t>
  </si>
  <si>
    <t>C-D-E-A-B</t>
  </si>
  <si>
    <t>Pasas</t>
  </si>
  <si>
    <t>Chocolate</t>
  </si>
  <si>
    <t>Jarabe</t>
  </si>
  <si>
    <t>Azúcar</t>
  </si>
  <si>
    <t>Vainilla</t>
  </si>
  <si>
    <t>Receta</t>
  </si>
  <si>
    <t>Lista de Materiales</t>
  </si>
  <si>
    <t>Fruta</t>
  </si>
  <si>
    <t>MPS por Nivelación</t>
  </si>
  <si>
    <t>Mes</t>
  </si>
  <si>
    <t>Demanda</t>
  </si>
  <si>
    <t>Inventario Inicial</t>
  </si>
  <si>
    <t>Plan de Producción</t>
  </si>
  <si>
    <t>Aumento transitorio</t>
    <phoneticPr fontId="1" type="noConversion"/>
  </si>
  <si>
    <t>Desperdicio</t>
    <phoneticPr fontId="1" type="noConversion"/>
  </si>
  <si>
    <t>Disponible</t>
  </si>
  <si>
    <t>Despacho</t>
  </si>
  <si>
    <t>Inventario Final</t>
  </si>
  <si>
    <t>Pasas cubiertas de chocolates</t>
  </si>
  <si>
    <t>Fp promedio =</t>
  </si>
  <si>
    <t>AQL</t>
  </si>
  <si>
    <t>PNCT-USA</t>
  </si>
  <si>
    <t>PNCT-Brasil</t>
  </si>
  <si>
    <t>Merma</t>
  </si>
  <si>
    <t>Inv seg.</t>
  </si>
  <si>
    <t>Arándanos cubiertos de chocolates</t>
  </si>
  <si>
    <t>AT</t>
  </si>
  <si>
    <t>Inventario inicial</t>
    <phoneticPr fontId="2" type="noConversion"/>
  </si>
  <si>
    <t>Plan de compras</t>
  </si>
  <si>
    <t>Disponible</t>
    <phoneticPr fontId="2" type="noConversion"/>
  </si>
  <si>
    <t>PNM</t>
    <phoneticPr fontId="2" type="noConversion"/>
  </si>
  <si>
    <t>Inventario final</t>
    <phoneticPr fontId="2" type="noConversion"/>
  </si>
  <si>
    <t>Formulación del pedido</t>
    <phoneticPr fontId="2" type="noConversion"/>
  </si>
  <si>
    <t>Periodos</t>
  </si>
  <si>
    <t>PNM</t>
  </si>
  <si>
    <t>Fp promedio</t>
  </si>
  <si>
    <t>Aumento transitorio</t>
  </si>
  <si>
    <t>MRP por nivelación</t>
  </si>
  <si>
    <t>Arándanos</t>
  </si>
  <si>
    <t>Fp periodo -1</t>
  </si>
  <si>
    <t>Peso por caja</t>
  </si>
  <si>
    <t>Caja de 125 grs.</t>
  </si>
  <si>
    <t>Unidad</t>
  </si>
  <si>
    <t>Caja</t>
  </si>
  <si>
    <t>gramos</t>
  </si>
  <si>
    <t>ml</t>
  </si>
  <si>
    <t>A transitorio</t>
  </si>
  <si>
    <t>D = 32 convertidores catalíticos por hora</t>
  </si>
  <si>
    <t>L = 1 hora</t>
  </si>
  <si>
    <t>S =.125</t>
  </si>
  <si>
    <t>C = 8 convertidores catalíticos</t>
  </si>
  <si>
    <t>K = DL(1+S)/C</t>
  </si>
  <si>
    <r>
      <t xml:space="preserve">K = 32(1)(1+0.125) / 8 = 4.5 </t>
    </r>
    <r>
      <rPr>
        <sz val="14"/>
        <color theme="1"/>
        <rFont val="Symbol"/>
        <charset val="2"/>
      </rPr>
      <t>Þ</t>
    </r>
    <r>
      <rPr>
        <sz val="14"/>
        <color theme="1"/>
        <rFont val="Times New Roman"/>
        <family val="1"/>
      </rPr>
      <t xml:space="preserve"> 5 Tarjetas Kanban</t>
    </r>
  </si>
  <si>
    <t>Fp periodo -2</t>
  </si>
  <si>
    <t>Fp periodo -3</t>
  </si>
  <si>
    <t>Pedido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</si>
</sst>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color indexed="10"/>
      <name val="Arial"/>
      <family val="2"/>
    </font>
    <font>
      <b/>
      <sz val="10"/>
      <color indexed="10"/>
      <name val="Verdana"/>
    </font>
    <font>
      <b/>
      <sz val="12"/>
      <color rgb="FFFF0000"/>
      <name val="Calibri"/>
      <scheme val="minor"/>
    </font>
    <font>
      <sz val="10"/>
      <name val="Verdana"/>
    </font>
    <font>
      <sz val="14"/>
      <color theme="1"/>
      <name val="Times New Roman"/>
      <family val="1"/>
    </font>
    <font>
      <sz val="14"/>
      <color theme="1"/>
      <name val="Symbol"/>
      <charset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10" fontId="0" fillId="0" borderId="8" xfId="17" applyNumberFormat="1" applyFont="1" applyBorder="1" applyAlignment="1">
      <alignment horizontal="center"/>
    </xf>
    <xf numFmtId="0" fontId="0" fillId="0" borderId="7" xfId="0" applyBorder="1" applyAlignment="1">
      <alignment wrapText="1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7" fillId="0" borderId="0" xfId="0" applyFont="1" applyFill="1"/>
    <xf numFmtId="0" fontId="0" fillId="0" borderId="0" xfId="0" applyFill="1"/>
    <xf numFmtId="0" fontId="6" fillId="0" borderId="0" xfId="0" applyFont="1" applyFill="1"/>
    <xf numFmtId="0" fontId="0" fillId="0" borderId="0" xfId="0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0" fillId="0" borderId="0" xfId="17" applyFont="1"/>
    <xf numFmtId="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8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9" fillId="0" borderId="0" xfId="0" applyFont="1"/>
    <xf numFmtId="0" fontId="0" fillId="0" borderId="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3" xfId="0" applyNumberFormat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93">
    <cellStyle name="Comma 2" xfId="4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  <cellStyle name="Normal 2" xfId="42"/>
    <cellStyle name="Normal 3" xfId="76"/>
    <cellStyle name="Percent" xfId="1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71"/>
  <sheetViews>
    <sheetView workbookViewId="0">
      <selection activeCell="R29" sqref="R29"/>
    </sheetView>
  </sheetViews>
  <sheetFormatPr baseColWidth="10" defaultRowHeight="15" x14ac:dyDescent="0"/>
  <cols>
    <col min="1" max="1" width="10.83203125" customWidth="1"/>
    <col min="2" max="2" width="12.33203125" customWidth="1"/>
    <col min="3" max="3" width="18" customWidth="1"/>
    <col min="4" max="4" width="17.5" customWidth="1"/>
    <col min="5" max="5" width="15.6640625" customWidth="1"/>
    <col min="7" max="7" width="15.33203125" customWidth="1"/>
    <col min="8" max="8" width="22.83203125" customWidth="1"/>
    <col min="9" max="9" width="10.83203125" customWidth="1"/>
    <col min="10" max="10" width="9" hidden="1" customWidth="1"/>
    <col min="11" max="11" width="9.1640625" hidden="1" customWidth="1"/>
    <col min="12" max="12" width="21.83203125" hidden="1" customWidth="1"/>
    <col min="13" max="13" width="16.5" hidden="1" customWidth="1"/>
    <col min="14" max="14" width="12.5" hidden="1" customWidth="1"/>
    <col min="18" max="18" width="13.33203125" customWidth="1"/>
  </cols>
  <sheetData>
    <row r="2" spans="2:14">
      <c r="D2" s="55" t="s">
        <v>16</v>
      </c>
      <c r="E2" s="55"/>
      <c r="F2" s="55"/>
    </row>
    <row r="3" spans="2:14">
      <c r="D3" s="2">
        <v>400</v>
      </c>
      <c r="E3" s="2">
        <v>400</v>
      </c>
      <c r="F3" s="2">
        <v>200</v>
      </c>
    </row>
    <row r="4" spans="2:14" ht="29" customHeight="1">
      <c r="B4" s="2" t="s">
        <v>13</v>
      </c>
      <c r="C4" s="2" t="s">
        <v>15</v>
      </c>
      <c r="D4" s="2" t="s">
        <v>10</v>
      </c>
      <c r="E4" s="2" t="s">
        <v>11</v>
      </c>
      <c r="F4" s="2" t="s">
        <v>12</v>
      </c>
      <c r="G4" s="2" t="s">
        <v>14</v>
      </c>
      <c r="J4" s="8" t="s">
        <v>13</v>
      </c>
      <c r="K4" s="8" t="s">
        <v>15</v>
      </c>
      <c r="L4" s="9" t="s">
        <v>18</v>
      </c>
      <c r="M4" s="9" t="s">
        <v>19</v>
      </c>
      <c r="N4" s="9" t="s">
        <v>8</v>
      </c>
    </row>
    <row r="5" spans="2:14">
      <c r="B5" s="2" t="s">
        <v>0</v>
      </c>
      <c r="C5" s="2">
        <v>2000</v>
      </c>
      <c r="D5" s="2">
        <f>$C$5/D3</f>
        <v>5</v>
      </c>
      <c r="E5" s="2">
        <f>$C$5/E3</f>
        <v>5</v>
      </c>
      <c r="F5" s="2">
        <f>$C$5/F3</f>
        <v>10</v>
      </c>
      <c r="G5" s="2">
        <f>D5+E5+F5</f>
        <v>20</v>
      </c>
      <c r="J5" s="7" t="s">
        <v>0</v>
      </c>
      <c r="K5" s="7">
        <v>2000</v>
      </c>
      <c r="L5" s="7">
        <v>110</v>
      </c>
      <c r="M5" s="7">
        <v>180</v>
      </c>
      <c r="N5" s="7">
        <v>500</v>
      </c>
    </row>
    <row r="6" spans="2:14">
      <c r="B6" s="2" t="s">
        <v>1</v>
      </c>
      <c r="C6" s="2">
        <v>3000</v>
      </c>
      <c r="D6" s="2">
        <f>$C$6/D3</f>
        <v>7.5</v>
      </c>
      <c r="E6" s="2">
        <f>$C$6/E3</f>
        <v>7.5</v>
      </c>
      <c r="F6" s="2">
        <f>$C$6/F3</f>
        <v>15</v>
      </c>
      <c r="G6" s="2">
        <f t="shared" ref="G6:G9" si="0">D6+E6+F6</f>
        <v>30</v>
      </c>
      <c r="J6" s="7" t="s">
        <v>1</v>
      </c>
      <c r="K6" s="7">
        <v>3000</v>
      </c>
      <c r="L6" s="7">
        <v>120</v>
      </c>
      <c r="M6" s="7">
        <v>200</v>
      </c>
      <c r="N6" s="7">
        <v>1000</v>
      </c>
    </row>
    <row r="7" spans="2:14">
      <c r="B7" s="2" t="s">
        <v>2</v>
      </c>
      <c r="C7" s="2">
        <v>1000</v>
      </c>
      <c r="D7" s="2">
        <f>$C$7/D3</f>
        <v>2.5</v>
      </c>
      <c r="E7" s="2">
        <f>$C$7/E3</f>
        <v>2.5</v>
      </c>
      <c r="F7" s="2">
        <f>$C$7/F3</f>
        <v>5</v>
      </c>
      <c r="G7" s="2">
        <f t="shared" si="0"/>
        <v>10</v>
      </c>
      <c r="J7" s="7" t="s">
        <v>2</v>
      </c>
      <c r="K7" s="7">
        <v>1000</v>
      </c>
      <c r="L7" s="7">
        <v>122</v>
      </c>
      <c r="M7" s="7">
        <v>175</v>
      </c>
      <c r="N7" s="7">
        <v>300</v>
      </c>
    </row>
    <row r="8" spans="2:14">
      <c r="B8" s="2" t="s">
        <v>3</v>
      </c>
      <c r="C8" s="2">
        <v>1600</v>
      </c>
      <c r="D8" s="2">
        <f>$C$8/D3</f>
        <v>4</v>
      </c>
      <c r="E8" s="2">
        <f>$C$8/E3</f>
        <v>4</v>
      </c>
      <c r="F8" s="2">
        <f>$C$8/F3</f>
        <v>8</v>
      </c>
      <c r="G8" s="2">
        <f t="shared" si="0"/>
        <v>16</v>
      </c>
      <c r="J8" s="7" t="s">
        <v>3</v>
      </c>
      <c r="K8" s="7">
        <v>1600</v>
      </c>
      <c r="L8" s="7">
        <v>125</v>
      </c>
      <c r="M8" s="7">
        <v>230</v>
      </c>
      <c r="N8" s="7">
        <v>500</v>
      </c>
    </row>
    <row r="9" spans="2:14">
      <c r="B9" s="2" t="s">
        <v>4</v>
      </c>
      <c r="C9" s="2">
        <v>1800</v>
      </c>
      <c r="D9" s="2">
        <f>$C$9/D3</f>
        <v>4.5</v>
      </c>
      <c r="E9" s="2">
        <f>$C$9/E3</f>
        <v>4.5</v>
      </c>
      <c r="F9" s="2">
        <f>$C$9/F3</f>
        <v>9</v>
      </c>
      <c r="G9" s="2">
        <f t="shared" si="0"/>
        <v>18</v>
      </c>
      <c r="J9" s="6" t="s">
        <v>4</v>
      </c>
      <c r="K9" s="6">
        <v>1800</v>
      </c>
      <c r="L9" s="6">
        <v>130</v>
      </c>
      <c r="M9" s="6">
        <v>210</v>
      </c>
      <c r="N9" s="6">
        <v>800</v>
      </c>
    </row>
    <row r="11" spans="2:14" ht="30">
      <c r="B11" s="4" t="s">
        <v>13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</row>
    <row r="12" spans="2:14">
      <c r="B12" s="1" t="s">
        <v>0</v>
      </c>
      <c r="C12" s="1">
        <v>110</v>
      </c>
      <c r="D12" s="1">
        <f>G5</f>
        <v>20</v>
      </c>
      <c r="E12" s="1">
        <v>180</v>
      </c>
      <c r="F12" s="1">
        <v>500</v>
      </c>
      <c r="G12" s="1">
        <f>+E12-$C$18</f>
        <v>50</v>
      </c>
    </row>
    <row r="13" spans="2:14">
      <c r="B13" s="1" t="s">
        <v>1</v>
      </c>
      <c r="C13" s="1">
        <v>120</v>
      </c>
      <c r="D13" s="1">
        <f t="shared" ref="D13:D16" si="1">G6</f>
        <v>30</v>
      </c>
      <c r="E13" s="1">
        <v>200</v>
      </c>
      <c r="F13" s="1">
        <v>1000</v>
      </c>
      <c r="G13" s="1">
        <f t="shared" ref="G13:G16" si="2">+E13-$C$18</f>
        <v>70</v>
      </c>
    </row>
    <row r="14" spans="2:14">
      <c r="B14" s="1" t="s">
        <v>2</v>
      </c>
      <c r="C14" s="1">
        <v>122</v>
      </c>
      <c r="D14" s="1">
        <f t="shared" si="1"/>
        <v>10</v>
      </c>
      <c r="E14" s="1">
        <v>175</v>
      </c>
      <c r="F14" s="1">
        <v>300</v>
      </c>
      <c r="G14" s="1">
        <f t="shared" si="2"/>
        <v>45</v>
      </c>
    </row>
    <row r="15" spans="2:14">
      <c r="B15" s="1" t="s">
        <v>3</v>
      </c>
      <c r="C15" s="1">
        <v>125</v>
      </c>
      <c r="D15" s="1">
        <f t="shared" si="1"/>
        <v>16</v>
      </c>
      <c r="E15" s="1">
        <v>230</v>
      </c>
      <c r="F15" s="1">
        <v>500</v>
      </c>
      <c r="G15" s="1">
        <f t="shared" si="2"/>
        <v>100</v>
      </c>
    </row>
    <row r="16" spans="2:14">
      <c r="B16" s="6" t="s">
        <v>4</v>
      </c>
      <c r="C16" s="6">
        <v>130</v>
      </c>
      <c r="D16" s="6">
        <f t="shared" si="1"/>
        <v>18</v>
      </c>
      <c r="E16" s="6">
        <v>210</v>
      </c>
      <c r="F16" s="6">
        <v>800</v>
      </c>
      <c r="G16" s="6">
        <f t="shared" si="2"/>
        <v>80</v>
      </c>
    </row>
    <row r="18" spans="2:18">
      <c r="B18" s="53" t="s">
        <v>17</v>
      </c>
      <c r="C18" s="53">
        <v>130</v>
      </c>
    </row>
    <row r="21" spans="2:18" ht="16" thickBot="1">
      <c r="B21" s="56" t="s">
        <v>20</v>
      </c>
      <c r="C21" s="56"/>
      <c r="D21" s="56"/>
      <c r="E21" s="56"/>
      <c r="F21" s="56"/>
      <c r="G21" s="1"/>
    </row>
    <row r="22" spans="2:18" ht="16">
      <c r="B22" s="10" t="s">
        <v>21</v>
      </c>
      <c r="C22" s="10" t="s">
        <v>22</v>
      </c>
      <c r="D22" s="10" t="s">
        <v>23</v>
      </c>
      <c r="E22" s="10" t="s">
        <v>24</v>
      </c>
      <c r="F22" s="10" t="s">
        <v>25</v>
      </c>
      <c r="G22" s="1"/>
      <c r="H22" s="12" t="s">
        <v>27</v>
      </c>
      <c r="I22" s="13">
        <f>D28/5</f>
        <v>54.4</v>
      </c>
      <c r="R22" s="54"/>
    </row>
    <row r="23" spans="2:18" ht="16">
      <c r="B23" s="1" t="s">
        <v>2</v>
      </c>
      <c r="C23" s="1">
        <v>10</v>
      </c>
      <c r="D23" s="1">
        <f>C23</f>
        <v>10</v>
      </c>
      <c r="E23" s="1">
        <v>45</v>
      </c>
      <c r="F23" s="1">
        <f>IF((D23-E23)&gt;0,D23-E23,0)</f>
        <v>0</v>
      </c>
      <c r="H23" s="14" t="s">
        <v>28</v>
      </c>
      <c r="I23" s="15">
        <f>C28/D28</f>
        <v>0.34558823529411764</v>
      </c>
      <c r="R23" s="54"/>
    </row>
    <row r="24" spans="2:18" ht="16">
      <c r="B24" s="1" t="s">
        <v>0</v>
      </c>
      <c r="C24" s="1">
        <v>20</v>
      </c>
      <c r="D24" s="1">
        <f>D23+C24</f>
        <v>30</v>
      </c>
      <c r="E24" s="1">
        <v>50</v>
      </c>
      <c r="F24" s="1">
        <f t="shared" ref="F24:F27" si="3">IF((D24-E24)&gt;0,D24-E24,0)</f>
        <v>0</v>
      </c>
      <c r="H24" s="16" t="s">
        <v>30</v>
      </c>
      <c r="I24" s="17">
        <f>1/I23</f>
        <v>2.8936170212765959</v>
      </c>
      <c r="R24" s="54"/>
    </row>
    <row r="25" spans="2:18" ht="17" thickBot="1">
      <c r="B25" s="1" t="s">
        <v>1</v>
      </c>
      <c r="C25" s="1">
        <v>30</v>
      </c>
      <c r="D25" s="1">
        <f t="shared" ref="D25:D27" si="4">D24+C25</f>
        <v>60</v>
      </c>
      <c r="E25" s="1">
        <v>70</v>
      </c>
      <c r="F25" s="1">
        <f t="shared" si="3"/>
        <v>0</v>
      </c>
      <c r="H25" s="18" t="s">
        <v>29</v>
      </c>
      <c r="I25" s="19">
        <f>F28/5</f>
        <v>0</v>
      </c>
      <c r="R25" s="54"/>
    </row>
    <row r="26" spans="2:18" ht="16">
      <c r="B26" s="1" t="s">
        <v>4</v>
      </c>
      <c r="C26" s="1">
        <v>18</v>
      </c>
      <c r="D26" s="1">
        <f t="shared" si="4"/>
        <v>78</v>
      </c>
      <c r="E26" s="1">
        <v>80</v>
      </c>
      <c r="F26" s="1">
        <f t="shared" si="3"/>
        <v>0</v>
      </c>
      <c r="R26" s="54"/>
    </row>
    <row r="27" spans="2:18" ht="16">
      <c r="B27" s="1" t="s">
        <v>3</v>
      </c>
      <c r="C27" s="1">
        <v>16</v>
      </c>
      <c r="D27" s="1">
        <f t="shared" si="4"/>
        <v>94</v>
      </c>
      <c r="E27" s="1">
        <v>100</v>
      </c>
      <c r="F27" s="1">
        <f t="shared" si="3"/>
        <v>0</v>
      </c>
      <c r="G27" s="1"/>
      <c r="R27" s="54"/>
    </row>
    <row r="28" spans="2:18">
      <c r="B28" s="11" t="s">
        <v>26</v>
      </c>
      <c r="C28" s="11">
        <f>SUM(C23:C27)</f>
        <v>94</v>
      </c>
      <c r="D28" s="11">
        <f>SUM(D23:D27)</f>
        <v>272</v>
      </c>
      <c r="E28" s="11"/>
      <c r="F28" s="11">
        <f>SUM(F23:F27)</f>
        <v>0</v>
      </c>
      <c r="G28" s="1"/>
    </row>
    <row r="29" spans="2:18">
      <c r="B29" s="1"/>
      <c r="C29" s="1"/>
      <c r="D29" s="1"/>
      <c r="E29" s="1"/>
      <c r="F29" s="1"/>
      <c r="G29" s="1"/>
    </row>
    <row r="30" spans="2:18">
      <c r="B30" s="1"/>
      <c r="C30" s="1"/>
      <c r="D30" s="1"/>
      <c r="E30" s="1"/>
      <c r="F30" s="1"/>
      <c r="G30" s="1"/>
    </row>
    <row r="31" spans="2:18" ht="16" thickBot="1">
      <c r="B31" s="56" t="s">
        <v>31</v>
      </c>
      <c r="C31" s="56"/>
      <c r="D31" s="56"/>
      <c r="E31" s="56"/>
      <c r="F31" s="56"/>
      <c r="G31" s="1"/>
    </row>
    <row r="32" spans="2:18">
      <c r="B32" s="10" t="s">
        <v>21</v>
      </c>
      <c r="C32" s="10" t="s">
        <v>22</v>
      </c>
      <c r="D32" s="10" t="s">
        <v>23</v>
      </c>
      <c r="E32" s="10" t="s">
        <v>24</v>
      </c>
      <c r="F32" s="10" t="s">
        <v>25</v>
      </c>
      <c r="G32" s="1"/>
      <c r="H32" s="12" t="s">
        <v>27</v>
      </c>
      <c r="I32" s="13">
        <f>D38/5</f>
        <v>56.4</v>
      </c>
    </row>
    <row r="33" spans="2:18">
      <c r="B33" s="1" t="s">
        <v>0</v>
      </c>
      <c r="C33" s="1">
        <v>20</v>
      </c>
      <c r="D33" s="1">
        <f>C33</f>
        <v>20</v>
      </c>
      <c r="E33" s="1">
        <v>50</v>
      </c>
      <c r="F33" s="1">
        <f>IF((D33-E33)&gt;0,D33-E33,0)</f>
        <v>0</v>
      </c>
      <c r="H33" s="14" t="s">
        <v>28</v>
      </c>
      <c r="I33" s="15">
        <f>C38/D38</f>
        <v>0.33333333333333331</v>
      </c>
    </row>
    <row r="34" spans="2:18">
      <c r="B34" s="1" t="s">
        <v>2</v>
      </c>
      <c r="C34" s="1">
        <v>10</v>
      </c>
      <c r="D34" s="1">
        <f>D33+C34</f>
        <v>30</v>
      </c>
      <c r="E34" s="1">
        <v>45</v>
      </c>
      <c r="F34" s="1">
        <f t="shared" ref="F34:F37" si="5">IF((D34-E34)&gt;0,D34-E34,0)</f>
        <v>0</v>
      </c>
      <c r="H34" s="16" t="s">
        <v>30</v>
      </c>
      <c r="I34" s="17">
        <f>1/I33</f>
        <v>3</v>
      </c>
    </row>
    <row r="35" spans="2:18" ht="16" thickBot="1">
      <c r="B35" s="1" t="s">
        <v>1</v>
      </c>
      <c r="C35" s="1">
        <v>30</v>
      </c>
      <c r="D35" s="1">
        <f t="shared" ref="D35:D37" si="6">D34+C35</f>
        <v>60</v>
      </c>
      <c r="E35" s="1">
        <v>70</v>
      </c>
      <c r="F35" s="1">
        <f t="shared" si="5"/>
        <v>0</v>
      </c>
      <c r="H35" s="18" t="s">
        <v>29</v>
      </c>
      <c r="I35" s="19">
        <f>F38/5</f>
        <v>0</v>
      </c>
    </row>
    <row r="36" spans="2:18">
      <c r="B36" s="1" t="s">
        <v>4</v>
      </c>
      <c r="C36" s="1">
        <v>18</v>
      </c>
      <c r="D36" s="1">
        <f t="shared" si="6"/>
        <v>78</v>
      </c>
      <c r="E36" s="1">
        <v>80</v>
      </c>
      <c r="F36" s="1">
        <f t="shared" si="5"/>
        <v>0</v>
      </c>
    </row>
    <row r="37" spans="2:18">
      <c r="B37" s="1" t="s">
        <v>3</v>
      </c>
      <c r="C37" s="1">
        <v>16</v>
      </c>
      <c r="D37" s="1">
        <f t="shared" si="6"/>
        <v>94</v>
      </c>
      <c r="E37" s="1">
        <v>100</v>
      </c>
      <c r="F37" s="1">
        <f t="shared" si="5"/>
        <v>0</v>
      </c>
      <c r="G37" s="1"/>
    </row>
    <row r="38" spans="2:18">
      <c r="B38" s="11" t="s">
        <v>26</v>
      </c>
      <c r="C38" s="11">
        <f>SUM(C33:C37)</f>
        <v>94</v>
      </c>
      <c r="D38" s="11">
        <f>SUM(D33:D37)</f>
        <v>282</v>
      </c>
      <c r="E38" s="11"/>
      <c r="F38" s="11">
        <f>SUM(F33:F37)</f>
        <v>0</v>
      </c>
      <c r="G38" s="1"/>
    </row>
    <row r="39" spans="2:18">
      <c r="B39" s="1"/>
      <c r="C39" s="1"/>
      <c r="D39" s="1"/>
      <c r="E39" s="1"/>
      <c r="F39" s="1"/>
      <c r="G39" s="1"/>
    </row>
    <row r="40" spans="2:18" ht="16" thickBot="1">
      <c r="B40" s="56" t="s">
        <v>32</v>
      </c>
      <c r="C40" s="56"/>
      <c r="D40" s="56"/>
      <c r="E40" s="56"/>
      <c r="F40" s="56"/>
      <c r="G40" s="1"/>
    </row>
    <row r="41" spans="2:18">
      <c r="B41" s="10" t="s">
        <v>21</v>
      </c>
      <c r="C41" s="10" t="s">
        <v>22</v>
      </c>
      <c r="D41" s="10" t="s">
        <v>23</v>
      </c>
      <c r="E41" s="10" t="s">
        <v>24</v>
      </c>
      <c r="F41" s="10" t="s">
        <v>25</v>
      </c>
      <c r="G41" s="1"/>
      <c r="H41" s="12" t="s">
        <v>27</v>
      </c>
      <c r="I41" s="13">
        <f>D47/5</f>
        <v>47.6</v>
      </c>
      <c r="O41" s="3" t="s">
        <v>13</v>
      </c>
      <c r="P41" s="3" t="s">
        <v>10</v>
      </c>
      <c r="Q41" s="3" t="s">
        <v>11</v>
      </c>
      <c r="R41" s="3" t="s">
        <v>12</v>
      </c>
    </row>
    <row r="42" spans="2:18">
      <c r="B42" s="1" t="s">
        <v>2</v>
      </c>
      <c r="C42" s="1">
        <v>10</v>
      </c>
      <c r="D42" s="1">
        <f>C42</f>
        <v>10</v>
      </c>
      <c r="E42" s="1">
        <v>45</v>
      </c>
      <c r="F42" s="1">
        <f>IF((D42-E42)&gt;0,D42-E42,0)</f>
        <v>0</v>
      </c>
      <c r="H42" s="14" t="s">
        <v>28</v>
      </c>
      <c r="I42" s="15">
        <f>C47/D47</f>
        <v>0.3949579831932773</v>
      </c>
      <c r="O42" s="3" t="s">
        <v>0</v>
      </c>
      <c r="P42" s="3">
        <f t="shared" ref="P42:R46" si="7">D5</f>
        <v>5</v>
      </c>
      <c r="Q42" s="3">
        <f t="shared" si="7"/>
        <v>5</v>
      </c>
      <c r="R42" s="3">
        <f t="shared" si="7"/>
        <v>10</v>
      </c>
    </row>
    <row r="43" spans="2:18">
      <c r="B43" s="1" t="s">
        <v>3</v>
      </c>
      <c r="C43" s="1">
        <v>16</v>
      </c>
      <c r="D43" s="1">
        <f>D42+C43</f>
        <v>26</v>
      </c>
      <c r="E43" s="1">
        <v>100</v>
      </c>
      <c r="F43" s="1">
        <f t="shared" ref="F43:F46" si="8">IF((D43-E43)&gt;0,D43-E43,0)</f>
        <v>0</v>
      </c>
      <c r="H43" s="16" t="s">
        <v>30</v>
      </c>
      <c r="I43" s="17">
        <f>1/I42</f>
        <v>2.5319148936170213</v>
      </c>
      <c r="O43" s="3" t="s">
        <v>1</v>
      </c>
      <c r="P43" s="3">
        <f t="shared" si="7"/>
        <v>7.5</v>
      </c>
      <c r="Q43" s="3">
        <f t="shared" si="7"/>
        <v>7.5</v>
      </c>
      <c r="R43" s="3">
        <f t="shared" si="7"/>
        <v>15</v>
      </c>
    </row>
    <row r="44" spans="2:18" ht="16" thickBot="1">
      <c r="B44" s="1" t="s">
        <v>4</v>
      </c>
      <c r="C44" s="1">
        <v>18</v>
      </c>
      <c r="D44" s="1">
        <f t="shared" ref="D44:D46" si="9">D43+C44</f>
        <v>44</v>
      </c>
      <c r="E44" s="1">
        <v>80</v>
      </c>
      <c r="F44" s="1">
        <f t="shared" si="8"/>
        <v>0</v>
      </c>
      <c r="H44" s="18" t="s">
        <v>29</v>
      </c>
      <c r="I44" s="19">
        <f>F47/5</f>
        <v>7.6</v>
      </c>
      <c r="O44" s="3" t="s">
        <v>2</v>
      </c>
      <c r="P44" s="3">
        <f t="shared" si="7"/>
        <v>2.5</v>
      </c>
      <c r="Q44" s="3">
        <f t="shared" si="7"/>
        <v>2.5</v>
      </c>
      <c r="R44" s="3">
        <f t="shared" si="7"/>
        <v>5</v>
      </c>
    </row>
    <row r="45" spans="2:18">
      <c r="B45" s="1" t="s">
        <v>0</v>
      </c>
      <c r="C45" s="1">
        <v>20</v>
      </c>
      <c r="D45" s="1">
        <f t="shared" si="9"/>
        <v>64</v>
      </c>
      <c r="E45" s="1">
        <v>50</v>
      </c>
      <c r="F45" s="1">
        <f t="shared" si="8"/>
        <v>14</v>
      </c>
      <c r="O45" s="3" t="s">
        <v>3</v>
      </c>
      <c r="P45" s="3">
        <f t="shared" si="7"/>
        <v>4</v>
      </c>
      <c r="Q45" s="3">
        <f t="shared" si="7"/>
        <v>4</v>
      </c>
      <c r="R45" s="3">
        <f t="shared" si="7"/>
        <v>8</v>
      </c>
    </row>
    <row r="46" spans="2:18">
      <c r="B46" s="1" t="s">
        <v>1</v>
      </c>
      <c r="C46" s="1">
        <v>30</v>
      </c>
      <c r="D46" s="1">
        <f t="shared" si="9"/>
        <v>94</v>
      </c>
      <c r="E46" s="1">
        <v>70</v>
      </c>
      <c r="F46" s="1">
        <f t="shared" si="8"/>
        <v>24</v>
      </c>
      <c r="G46" s="1"/>
      <c r="O46" s="3" t="s">
        <v>4</v>
      </c>
      <c r="P46" s="3">
        <f t="shared" si="7"/>
        <v>4.5</v>
      </c>
      <c r="Q46" s="3">
        <f t="shared" si="7"/>
        <v>4.5</v>
      </c>
      <c r="R46" s="3">
        <f t="shared" si="7"/>
        <v>9</v>
      </c>
    </row>
    <row r="47" spans="2:18">
      <c r="B47" s="11" t="s">
        <v>26</v>
      </c>
      <c r="C47" s="11">
        <f>SUM(C42:C46)</f>
        <v>94</v>
      </c>
      <c r="D47" s="11">
        <f>SUM(D42:D46)</f>
        <v>238</v>
      </c>
      <c r="E47" s="11"/>
      <c r="F47" s="11">
        <f>SUM(F42:F46)</f>
        <v>38</v>
      </c>
      <c r="G47" s="1"/>
    </row>
    <row r="48" spans="2:18">
      <c r="B48" s="1"/>
      <c r="C48" s="1"/>
      <c r="D48" s="1"/>
      <c r="E48" s="1"/>
      <c r="F48" s="1"/>
      <c r="G48" s="1"/>
      <c r="O48" s="3" t="s">
        <v>13</v>
      </c>
      <c r="P48" s="3" t="s">
        <v>33</v>
      </c>
      <c r="Q48" s="3" t="s">
        <v>34</v>
      </c>
    </row>
    <row r="49" spans="2:17">
      <c r="B49" s="1"/>
      <c r="C49" s="1"/>
      <c r="D49" s="1"/>
      <c r="E49" s="1"/>
      <c r="F49" s="1"/>
      <c r="G49" s="1"/>
      <c r="O49" s="3" t="s">
        <v>0</v>
      </c>
      <c r="P49" s="3">
        <f>P42+Q42</f>
        <v>10</v>
      </c>
      <c r="Q49" s="3">
        <f>R42+Q42</f>
        <v>15</v>
      </c>
    </row>
    <row r="50" spans="2:17">
      <c r="B50" s="1"/>
      <c r="C50" s="1"/>
      <c r="D50" s="1"/>
      <c r="E50" s="1"/>
      <c r="F50" s="1"/>
      <c r="G50" s="1"/>
      <c r="O50" s="3" t="s">
        <v>1</v>
      </c>
      <c r="P50" s="3">
        <f t="shared" ref="P50:P53" si="10">P43+Q43</f>
        <v>15</v>
      </c>
      <c r="Q50" s="3">
        <f t="shared" ref="Q50:Q53" si="11">R43+Q43</f>
        <v>22.5</v>
      </c>
    </row>
    <row r="51" spans="2:17">
      <c r="B51" s="1"/>
      <c r="C51" s="1"/>
      <c r="D51" s="1"/>
      <c r="E51" s="1"/>
      <c r="F51" s="1"/>
      <c r="G51" s="1"/>
      <c r="O51" s="3" t="s">
        <v>2</v>
      </c>
      <c r="P51" s="3">
        <f t="shared" si="10"/>
        <v>5</v>
      </c>
      <c r="Q51" s="3">
        <f t="shared" si="11"/>
        <v>7.5</v>
      </c>
    </row>
    <row r="52" spans="2:17">
      <c r="B52" s="1"/>
      <c r="C52" s="1"/>
      <c r="D52" s="1">
        <v>0</v>
      </c>
      <c r="E52" s="1"/>
      <c r="F52" s="1"/>
      <c r="G52" s="1"/>
      <c r="O52" s="3" t="s">
        <v>3</v>
      </c>
      <c r="P52" s="3">
        <f t="shared" si="10"/>
        <v>8</v>
      </c>
      <c r="Q52" s="3">
        <f t="shared" si="11"/>
        <v>12</v>
      </c>
    </row>
    <row r="53" spans="2:17">
      <c r="B53" s="1"/>
      <c r="C53" s="1"/>
      <c r="D53" s="1">
        <v>0</v>
      </c>
      <c r="E53" s="1"/>
      <c r="F53" s="1"/>
      <c r="G53" s="1"/>
      <c r="O53" s="3" t="s">
        <v>4</v>
      </c>
      <c r="P53" s="3">
        <f t="shared" si="10"/>
        <v>9</v>
      </c>
      <c r="Q53" s="3">
        <f t="shared" si="11"/>
        <v>13.5</v>
      </c>
    </row>
    <row r="54" spans="2:17">
      <c r="B54" s="1"/>
      <c r="C54" s="1"/>
      <c r="D54" s="1">
        <v>0</v>
      </c>
      <c r="E54" s="1"/>
      <c r="F54" s="1"/>
      <c r="G54" s="1"/>
    </row>
    <row r="55" spans="2:17">
      <c r="B55" s="1"/>
      <c r="C55" s="1"/>
      <c r="D55" s="1">
        <f>SUM(D52:D54)</f>
        <v>0</v>
      </c>
      <c r="E55" s="1"/>
      <c r="F55" s="1"/>
      <c r="G55" s="1"/>
      <c r="O55" s="20" t="s">
        <v>21</v>
      </c>
      <c r="P55" s="21" t="s">
        <v>35</v>
      </c>
    </row>
    <row r="56" spans="2:17">
      <c r="B56" s="1"/>
      <c r="C56" s="1"/>
      <c r="D56" s="1"/>
      <c r="E56" s="1"/>
      <c r="F56" s="1"/>
      <c r="G56" s="1"/>
    </row>
    <row r="57" spans="2:17">
      <c r="B57" s="1"/>
      <c r="C57" s="1"/>
      <c r="D57" s="1"/>
      <c r="E57" s="1"/>
      <c r="F57" s="1"/>
      <c r="G57" s="1"/>
    </row>
    <row r="58" spans="2:17">
      <c r="B58" s="1"/>
      <c r="C58" s="1"/>
      <c r="D58" s="1"/>
      <c r="E58" s="1"/>
      <c r="F58" s="1"/>
      <c r="G58" s="1"/>
    </row>
    <row r="59" spans="2:17">
      <c r="B59" s="1"/>
      <c r="C59" s="1"/>
      <c r="D59" s="1"/>
      <c r="E59" s="1"/>
      <c r="F59" s="1"/>
      <c r="G59" s="1"/>
    </row>
    <row r="60" spans="2:17">
      <c r="B60" s="1"/>
      <c r="C60" s="1"/>
      <c r="D60" s="1"/>
      <c r="E60" s="1"/>
      <c r="F60" s="1"/>
      <c r="G60" s="1"/>
    </row>
    <row r="61" spans="2:17">
      <c r="B61" s="1"/>
      <c r="C61" s="1"/>
      <c r="D61" s="1"/>
      <c r="E61" s="1"/>
      <c r="F61" s="1"/>
      <c r="G61" s="1"/>
    </row>
    <row r="62" spans="2:17">
      <c r="B62" s="1"/>
      <c r="C62" s="1"/>
      <c r="D62" s="1"/>
      <c r="E62" s="1"/>
      <c r="F62" s="1"/>
      <c r="G62" s="1"/>
    </row>
    <row r="63" spans="2:17">
      <c r="B63" s="1"/>
      <c r="C63" s="1"/>
      <c r="D63" s="1"/>
      <c r="E63" s="1"/>
      <c r="F63" s="1"/>
      <c r="G63" s="1"/>
    </row>
    <row r="64" spans="2:17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</sheetData>
  <mergeCells count="4">
    <mergeCell ref="D2:F2"/>
    <mergeCell ref="B21:F21"/>
    <mergeCell ref="B31:F31"/>
    <mergeCell ref="B40:F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abSelected="1" workbookViewId="0">
      <selection activeCell="N12" sqref="N12"/>
    </sheetView>
  </sheetViews>
  <sheetFormatPr baseColWidth="10" defaultRowHeight="15" x14ac:dyDescent="0"/>
  <cols>
    <col min="1" max="1" width="4.5" customWidth="1"/>
    <col min="2" max="2" width="20.83203125" customWidth="1"/>
    <col min="4" max="4" width="14.1640625" customWidth="1"/>
    <col min="5" max="5" width="11.1640625" customWidth="1"/>
    <col min="7" max="7" width="18.6640625" customWidth="1"/>
    <col min="8" max="8" width="12.83203125" customWidth="1"/>
    <col min="12" max="12" width="21" customWidth="1"/>
  </cols>
  <sheetData>
    <row r="1" spans="2:11" ht="16" thickBot="1"/>
    <row r="2" spans="2:11">
      <c r="B2" s="57" t="s">
        <v>41</v>
      </c>
      <c r="C2" s="58"/>
      <c r="D2" s="57" t="s">
        <v>42</v>
      </c>
      <c r="E2" s="59"/>
      <c r="F2" s="50" t="s">
        <v>78</v>
      </c>
      <c r="H2" t="s">
        <v>56</v>
      </c>
      <c r="I2" s="38">
        <v>0.9</v>
      </c>
      <c r="J2" s="39"/>
    </row>
    <row r="3" spans="2:11">
      <c r="B3" s="25" t="s">
        <v>43</v>
      </c>
      <c r="C3" s="26">
        <v>330</v>
      </c>
      <c r="D3" s="25" t="s">
        <v>77</v>
      </c>
      <c r="E3" s="46">
        <v>1</v>
      </c>
      <c r="F3" s="51" t="s">
        <v>79</v>
      </c>
      <c r="H3" t="s">
        <v>57</v>
      </c>
      <c r="I3" s="38">
        <v>0.03</v>
      </c>
      <c r="J3" s="39"/>
    </row>
    <row r="4" spans="2:11">
      <c r="B4" s="25" t="s">
        <v>37</v>
      </c>
      <c r="C4" s="26">
        <v>170</v>
      </c>
      <c r="D4" s="25" t="s">
        <v>37</v>
      </c>
      <c r="E4" s="47">
        <f>(C4/$C$3)*$I$7</f>
        <v>170</v>
      </c>
      <c r="F4" s="51" t="s">
        <v>80</v>
      </c>
      <c r="H4" t="s">
        <v>58</v>
      </c>
      <c r="I4" s="38">
        <v>0.05</v>
      </c>
      <c r="J4" s="39"/>
    </row>
    <row r="5" spans="2:11">
      <c r="B5" s="25" t="s">
        <v>38</v>
      </c>
      <c r="C5" s="26">
        <f>59/1000</f>
        <v>5.8999999999999997E-2</v>
      </c>
      <c r="D5" s="25" t="s">
        <v>38</v>
      </c>
      <c r="E5" s="48">
        <f>(C5/$C$3)*$I$7</f>
        <v>5.8999999999999997E-2</v>
      </c>
      <c r="F5" s="51" t="s">
        <v>81</v>
      </c>
      <c r="H5" t="s">
        <v>59</v>
      </c>
      <c r="I5" s="38">
        <v>0.02</v>
      </c>
      <c r="J5" s="39">
        <f>1-I5</f>
        <v>0.98</v>
      </c>
    </row>
    <row r="6" spans="2:11">
      <c r="B6" s="25" t="s">
        <v>39</v>
      </c>
      <c r="C6" s="26">
        <f>29/1000</f>
        <v>2.9000000000000001E-2</v>
      </c>
      <c r="D6" s="25" t="s">
        <v>39</v>
      </c>
      <c r="E6" s="48">
        <f>(C6/$C$3)*$I$7</f>
        <v>2.9000000000000001E-2</v>
      </c>
      <c r="F6" s="51" t="s">
        <v>81</v>
      </c>
      <c r="H6" t="s">
        <v>60</v>
      </c>
      <c r="I6" s="38">
        <v>0.1</v>
      </c>
    </row>
    <row r="7" spans="2:11" ht="16" thickBot="1">
      <c r="B7" s="27" t="s">
        <v>40</v>
      </c>
      <c r="C7" s="28">
        <f>7/1000</f>
        <v>7.0000000000000001E-3</v>
      </c>
      <c r="D7" s="27" t="s">
        <v>40</v>
      </c>
      <c r="E7" s="49">
        <f>(C7/$C$3)*$I$7</f>
        <v>7.0000000000000001E-3</v>
      </c>
      <c r="F7" s="52" t="s">
        <v>81</v>
      </c>
      <c r="H7" t="s">
        <v>76</v>
      </c>
      <c r="I7" s="46">
        <f>C3</f>
        <v>330</v>
      </c>
    </row>
    <row r="9" spans="2:11">
      <c r="B9" s="29" t="s">
        <v>44</v>
      </c>
      <c r="C9" s="30"/>
      <c r="D9" s="30"/>
      <c r="E9" s="30"/>
    </row>
    <row r="10" spans="2:11">
      <c r="B10" s="31" t="s">
        <v>54</v>
      </c>
      <c r="C10" s="30"/>
      <c r="D10" s="30"/>
      <c r="E10" s="32"/>
      <c r="G10" s="31" t="s">
        <v>61</v>
      </c>
      <c r="H10" s="30"/>
      <c r="I10" s="30"/>
      <c r="J10" s="32"/>
    </row>
    <row r="11" spans="2:11">
      <c r="B11" s="33" t="s">
        <v>45</v>
      </c>
      <c r="C11" s="34">
        <v>1</v>
      </c>
      <c r="D11" s="34">
        <v>2</v>
      </c>
      <c r="E11" s="34">
        <v>3</v>
      </c>
      <c r="G11" s="33" t="s">
        <v>45</v>
      </c>
      <c r="H11" s="34">
        <v>1</v>
      </c>
      <c r="I11" s="34">
        <v>2</v>
      </c>
      <c r="J11" s="34">
        <v>3</v>
      </c>
      <c r="K11" s="1" t="s">
        <v>62</v>
      </c>
    </row>
    <row r="12" spans="2:11">
      <c r="B12" s="35" t="s">
        <v>46</v>
      </c>
      <c r="C12" s="36">
        <v>2000</v>
      </c>
      <c r="D12" s="36">
        <v>2400</v>
      </c>
      <c r="E12" s="36">
        <v>3700</v>
      </c>
      <c r="G12" s="35" t="s">
        <v>46</v>
      </c>
      <c r="H12" s="36">
        <v>3000</v>
      </c>
      <c r="I12" s="36">
        <v>5000</v>
      </c>
      <c r="J12" s="36">
        <v>4000</v>
      </c>
      <c r="K12" s="1">
        <v>5500</v>
      </c>
    </row>
    <row r="13" spans="2:11">
      <c r="B13" s="35" t="s">
        <v>47</v>
      </c>
      <c r="C13" s="36">
        <v>0</v>
      </c>
      <c r="D13" s="37">
        <f>C19</f>
        <v>823.33333333333348</v>
      </c>
      <c r="E13" s="37">
        <f>D19</f>
        <v>1246.666666666667</v>
      </c>
      <c r="G13" s="35" t="s">
        <v>47</v>
      </c>
      <c r="H13" s="36">
        <v>0</v>
      </c>
      <c r="I13" s="37">
        <f>H19</f>
        <v>1133.333333333333</v>
      </c>
      <c r="J13" s="37">
        <f>I19</f>
        <v>499.66666666666606</v>
      </c>
      <c r="K13" s="41">
        <v>5267</v>
      </c>
    </row>
    <row r="14" spans="2:11">
      <c r="B14" s="35" t="s">
        <v>48</v>
      </c>
      <c r="C14" s="37">
        <f>D22</f>
        <v>3137.037037037037</v>
      </c>
      <c r="D14" s="37">
        <f>C14</f>
        <v>3137.037037037037</v>
      </c>
      <c r="E14" s="37">
        <f>D14</f>
        <v>3137.037037037037</v>
      </c>
      <c r="G14" s="35" t="s">
        <v>48</v>
      </c>
      <c r="H14" s="37">
        <f>I22</f>
        <v>4592.5925925925922</v>
      </c>
      <c r="I14" s="37">
        <f>H14</f>
        <v>4592.5925925925922</v>
      </c>
      <c r="J14" s="37">
        <f>I14</f>
        <v>4592.5925925925922</v>
      </c>
      <c r="K14" s="41">
        <f>K12-K13</f>
        <v>233</v>
      </c>
    </row>
    <row r="15" spans="2:11">
      <c r="B15" s="35" t="s">
        <v>49</v>
      </c>
      <c r="C15" s="37">
        <v>0</v>
      </c>
      <c r="D15" s="37">
        <f>P23</f>
        <v>0</v>
      </c>
      <c r="E15" s="37">
        <v>0</v>
      </c>
      <c r="G15" s="35" t="s">
        <v>49</v>
      </c>
      <c r="H15" s="37">
        <v>0</v>
      </c>
      <c r="I15" s="37">
        <f>K15</f>
        <v>258.88888888888886</v>
      </c>
      <c r="J15" s="37">
        <v>0</v>
      </c>
      <c r="K15" s="41">
        <f>K14/I2</f>
        <v>258.88888888888886</v>
      </c>
    </row>
    <row r="16" spans="2:11">
      <c r="B16" s="35" t="s">
        <v>50</v>
      </c>
      <c r="C16" s="37">
        <f>(C14+C15)*(1-$I$2)</f>
        <v>313.70370370370364</v>
      </c>
      <c r="D16" s="37">
        <f t="shared" ref="D16:E16" si="0">(D14+D15)*(1-$I$2)</f>
        <v>313.70370370370364</v>
      </c>
      <c r="E16" s="37">
        <f t="shared" si="0"/>
        <v>313.70370370370364</v>
      </c>
      <c r="G16" s="35" t="s">
        <v>50</v>
      </c>
      <c r="H16" s="37">
        <f>(H14+H15)*(1-$I$2)</f>
        <v>459.25925925925912</v>
      </c>
      <c r="I16" s="37">
        <f t="shared" ref="I16" si="1">(I14+I15)*(1-$I$2)</f>
        <v>485.14814814814798</v>
      </c>
      <c r="J16" s="37">
        <f t="shared" ref="J16" si="2">(J14+J15)*(1-$I$2)</f>
        <v>459.25925925925912</v>
      </c>
    </row>
    <row r="17" spans="2:17">
      <c r="B17" s="35" t="s">
        <v>51</v>
      </c>
      <c r="C17" s="37">
        <f>C13+C14+C15-C16</f>
        <v>2823.3333333333335</v>
      </c>
      <c r="D17" s="37">
        <f>D13+D14+D15-D16</f>
        <v>3646.666666666667</v>
      </c>
      <c r="E17" s="37">
        <f>E13+E14+E15-E16</f>
        <v>4070.0000000000009</v>
      </c>
      <c r="G17" s="35" t="s">
        <v>51</v>
      </c>
      <c r="H17" s="37">
        <f>H13+H14+H15-H16</f>
        <v>4133.333333333333</v>
      </c>
      <c r="I17" s="37">
        <f>I13+I14+I15-I16</f>
        <v>5499.6666666666661</v>
      </c>
      <c r="J17" s="37">
        <f>J13+J14+J15-J16</f>
        <v>4632.9999999999991</v>
      </c>
    </row>
    <row r="18" spans="2:17">
      <c r="B18" s="35" t="s">
        <v>52</v>
      </c>
      <c r="C18" s="37">
        <f>C12</f>
        <v>2000</v>
      </c>
      <c r="D18" s="37">
        <f>D12</f>
        <v>2400</v>
      </c>
      <c r="E18" s="37">
        <f>E12</f>
        <v>3700</v>
      </c>
      <c r="G18" s="35" t="s">
        <v>52</v>
      </c>
      <c r="H18" s="37">
        <f>H12</f>
        <v>3000</v>
      </c>
      <c r="I18" s="37">
        <f>I12</f>
        <v>5000</v>
      </c>
      <c r="J18" s="37">
        <f>J12</f>
        <v>4000</v>
      </c>
    </row>
    <row r="19" spans="2:17">
      <c r="B19" s="35" t="s">
        <v>53</v>
      </c>
      <c r="C19" s="37">
        <f>C17-C18</f>
        <v>823.33333333333348</v>
      </c>
      <c r="D19" s="37">
        <f>D17-D18</f>
        <v>1246.666666666667</v>
      </c>
      <c r="E19" s="37">
        <f>E17-E18</f>
        <v>370.00000000000091</v>
      </c>
      <c r="G19" s="35" t="s">
        <v>53</v>
      </c>
      <c r="H19" s="37">
        <f>H17-H18</f>
        <v>1133.333333333333</v>
      </c>
      <c r="I19" s="37">
        <f>I17-I18</f>
        <v>499.66666666666606</v>
      </c>
      <c r="J19" s="37">
        <f>J17-J18</f>
        <v>632.99999999999909</v>
      </c>
    </row>
    <row r="22" spans="2:17">
      <c r="B22" t="s">
        <v>55</v>
      </c>
      <c r="C22" s="40">
        <f>((C12+D12+E12)+(E12*I6)-C13)/3</f>
        <v>2823.3333333333335</v>
      </c>
      <c r="D22" s="40">
        <f>C22/I2</f>
        <v>3137.037037037037</v>
      </c>
      <c r="G22" t="s">
        <v>55</v>
      </c>
      <c r="H22" s="40">
        <f>((H12+I12+J12)+(J12*I6)-H13)/3</f>
        <v>4133.333333333333</v>
      </c>
      <c r="I22" s="40">
        <f>H22/I2</f>
        <v>4592.5925925925922</v>
      </c>
      <c r="M22" s="40"/>
      <c r="N22" s="40"/>
    </row>
    <row r="24" spans="2:17">
      <c r="B24" s="45" t="s">
        <v>73</v>
      </c>
    </row>
    <row r="25" spans="2:17">
      <c r="B25" s="23"/>
      <c r="C25" s="55" t="s">
        <v>69</v>
      </c>
      <c r="D25" s="55"/>
      <c r="E25" s="55"/>
      <c r="F25" s="55"/>
      <c r="G25" s="55"/>
      <c r="H25" s="55"/>
      <c r="L25" s="23"/>
      <c r="M25" s="60" t="s">
        <v>69</v>
      </c>
      <c r="N25" s="61"/>
      <c r="O25" s="61"/>
      <c r="P25" s="61"/>
      <c r="Q25" s="62"/>
    </row>
    <row r="26" spans="2:17">
      <c r="B26" s="42" t="s">
        <v>36</v>
      </c>
      <c r="C26" s="23">
        <v>-2</v>
      </c>
      <c r="D26" s="23">
        <v>-1</v>
      </c>
      <c r="E26" s="23">
        <v>0</v>
      </c>
      <c r="F26" s="23">
        <v>1</v>
      </c>
      <c r="G26" s="35">
        <v>2</v>
      </c>
      <c r="H26" s="35">
        <v>3</v>
      </c>
      <c r="L26" s="42" t="s">
        <v>37</v>
      </c>
      <c r="M26" s="23">
        <v>-1</v>
      </c>
      <c r="N26" s="23">
        <v>0</v>
      </c>
      <c r="O26" s="23">
        <v>1</v>
      </c>
      <c r="P26" s="23">
        <v>2</v>
      </c>
      <c r="Q26" s="23">
        <v>3</v>
      </c>
    </row>
    <row r="27" spans="2:17">
      <c r="B27" s="23" t="s">
        <v>63</v>
      </c>
      <c r="C27" s="23"/>
      <c r="D27" s="23"/>
      <c r="E27" s="43"/>
      <c r="F27" s="24">
        <v>0</v>
      </c>
      <c r="G27" s="24">
        <f>F32</f>
        <v>103.55777777777803</v>
      </c>
      <c r="H27" s="24">
        <f>G32</f>
        <v>138.24555555555594</v>
      </c>
      <c r="L27" s="23" t="s">
        <v>63</v>
      </c>
      <c r="M27" s="23"/>
      <c r="N27" s="23"/>
      <c r="O27" s="24">
        <v>0</v>
      </c>
      <c r="P27" s="24">
        <f>O33</f>
        <v>131.46296296296282</v>
      </c>
      <c r="Q27" s="24">
        <f>P33</f>
        <v>171.11666666666633</v>
      </c>
    </row>
    <row r="28" spans="2:17">
      <c r="B28" s="23" t="s">
        <v>64</v>
      </c>
      <c r="C28" s="23"/>
      <c r="D28" s="43"/>
      <c r="E28" s="43"/>
      <c r="F28" s="24">
        <f>E36*(1-$I$3)</f>
        <v>1069.9100000000001</v>
      </c>
      <c r="G28" s="24">
        <f>D33*(1-$I$3)</f>
        <v>1069.9100000000001</v>
      </c>
      <c r="H28" s="24">
        <f>G28</f>
        <v>1069.9100000000001</v>
      </c>
      <c r="L28" s="23" t="s">
        <v>64</v>
      </c>
      <c r="M28" s="23"/>
      <c r="N28" s="23"/>
      <c r="O28" s="24">
        <f>O37</f>
        <v>1384</v>
      </c>
      <c r="P28" s="24">
        <f>N34</f>
        <v>1384</v>
      </c>
      <c r="Q28" s="24">
        <f>O34</f>
        <v>1384</v>
      </c>
    </row>
    <row r="29" spans="2:17">
      <c r="B29" s="23" t="s">
        <v>72</v>
      </c>
      <c r="C29" s="23"/>
      <c r="D29" s="43"/>
      <c r="E29" s="43"/>
      <c r="F29" s="24">
        <f>G37*(1-$I$3)</f>
        <v>68.87</v>
      </c>
      <c r="G29" s="24">
        <v>0</v>
      </c>
      <c r="H29" s="24">
        <f>C38</f>
        <v>0</v>
      </c>
      <c r="I29" s="22"/>
      <c r="J29" s="22"/>
      <c r="L29" s="23" t="s">
        <v>91</v>
      </c>
      <c r="M29" s="23"/>
      <c r="N29" s="23"/>
      <c r="O29" s="24">
        <f>M39</f>
        <v>91</v>
      </c>
      <c r="P29" s="24">
        <v>0</v>
      </c>
      <c r="Q29" s="24">
        <f>M39</f>
        <v>91</v>
      </c>
    </row>
    <row r="30" spans="2:17">
      <c r="B30" s="23" t="s">
        <v>65</v>
      </c>
      <c r="C30" s="23"/>
      <c r="D30" s="43"/>
      <c r="E30" s="43"/>
      <c r="F30" s="24">
        <f>F27+F28+F29</f>
        <v>1138.7800000000002</v>
      </c>
      <c r="G30" s="24">
        <f t="shared" ref="G30:H30" si="3">G27+G28+G29</f>
        <v>1173.4677777777781</v>
      </c>
      <c r="H30" s="24">
        <f t="shared" si="3"/>
        <v>1208.155555555556</v>
      </c>
      <c r="L30" s="35" t="s">
        <v>59</v>
      </c>
      <c r="M30" s="23"/>
      <c r="N30" s="23"/>
      <c r="O30" s="24">
        <f>(O27+O28+O29)*$I$5</f>
        <v>29.5</v>
      </c>
      <c r="P30" s="24">
        <f t="shared" ref="P30:Q30" si="4">(P27+P28+P29)*$I$5</f>
        <v>30.309259259259257</v>
      </c>
      <c r="Q30" s="24">
        <f t="shared" si="4"/>
        <v>32.922333333333327</v>
      </c>
    </row>
    <row r="31" spans="2:17">
      <c r="B31" s="23" t="s">
        <v>66</v>
      </c>
      <c r="C31" s="23"/>
      <c r="D31" s="23"/>
      <c r="E31" s="23"/>
      <c r="F31" s="24">
        <f>C35</f>
        <v>1035.2222222222222</v>
      </c>
      <c r="G31" s="24">
        <f t="shared" ref="G31:H31" si="5">D35</f>
        <v>1035.2222222222222</v>
      </c>
      <c r="H31" s="24">
        <f t="shared" si="5"/>
        <v>1035.2222222222222</v>
      </c>
      <c r="L31" s="23" t="s">
        <v>65</v>
      </c>
      <c r="M31" s="23"/>
      <c r="N31" s="23"/>
      <c r="O31" s="24">
        <f>O27+O28+O29-O30</f>
        <v>1445.5</v>
      </c>
      <c r="P31" s="24">
        <f t="shared" ref="P31:Q31" si="6">P27+P28+P29-P30</f>
        <v>1485.1537037037035</v>
      </c>
      <c r="Q31" s="24">
        <f t="shared" si="6"/>
        <v>1613.1943333333329</v>
      </c>
    </row>
    <row r="32" spans="2:17">
      <c r="B32" s="23" t="s">
        <v>67</v>
      </c>
      <c r="C32" s="23"/>
      <c r="D32" s="43"/>
      <c r="E32" s="43"/>
      <c r="F32" s="24">
        <f>F30-F31</f>
        <v>103.55777777777803</v>
      </c>
      <c r="G32" s="24">
        <f t="shared" ref="G32" si="7">G30-G31</f>
        <v>138.24555555555594</v>
      </c>
      <c r="H32" s="24">
        <f>H30-H31</f>
        <v>172.93333333333385</v>
      </c>
      <c r="L32" s="23" t="s">
        <v>66</v>
      </c>
      <c r="M32" s="23"/>
      <c r="N32" s="23"/>
      <c r="O32" s="24">
        <f>M36</f>
        <v>1314.0370370370372</v>
      </c>
      <c r="P32" s="24">
        <f>N36</f>
        <v>1314.0370370370372</v>
      </c>
      <c r="Q32" s="24">
        <f>O36</f>
        <v>1309</v>
      </c>
    </row>
    <row r="33" spans="2:17">
      <c r="B33" s="23" t="s">
        <v>68</v>
      </c>
      <c r="C33" s="24">
        <f>F37</f>
        <v>1174</v>
      </c>
      <c r="D33" s="24">
        <f>E36</f>
        <v>1103</v>
      </c>
      <c r="E33" s="24">
        <f>E36</f>
        <v>1103</v>
      </c>
      <c r="F33" s="44"/>
      <c r="G33" s="23"/>
      <c r="H33" s="23"/>
      <c r="L33" s="23" t="s">
        <v>67</v>
      </c>
      <c r="M33" s="23"/>
      <c r="N33" s="23"/>
      <c r="O33" s="24">
        <f>O31-O32</f>
        <v>131.46296296296282</v>
      </c>
      <c r="P33" s="24">
        <f t="shared" ref="P33:Q33" si="8">P31-P32</f>
        <v>171.11666666666633</v>
      </c>
      <c r="Q33" s="24">
        <f t="shared" si="8"/>
        <v>304.19433333333291</v>
      </c>
    </row>
    <row r="34" spans="2:17">
      <c r="L34" s="23" t="s">
        <v>68</v>
      </c>
      <c r="M34" s="24">
        <f>N38</f>
        <v>1475</v>
      </c>
      <c r="N34" s="24">
        <f>O37</f>
        <v>1384</v>
      </c>
      <c r="O34" s="24">
        <f>O37</f>
        <v>1384</v>
      </c>
      <c r="P34" s="23"/>
      <c r="Q34" s="23"/>
    </row>
    <row r="35" spans="2:17">
      <c r="B35" t="s">
        <v>70</v>
      </c>
      <c r="C35" s="40">
        <f>(C14*$I$7)/1000</f>
        <v>1035.2222222222222</v>
      </c>
      <c r="D35" s="40">
        <f>(D14*$I$7)/1000</f>
        <v>1035.2222222222222</v>
      </c>
      <c r="E35" s="40">
        <f>(E14*$I$7)/1000</f>
        <v>1035.2222222222222</v>
      </c>
    </row>
    <row r="36" spans="2:17">
      <c r="B36" t="s">
        <v>71</v>
      </c>
      <c r="C36" s="22">
        <f>((C35+D35+E35)+(E35*I6)-F27)/3</f>
        <v>1069.7296296296297</v>
      </c>
      <c r="D36" s="22">
        <f>C36/(1-I3)</f>
        <v>1102.8140511645668</v>
      </c>
      <c r="E36">
        <f>ROUNDUP(D36,0)</f>
        <v>1103</v>
      </c>
      <c r="H36" s="22"/>
      <c r="L36" t="s">
        <v>70</v>
      </c>
      <c r="M36" s="40">
        <f>((C14+H14)*$E$4)/1000</f>
        <v>1314.0370370370372</v>
      </c>
      <c r="N36" s="40">
        <f>((D14+I14)*$E$4)/1000</f>
        <v>1314.0370370370372</v>
      </c>
      <c r="O36">
        <f>((E12+J12)*$E$4)/1000</f>
        <v>1309</v>
      </c>
    </row>
    <row r="37" spans="2:17">
      <c r="B37" t="s">
        <v>89</v>
      </c>
      <c r="C37" s="22">
        <f>C35*1.1</f>
        <v>1138.7444444444445</v>
      </c>
      <c r="D37" s="22">
        <f>C37-F27</f>
        <v>1138.7444444444445</v>
      </c>
      <c r="E37" s="22">
        <f>D37/(1-I3)</f>
        <v>1173.9633447880872</v>
      </c>
      <c r="F37">
        <f>ROUNDUP(E37,0)</f>
        <v>1174</v>
      </c>
      <c r="G37">
        <f>F37-E36</f>
        <v>71</v>
      </c>
      <c r="L37" t="s">
        <v>71</v>
      </c>
      <c r="M37" s="22">
        <f>((M36+N36+O36)+(O36*I6)-(O27*J5))/3</f>
        <v>1355.9913580246914</v>
      </c>
      <c r="N37" s="22">
        <f>M37/J5</f>
        <v>1383.6646510456035</v>
      </c>
      <c r="O37" s="22">
        <f>ROUNDUP(N37,0)</f>
        <v>1384</v>
      </c>
    </row>
    <row r="38" spans="2:17">
      <c r="C38" s="40"/>
      <c r="G38" s="40"/>
      <c r="L38" t="s">
        <v>75</v>
      </c>
      <c r="M38" s="22">
        <f>((M36*1.1)-(O27*J5))/J5</f>
        <v>1474.939531368103</v>
      </c>
      <c r="N38" s="22">
        <f>ROUNDUP(M38,0)</f>
        <v>1475</v>
      </c>
    </row>
    <row r="39" spans="2:17">
      <c r="B39" s="23"/>
      <c r="C39" s="60" t="s">
        <v>69</v>
      </c>
      <c r="D39" s="61"/>
      <c r="E39" s="61"/>
      <c r="F39" s="61"/>
      <c r="G39" s="61"/>
      <c r="H39" s="61"/>
      <c r="I39" s="62"/>
      <c r="L39" t="s">
        <v>82</v>
      </c>
      <c r="M39" s="22">
        <f>N38-O37</f>
        <v>91</v>
      </c>
    </row>
    <row r="40" spans="2:17">
      <c r="B40" s="42" t="s">
        <v>74</v>
      </c>
      <c r="C40" s="23">
        <v>-3</v>
      </c>
      <c r="D40" s="23">
        <v>-2</v>
      </c>
      <c r="E40" s="23">
        <v>-1</v>
      </c>
      <c r="F40" s="23">
        <v>0</v>
      </c>
      <c r="G40" s="35">
        <v>1</v>
      </c>
      <c r="H40" s="35">
        <v>2</v>
      </c>
      <c r="I40" s="35">
        <v>3</v>
      </c>
    </row>
    <row r="41" spans="2:17">
      <c r="B41" s="23" t="s">
        <v>63</v>
      </c>
      <c r="C41" s="23"/>
      <c r="D41" s="23"/>
      <c r="E41" s="43"/>
      <c r="F41" s="23"/>
      <c r="G41" s="24">
        <v>0</v>
      </c>
      <c r="H41" s="24">
        <f>G46</f>
        <v>151.69444444444457</v>
      </c>
      <c r="I41" s="24">
        <f>H46</f>
        <v>202.6888888888891</v>
      </c>
    </row>
    <row r="42" spans="2:17">
      <c r="B42" s="23" t="s">
        <v>64</v>
      </c>
      <c r="C42" s="23"/>
      <c r="D42" s="43"/>
      <c r="E42" s="43"/>
      <c r="F42" s="23"/>
      <c r="G42" s="24">
        <f>E50*(1-$I$4)</f>
        <v>1566.55</v>
      </c>
      <c r="H42" s="24">
        <f>G42</f>
        <v>1566.55</v>
      </c>
      <c r="I42" s="24">
        <f>H42</f>
        <v>1566.55</v>
      </c>
    </row>
    <row r="43" spans="2:17">
      <c r="B43" s="23" t="s">
        <v>72</v>
      </c>
      <c r="C43" s="23"/>
      <c r="D43" s="43"/>
      <c r="E43" s="43"/>
      <c r="F43" s="23"/>
      <c r="G43" s="24">
        <f>F51*(1-$I$4)</f>
        <v>100.69999999999999</v>
      </c>
      <c r="H43" s="24">
        <v>0</v>
      </c>
      <c r="I43" s="24">
        <v>0</v>
      </c>
    </row>
    <row r="44" spans="2:17">
      <c r="B44" s="23" t="s">
        <v>65</v>
      </c>
      <c r="C44" s="23"/>
      <c r="D44" s="43"/>
      <c r="E44" s="43"/>
      <c r="F44" s="23"/>
      <c r="G44" s="24">
        <f>G41+G42+G43</f>
        <v>1667.25</v>
      </c>
      <c r="H44" s="24">
        <f t="shared" ref="H44" si="9">H41+H42+H43</f>
        <v>1718.2444444444445</v>
      </c>
      <c r="I44" s="24">
        <f t="shared" ref="I44" si="10">I41+I42+I43</f>
        <v>1769.2388888888891</v>
      </c>
    </row>
    <row r="45" spans="2:17">
      <c r="B45" s="23" t="s">
        <v>66</v>
      </c>
      <c r="C45" s="23"/>
      <c r="D45" s="23"/>
      <c r="E45" s="23"/>
      <c r="F45" s="23"/>
      <c r="G45" s="24">
        <f>C49</f>
        <v>1515.5555555555554</v>
      </c>
      <c r="H45" s="24">
        <f>D49</f>
        <v>1515.5555555555554</v>
      </c>
      <c r="I45" s="24">
        <f>E49</f>
        <v>1515.5555555555554</v>
      </c>
    </row>
    <row r="46" spans="2:17">
      <c r="B46" s="23" t="s">
        <v>67</v>
      </c>
      <c r="C46" s="23"/>
      <c r="D46" s="43"/>
      <c r="E46" s="43"/>
      <c r="F46" s="23"/>
      <c r="G46" s="24">
        <f>G44-G45</f>
        <v>151.69444444444457</v>
      </c>
      <c r="H46" s="24">
        <f t="shared" ref="H46" si="11">H44-H45</f>
        <v>202.6888888888891</v>
      </c>
      <c r="I46" s="24">
        <f>I44-I45</f>
        <v>253.68333333333362</v>
      </c>
    </row>
    <row r="47" spans="2:17">
      <c r="B47" s="23" t="s">
        <v>68</v>
      </c>
      <c r="C47" s="24">
        <f>E51</f>
        <v>1755</v>
      </c>
      <c r="D47" s="24">
        <f>E50</f>
        <v>1649</v>
      </c>
      <c r="E47" s="24">
        <f>E50</f>
        <v>1649</v>
      </c>
      <c r="F47" s="44"/>
      <c r="G47" s="23"/>
      <c r="H47" s="23"/>
      <c r="I47" s="23"/>
    </row>
    <row r="49" spans="2:8">
      <c r="B49" t="s">
        <v>70</v>
      </c>
      <c r="C49" s="40">
        <f>(H14*$I$7)/1000</f>
        <v>1515.5555555555554</v>
      </c>
      <c r="D49" s="40">
        <f>(I14*$I$7)/1000</f>
        <v>1515.5555555555554</v>
      </c>
      <c r="E49" s="40">
        <f>(J14*$I$7)/1000</f>
        <v>1515.5555555555554</v>
      </c>
    </row>
    <row r="50" spans="2:8">
      <c r="B50" t="s">
        <v>71</v>
      </c>
      <c r="C50" s="22">
        <f>((C49+D49+E49)+(E49*I6)-G41)/3</f>
        <v>1566.0740740740739</v>
      </c>
      <c r="D50" s="22">
        <f>C50/(1-I4)</f>
        <v>1648.4990253411304</v>
      </c>
      <c r="E50">
        <f>ROUNDUP(D50,0)</f>
        <v>1649</v>
      </c>
      <c r="H50" s="22"/>
    </row>
    <row r="51" spans="2:8">
      <c r="B51" t="s">
        <v>90</v>
      </c>
      <c r="C51" s="40">
        <f>(C49*1.1)-G41</f>
        <v>1667.1111111111111</v>
      </c>
      <c r="D51" s="22">
        <f>C51/(1-I4)</f>
        <v>1754.8538011695907</v>
      </c>
      <c r="E51" s="22">
        <f>ROUNDUP(D51,0)</f>
        <v>1755</v>
      </c>
      <c r="F51" s="22">
        <f>E51-E50</f>
        <v>106</v>
      </c>
    </row>
  </sheetData>
  <mergeCells count="5">
    <mergeCell ref="C25:H25"/>
    <mergeCell ref="B2:C2"/>
    <mergeCell ref="D2:E2"/>
    <mergeCell ref="C39:I39"/>
    <mergeCell ref="M25:Q25"/>
  </mergeCells>
  <pageMargins left="0.75" right="0.75" top="1" bottom="1" header="0.5" footer="0.5"/>
  <pageSetup orientation="portrait" horizontalDpi="4294967292" verticalDpi="4294967292"/>
  <ignoredErrors>
    <ignoredError sqref="D15 C36 H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0"/>
  <sheetViews>
    <sheetView zoomScale="200" zoomScaleNormal="200" zoomScalePageLayoutView="200" workbookViewId="0">
      <selection activeCell="C5" sqref="C5:C10"/>
    </sheetView>
  </sheetViews>
  <sheetFormatPr baseColWidth="10" defaultRowHeight="15" x14ac:dyDescent="0"/>
  <cols>
    <col min="3" max="3" width="25" customWidth="1"/>
  </cols>
  <sheetData>
    <row r="5" spans="3:3" ht="32">
      <c r="C5" s="54" t="s">
        <v>83</v>
      </c>
    </row>
    <row r="6" spans="3:3" ht="16">
      <c r="C6" s="54" t="s">
        <v>84</v>
      </c>
    </row>
    <row r="7" spans="3:3" ht="16">
      <c r="C7" s="54" t="s">
        <v>85</v>
      </c>
    </row>
    <row r="8" spans="3:3" ht="32">
      <c r="C8" s="54" t="s">
        <v>86</v>
      </c>
    </row>
    <row r="9" spans="3:3" ht="16">
      <c r="C9" s="54" t="s">
        <v>87</v>
      </c>
    </row>
    <row r="10" spans="3:3" ht="33">
      <c r="C10" s="54" t="s">
        <v>88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Primera pregunta</vt:lpstr>
      <vt:lpstr>Segunda pregunta</vt:lpstr>
      <vt:lpstr>Tercera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2017-06-05T21:56:40Z</dcterms:created>
  <dcterms:modified xsi:type="dcterms:W3CDTF">2017-06-16T00:56:40Z</dcterms:modified>
</cp:coreProperties>
</file>