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022"/>
  <workbookPr date1904="1" showInkAnnotation="0" autoCompressPictures="0"/>
  <bookViews>
    <workbookView xWindow="0" yWindow="0" windowWidth="28740" windowHeight="16380" tabRatio="500" activeTab="1"/>
  </bookViews>
  <sheets>
    <sheet name="Primera pregunta" sheetId="6" r:id="rId1"/>
    <sheet name="Segunda pregunta" sheetId="7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4" i="6" l="1"/>
  <c r="L43" i="6"/>
  <c r="L42" i="6"/>
  <c r="J96" i="6"/>
  <c r="J95" i="6"/>
  <c r="J94" i="6"/>
  <c r="J93" i="6"/>
  <c r="J92" i="6"/>
  <c r="J91" i="6"/>
  <c r="Q9" i="6"/>
  <c r="S18" i="7"/>
  <c r="AB18" i="7"/>
  <c r="AC17" i="7"/>
  <c r="AA18" i="7"/>
  <c r="AA25" i="7"/>
  <c r="Z25" i="7"/>
  <c r="X21" i="7"/>
  <c r="V22" i="7"/>
  <c r="W23" i="7"/>
  <c r="X22" i="7"/>
  <c r="V23" i="7"/>
  <c r="H24" i="7"/>
  <c r="R24" i="7"/>
  <c r="S24" i="7"/>
  <c r="W24" i="7"/>
  <c r="V24" i="7"/>
  <c r="V25" i="7"/>
  <c r="U25" i="7"/>
  <c r="S17" i="7"/>
  <c r="Q18" i="7"/>
  <c r="R19" i="7"/>
  <c r="Q19" i="7"/>
  <c r="S19" i="7"/>
  <c r="R20" i="7"/>
  <c r="Q20" i="7"/>
  <c r="S20" i="7"/>
  <c r="Q21" i="7"/>
  <c r="S21" i="7"/>
  <c r="Q22" i="7"/>
  <c r="S22" i="7"/>
  <c r="R23" i="7"/>
  <c r="Q23" i="7"/>
  <c r="S23" i="7"/>
  <c r="Q24" i="7"/>
  <c r="Q25" i="7"/>
  <c r="H18" i="7"/>
  <c r="P18" i="7"/>
  <c r="P21" i="7"/>
  <c r="H23" i="7"/>
  <c r="P23" i="7"/>
  <c r="P25" i="7"/>
  <c r="K25" i="7"/>
  <c r="J25" i="7"/>
  <c r="G19" i="7"/>
  <c r="F19" i="7"/>
  <c r="G20" i="7"/>
  <c r="F20" i="7"/>
  <c r="G21" i="7"/>
  <c r="F21" i="7"/>
  <c r="F22" i="7"/>
  <c r="G23" i="7"/>
  <c r="H22" i="7"/>
  <c r="F23" i="7"/>
  <c r="F24" i="7"/>
  <c r="F25" i="7"/>
  <c r="E25" i="7"/>
  <c r="X27" i="7"/>
  <c r="X26" i="7"/>
  <c r="X24" i="7"/>
  <c r="AD24" i="7"/>
  <c r="AF24" i="7"/>
  <c r="AD17" i="7"/>
  <c r="AF17" i="7"/>
  <c r="AC18" i="7"/>
  <c r="AB19" i="7"/>
  <c r="AC19" i="7"/>
  <c r="AB20" i="7"/>
  <c r="AC20" i="7"/>
  <c r="AD20" i="7"/>
  <c r="AF20" i="7"/>
  <c r="AD21" i="7"/>
  <c r="AF21" i="7"/>
  <c r="AD23" i="7"/>
  <c r="AF23" i="7"/>
  <c r="X28" i="7"/>
  <c r="X4" i="7"/>
  <c r="G4" i="7"/>
  <c r="H4" i="7"/>
  <c r="F6" i="7"/>
  <c r="H6" i="7"/>
  <c r="F7" i="7"/>
  <c r="H7" i="7"/>
  <c r="F8" i="7"/>
  <c r="F9" i="7"/>
  <c r="K9" i="7"/>
  <c r="S5" i="7"/>
  <c r="Q6" i="7"/>
  <c r="S6" i="7"/>
  <c r="Q7" i="7"/>
  <c r="S7" i="7"/>
  <c r="Q8" i="7"/>
  <c r="Q9" i="7"/>
  <c r="V7" i="7"/>
  <c r="X7" i="7"/>
  <c r="V8" i="7"/>
  <c r="V9" i="7"/>
  <c r="M5" i="7"/>
  <c r="AB5" i="7"/>
  <c r="AC5" i="7"/>
  <c r="AA6" i="7"/>
  <c r="AA9" i="7"/>
  <c r="X11" i="7"/>
  <c r="E9" i="7"/>
  <c r="J9" i="7"/>
  <c r="P9" i="7"/>
  <c r="S8" i="7"/>
  <c r="U8" i="7"/>
  <c r="U9" i="7"/>
  <c r="Z9" i="7"/>
  <c r="X10" i="7"/>
  <c r="R4" i="7"/>
  <c r="S4" i="7"/>
  <c r="Q5" i="7"/>
  <c r="AD4" i="7"/>
  <c r="AF4" i="7"/>
  <c r="AD5" i="7"/>
  <c r="AF5" i="7"/>
  <c r="AC6" i="7"/>
  <c r="AD6" i="7"/>
  <c r="AF6" i="7"/>
  <c r="AD7" i="7"/>
  <c r="AF7" i="7"/>
  <c r="H8" i="7"/>
  <c r="X8" i="7"/>
  <c r="AD8" i="7"/>
  <c r="AF8" i="7"/>
  <c r="X12" i="7"/>
  <c r="M17" i="7"/>
  <c r="G18" i="7"/>
  <c r="AJ32" i="7"/>
  <c r="AL32" i="7"/>
  <c r="AM32" i="7"/>
  <c r="AK33" i="7"/>
  <c r="AL33" i="7"/>
  <c r="AN33" i="7"/>
  <c r="AJ34" i="7"/>
  <c r="AL34" i="7"/>
  <c r="AN34" i="7"/>
  <c r="AJ35" i="7"/>
  <c r="AL35" i="7"/>
  <c r="AM35" i="7"/>
  <c r="AJ36" i="7"/>
  <c r="AL36" i="7"/>
  <c r="AM36" i="7"/>
  <c r="AJ37" i="7"/>
  <c r="AK37" i="7"/>
  <c r="AL37" i="7"/>
  <c r="AM37" i="7"/>
  <c r="AN37" i="7"/>
  <c r="K92" i="6"/>
  <c r="M92" i="6"/>
  <c r="K93" i="6"/>
  <c r="M93" i="6"/>
  <c r="B21" i="6"/>
  <c r="F79" i="6"/>
  <c r="F78" i="6"/>
  <c r="F77" i="6"/>
  <c r="F76" i="6"/>
  <c r="F75" i="6"/>
  <c r="F74" i="6"/>
  <c r="B26" i="6"/>
  <c r="C21" i="6"/>
  <c r="B13" i="6"/>
  <c r="C13" i="6"/>
  <c r="D13" i="6"/>
  <c r="B27" i="6"/>
  <c r="B15" i="6"/>
  <c r="C15" i="6"/>
  <c r="D15" i="6"/>
  <c r="O9" i="6"/>
  <c r="P9" i="6"/>
  <c r="U9" i="6"/>
  <c r="E66" i="6"/>
  <c r="G77" i="6"/>
  <c r="H77" i="6"/>
  <c r="B94" i="6"/>
  <c r="C94" i="6"/>
  <c r="Q10" i="6"/>
  <c r="I21" i="6"/>
  <c r="C26" i="6"/>
  <c r="J21" i="6"/>
  <c r="I13" i="6"/>
  <c r="J13" i="6"/>
  <c r="K13" i="6"/>
  <c r="I22" i="6"/>
  <c r="J22" i="6"/>
  <c r="K22" i="6"/>
  <c r="J14" i="6"/>
  <c r="C27" i="6"/>
  <c r="I15" i="6"/>
  <c r="J15" i="6"/>
  <c r="K15" i="6"/>
  <c r="O10" i="6"/>
  <c r="P10" i="6"/>
  <c r="U10" i="6"/>
  <c r="F66" i="6"/>
  <c r="D94" i="6"/>
  <c r="E94" i="6"/>
  <c r="K94" i="6"/>
  <c r="M94" i="6"/>
  <c r="V9" i="6"/>
  <c r="E67" i="6"/>
  <c r="G78" i="6"/>
  <c r="H78" i="6"/>
  <c r="B95" i="6"/>
  <c r="C95" i="6"/>
  <c r="V10" i="6"/>
  <c r="F67" i="6"/>
  <c r="D95" i="6"/>
  <c r="E95" i="6"/>
  <c r="K95" i="6"/>
  <c r="M95" i="6"/>
  <c r="W9" i="6"/>
  <c r="E68" i="6"/>
  <c r="G79" i="6"/>
  <c r="H79" i="6"/>
  <c r="B96" i="6"/>
  <c r="C96" i="6"/>
  <c r="W10" i="6"/>
  <c r="F68" i="6"/>
  <c r="D96" i="6"/>
  <c r="E96" i="6"/>
  <c r="K96" i="6"/>
  <c r="M96" i="6"/>
  <c r="K91" i="6"/>
  <c r="M91" i="6"/>
  <c r="L92" i="6"/>
  <c r="L93" i="6"/>
  <c r="L94" i="6"/>
  <c r="L95" i="6"/>
  <c r="L96" i="6"/>
  <c r="L91" i="6"/>
  <c r="Q11" i="6"/>
  <c r="Q12" i="6"/>
  <c r="B43" i="6"/>
  <c r="B44" i="6"/>
  <c r="B45" i="6"/>
  <c r="B46" i="6"/>
  <c r="F83" i="6"/>
  <c r="F82" i="6"/>
  <c r="F81" i="6"/>
  <c r="D26" i="6"/>
  <c r="C46" i="6"/>
  <c r="B41" i="6"/>
  <c r="B61" i="6"/>
  <c r="C34" i="6"/>
  <c r="C35" i="6"/>
  <c r="D27" i="6"/>
  <c r="C37" i="6"/>
  <c r="C38" i="6"/>
  <c r="C39" i="6"/>
  <c r="C40" i="6"/>
  <c r="D34" i="6"/>
  <c r="B47" i="6"/>
  <c r="C41" i="6"/>
  <c r="B62" i="6"/>
  <c r="D41" i="6"/>
  <c r="B63" i="6"/>
  <c r="D52" i="6"/>
  <c r="B64" i="6"/>
  <c r="F86" i="6"/>
  <c r="F85" i="6"/>
  <c r="E26" i="6"/>
  <c r="E27" i="6"/>
  <c r="C64" i="6"/>
  <c r="B59" i="6"/>
  <c r="D53" i="6"/>
  <c r="D55" i="6"/>
  <c r="D56" i="6"/>
  <c r="D57" i="6"/>
  <c r="D58" i="6"/>
  <c r="E52" i="6"/>
  <c r="B65" i="6"/>
  <c r="C59" i="6"/>
  <c r="D59" i="6"/>
  <c r="E53" i="6"/>
  <c r="B66" i="6"/>
  <c r="E54" i="6"/>
  <c r="E55" i="6"/>
  <c r="F53" i="6"/>
  <c r="F55" i="6"/>
  <c r="O12" i="6"/>
  <c r="P12" i="6"/>
  <c r="S12" i="6"/>
  <c r="H64" i="6"/>
  <c r="G86" i="6"/>
  <c r="H86" i="6"/>
  <c r="H92" i="6"/>
  <c r="I92" i="6"/>
  <c r="D35" i="6"/>
  <c r="B48" i="6"/>
  <c r="D36" i="6"/>
  <c r="D37" i="6"/>
  <c r="E35" i="6"/>
  <c r="E37" i="6"/>
  <c r="O11" i="6"/>
  <c r="P11" i="6"/>
  <c r="S11" i="6"/>
  <c r="G64" i="6"/>
  <c r="G82" i="6"/>
  <c r="H82" i="6"/>
  <c r="F92" i="6"/>
  <c r="G92" i="6"/>
  <c r="T11" i="6"/>
  <c r="G65" i="6"/>
  <c r="G83" i="6"/>
  <c r="H83" i="6"/>
  <c r="F93" i="6"/>
  <c r="G93" i="6"/>
  <c r="S10" i="6"/>
  <c r="F64" i="6"/>
  <c r="G75" i="6"/>
  <c r="H75" i="6"/>
  <c r="D92" i="6"/>
  <c r="E92" i="6"/>
  <c r="T10" i="6"/>
  <c r="F65" i="6"/>
  <c r="G76" i="6"/>
  <c r="H76" i="6"/>
  <c r="D93" i="6"/>
  <c r="E93" i="6"/>
  <c r="S9" i="6"/>
  <c r="E64" i="6"/>
  <c r="B92" i="6"/>
  <c r="C92" i="6"/>
  <c r="T9" i="6"/>
  <c r="E65" i="6"/>
  <c r="B93" i="6"/>
  <c r="C93" i="6"/>
  <c r="G74" i="6"/>
  <c r="H74" i="6"/>
  <c r="D91" i="6"/>
  <c r="B91" i="6"/>
  <c r="R12" i="6"/>
  <c r="H63" i="6"/>
  <c r="G85" i="6"/>
  <c r="H85" i="6"/>
  <c r="H91" i="6"/>
  <c r="I91" i="6"/>
  <c r="R11" i="6"/>
  <c r="G63" i="6"/>
  <c r="G81" i="6"/>
  <c r="H81" i="6"/>
  <c r="F91" i="6"/>
  <c r="G91" i="6"/>
  <c r="R10" i="6"/>
  <c r="F63" i="6"/>
  <c r="E91" i="6"/>
  <c r="R9" i="6"/>
  <c r="E63" i="6"/>
  <c r="C91" i="6"/>
  <c r="I42" i="6"/>
  <c r="J34" i="6"/>
  <c r="K42" i="6"/>
  <c r="I39" i="6"/>
  <c r="J35" i="6"/>
  <c r="J36" i="6"/>
  <c r="J37" i="6"/>
  <c r="J38" i="6"/>
  <c r="K34" i="6"/>
  <c r="I43" i="6"/>
  <c r="K43" i="6"/>
  <c r="J39" i="6"/>
  <c r="K35" i="6"/>
  <c r="K36" i="6"/>
  <c r="K37" i="6"/>
  <c r="K38" i="6"/>
  <c r="L34" i="6"/>
  <c r="I44" i="6"/>
  <c r="K44" i="6"/>
  <c r="K39" i="6"/>
  <c r="L35" i="6"/>
  <c r="L36" i="6"/>
  <c r="E56" i="6"/>
  <c r="E57" i="6"/>
  <c r="E58" i="6"/>
  <c r="F52" i="6"/>
  <c r="F56" i="6"/>
  <c r="F57" i="6"/>
  <c r="F58" i="6"/>
  <c r="L37" i="6"/>
  <c r="L38" i="6"/>
  <c r="B17" i="6"/>
  <c r="C17" i="6"/>
  <c r="D17" i="6"/>
  <c r="I17" i="6"/>
  <c r="J17" i="6"/>
  <c r="K17" i="6"/>
  <c r="D38" i="6"/>
  <c r="D39" i="6"/>
  <c r="D40" i="6"/>
  <c r="E34" i="6"/>
  <c r="E38" i="6"/>
  <c r="B16" i="6"/>
  <c r="B18" i="6"/>
  <c r="C12" i="6"/>
  <c r="C16" i="6"/>
  <c r="C18" i="6"/>
  <c r="D12" i="6"/>
  <c r="D16" i="6"/>
  <c r="I16" i="6"/>
  <c r="I18" i="6"/>
  <c r="J12" i="6"/>
  <c r="J16" i="6"/>
  <c r="J18" i="6"/>
  <c r="K12" i="6"/>
  <c r="K16" i="6"/>
  <c r="D18" i="6"/>
  <c r="E39" i="6"/>
  <c r="K18" i="6"/>
  <c r="E40" i="6"/>
</calcChain>
</file>

<file path=xl/sharedStrings.xml><?xml version="1.0" encoding="utf-8"?>
<sst xmlns="http://schemas.openxmlformats.org/spreadsheetml/2006/main" count="309" uniqueCount="151">
  <si>
    <t>Despacho</t>
  </si>
  <si>
    <t>Inventario Final</t>
  </si>
  <si>
    <t>Mes</t>
  </si>
  <si>
    <t>Demanda</t>
  </si>
  <si>
    <t>Inventario Inicial</t>
  </si>
  <si>
    <t>Plan de Producción</t>
  </si>
  <si>
    <t>Disponible</t>
  </si>
  <si>
    <t>Periodos</t>
  </si>
  <si>
    <t>Producto P</t>
  </si>
  <si>
    <t>Producto Q</t>
  </si>
  <si>
    <t>P</t>
  </si>
  <si>
    <t>Q</t>
  </si>
  <si>
    <t xml:space="preserve"> --</t>
  </si>
  <si>
    <t>Aprovechamiento</t>
  </si>
  <si>
    <t>Desperdicio</t>
  </si>
  <si>
    <t>W</t>
  </si>
  <si>
    <t>X</t>
  </si>
  <si>
    <t>Lista de materiales</t>
  </si>
  <si>
    <r>
      <t>Necesidad de W</t>
    </r>
    <r>
      <rPr>
        <vertAlign val="subscript"/>
        <sz val="10"/>
        <rFont val="Verdana"/>
      </rPr>
      <t>1</t>
    </r>
    <r>
      <rPr>
        <sz val="10"/>
        <rFont val="Verdana"/>
      </rPr>
      <t xml:space="preserve">  =</t>
    </r>
  </si>
  <si>
    <r>
      <t>Necesidad de W</t>
    </r>
    <r>
      <rPr>
        <vertAlign val="subscript"/>
        <sz val="10"/>
        <rFont val="Verdana"/>
      </rPr>
      <t>2</t>
    </r>
    <r>
      <rPr>
        <sz val="10"/>
        <rFont val="Verdana"/>
      </rPr>
      <t xml:space="preserve">  =</t>
    </r>
  </si>
  <si>
    <r>
      <t>Necesidad de W</t>
    </r>
    <r>
      <rPr>
        <vertAlign val="subscript"/>
        <sz val="10"/>
        <rFont val="Verdana"/>
      </rPr>
      <t>3</t>
    </r>
    <r>
      <rPr>
        <sz val="10"/>
        <rFont val="Verdana"/>
      </rPr>
      <t xml:space="preserve">  =</t>
    </r>
  </si>
  <si>
    <t>PNCT</t>
  </si>
  <si>
    <t>Tr min/und</t>
  </si>
  <si>
    <t>E</t>
  </si>
  <si>
    <t>U</t>
  </si>
  <si>
    <t>a</t>
  </si>
  <si>
    <t>Tstd</t>
  </si>
  <si>
    <t>Tstd ajustado</t>
  </si>
  <si>
    <t>CRP específico</t>
  </si>
  <si>
    <t>Cálculos de tiempos de ejecución ajustados</t>
  </si>
  <si>
    <t>Balance del Flujo del proceso</t>
  </si>
  <si>
    <t>Tstd/trp</t>
  </si>
  <si>
    <t>Unidades buenas totales</t>
  </si>
  <si>
    <t>TRP</t>
  </si>
  <si>
    <t>Componente W</t>
  </si>
  <si>
    <t>Capacidad Disponible</t>
  </si>
  <si>
    <t>Producción promedio</t>
  </si>
  <si>
    <t>M1</t>
  </si>
  <si>
    <t>M2</t>
  </si>
  <si>
    <t>M3</t>
  </si>
  <si>
    <t>Fp promedio =</t>
  </si>
  <si>
    <t>Formulación del pedido</t>
    <phoneticPr fontId="3" type="noConversion"/>
  </si>
  <si>
    <t>Inventario final</t>
    <phoneticPr fontId="3" type="noConversion"/>
  </si>
  <si>
    <t>PNM</t>
    <phoneticPr fontId="3" type="noConversion"/>
  </si>
  <si>
    <t>Disponible</t>
    <phoneticPr fontId="3" type="noConversion"/>
  </si>
  <si>
    <t>Inventario final</t>
    <phoneticPr fontId="3" type="noConversion"/>
  </si>
  <si>
    <t>Desperdicio</t>
    <phoneticPr fontId="3" type="noConversion"/>
  </si>
  <si>
    <t>Plan de producción</t>
    <phoneticPr fontId="3" type="noConversion"/>
  </si>
  <si>
    <t>Inventario inicial</t>
    <phoneticPr fontId="3" type="noConversion"/>
  </si>
  <si>
    <t>Inventario de seguridad</t>
    <phoneticPr fontId="3" type="noConversion"/>
  </si>
  <si>
    <t>Desperdicio</t>
    <phoneticPr fontId="3" type="noConversion"/>
  </si>
  <si>
    <t>Vi</t>
  </si>
  <si>
    <t>Inventario inicial</t>
  </si>
  <si>
    <t>Aumento transitorio</t>
  </si>
  <si>
    <r>
      <t xml:space="preserve">Fp </t>
    </r>
    <r>
      <rPr>
        <sz val="8"/>
        <rFont val="Verdana"/>
      </rPr>
      <t xml:space="preserve">1 </t>
    </r>
    <r>
      <rPr>
        <sz val="10"/>
        <rFont val="Verdana"/>
      </rPr>
      <t>=</t>
    </r>
  </si>
  <si>
    <t>Operarios</t>
  </si>
  <si>
    <t>MPS por Nivelación</t>
  </si>
  <si>
    <t>MRP de W nivelado</t>
  </si>
  <si>
    <t>Z</t>
  </si>
  <si>
    <t>MRP de Z nivelación</t>
  </si>
  <si>
    <t>M4</t>
  </si>
  <si>
    <t>Componente Z</t>
  </si>
  <si>
    <t>Producto P o Q</t>
  </si>
  <si>
    <t>M5</t>
  </si>
  <si>
    <t>M6</t>
  </si>
  <si>
    <r>
      <t>Necesidad de X</t>
    </r>
    <r>
      <rPr>
        <vertAlign val="subscript"/>
        <sz val="10"/>
        <rFont val="Verdana"/>
      </rPr>
      <t>1</t>
    </r>
    <r>
      <rPr>
        <sz val="10"/>
        <rFont val="Verdana"/>
      </rPr>
      <t xml:space="preserve">  =</t>
    </r>
  </si>
  <si>
    <r>
      <t>Necesidad de X</t>
    </r>
    <r>
      <rPr>
        <vertAlign val="subscript"/>
        <sz val="10"/>
        <rFont val="Verdana"/>
      </rPr>
      <t>2</t>
    </r>
    <r>
      <rPr>
        <sz val="10"/>
        <rFont val="Verdana"/>
      </rPr>
      <t xml:space="preserve">  =</t>
    </r>
  </si>
  <si>
    <r>
      <t>Necesidad de X</t>
    </r>
    <r>
      <rPr>
        <vertAlign val="subscript"/>
        <sz val="10"/>
        <rFont val="Verdana"/>
      </rPr>
      <t>3</t>
    </r>
    <r>
      <rPr>
        <sz val="10"/>
        <rFont val="Verdana"/>
      </rPr>
      <t xml:space="preserve">  =</t>
    </r>
  </si>
  <si>
    <t>Fp 0=</t>
  </si>
  <si>
    <t>Fp 1=</t>
  </si>
  <si>
    <t>Fp 2=</t>
  </si>
  <si>
    <t>Plan de producción</t>
  </si>
  <si>
    <t>Inventario inical</t>
  </si>
  <si>
    <t>Necesidad de Z-2  =</t>
  </si>
  <si>
    <t>Necesidad de Z-1  =</t>
  </si>
  <si>
    <t>Necesidad de Z-0  =</t>
  </si>
  <si>
    <r>
      <t>Fp -1</t>
    </r>
    <r>
      <rPr>
        <sz val="8"/>
        <rFont val="Verdana"/>
      </rPr>
      <t xml:space="preserve"> </t>
    </r>
    <r>
      <rPr>
        <sz val="10"/>
        <rFont val="Verdana"/>
      </rPr>
      <t>=</t>
    </r>
  </si>
  <si>
    <t>Plan de Compras</t>
  </si>
  <si>
    <t>m1</t>
  </si>
  <si>
    <t>m2</t>
  </si>
  <si>
    <t>m3</t>
  </si>
  <si>
    <t>m4</t>
  </si>
  <si>
    <t>m5</t>
  </si>
  <si>
    <t>m6</t>
  </si>
  <si>
    <t>Plan prod promedio</t>
  </si>
  <si>
    <t># de Máquinas</t>
  </si>
  <si>
    <t>Δ Máquinas</t>
  </si>
  <si>
    <t>Δ Operarios</t>
  </si>
  <si>
    <t>Productos y componentes</t>
  </si>
  <si>
    <t>CB</t>
  </si>
  <si>
    <t>A, C, D</t>
  </si>
  <si>
    <t>A, C, E</t>
  </si>
  <si>
    <t>B, E, C</t>
  </si>
  <si>
    <t>D, A, C</t>
  </si>
  <si>
    <t>D</t>
  </si>
  <si>
    <t>C</t>
  </si>
  <si>
    <t>B</t>
  </si>
  <si>
    <t>A</t>
  </si>
  <si>
    <t>CANTIDAD</t>
  </si>
  <si>
    <r>
      <t>FECHA DE ENTREGA (días)</t>
    </r>
    <r>
      <rPr>
        <b/>
        <vertAlign val="superscript"/>
        <sz val="12"/>
        <color theme="1"/>
        <rFont val="Times New Roman"/>
      </rPr>
      <t>1</t>
    </r>
  </si>
  <si>
    <t>RUTA DE PRODUCCIÓN</t>
  </si>
  <si>
    <t>ORDEN</t>
  </si>
  <si>
    <t>O. Ret</t>
  </si>
  <si>
    <t>Ret.</t>
  </si>
  <si>
    <t>TM</t>
  </si>
  <si>
    <t>TC</t>
  </si>
  <si>
    <t>5180-5240</t>
  </si>
  <si>
    <t>5120-5180</t>
  </si>
  <si>
    <t>4520-4580</t>
  </si>
  <si>
    <t>3920-4000</t>
  </si>
  <si>
    <t>2660-2720</t>
  </si>
  <si>
    <t>1460-1520</t>
  </si>
  <si>
    <t>480-540</t>
  </si>
  <si>
    <t>400-460</t>
  </si>
  <si>
    <t>800-860</t>
  </si>
  <si>
    <t>0-60</t>
  </si>
  <si>
    <t>Atraso</t>
  </si>
  <si>
    <t>Fp</t>
  </si>
  <si>
    <t>Ff</t>
  </si>
  <si>
    <t>Op E</t>
  </si>
  <si>
    <t>Alisto</t>
  </si>
  <si>
    <t>Op D</t>
  </si>
  <si>
    <t>Op C</t>
  </si>
  <si>
    <t>TB</t>
  </si>
  <si>
    <t>Op B</t>
  </si>
  <si>
    <t>Op A</t>
  </si>
  <si>
    <t>Qty</t>
  </si>
  <si>
    <t>Ruta</t>
  </si>
  <si>
    <t>Orden</t>
  </si>
  <si>
    <t>DBR/MFDE</t>
  </si>
  <si>
    <t>11240-11300</t>
  </si>
  <si>
    <t>9740-9800</t>
  </si>
  <si>
    <t>6280-6340</t>
  </si>
  <si>
    <t>9680-9740</t>
  </si>
  <si>
    <t>8780-8840</t>
  </si>
  <si>
    <t>5620-5680</t>
  </si>
  <si>
    <t>8720-8780</t>
  </si>
  <si>
    <t>5720-5780</t>
  </si>
  <si>
    <t>3560-3620</t>
  </si>
  <si>
    <t>5060-5120</t>
  </si>
  <si>
    <t>3500-3560</t>
  </si>
  <si>
    <t>2500-2560</t>
  </si>
  <si>
    <t>PUSH/PEPS</t>
  </si>
  <si>
    <t>4400-4460</t>
  </si>
  <si>
    <t>6180-6240</t>
  </si>
  <si>
    <t>10120-10180</t>
  </si>
  <si>
    <t>10540-10600</t>
  </si>
  <si>
    <t>9920-9980</t>
  </si>
  <si>
    <t>10 pts</t>
  </si>
  <si>
    <t>15 pts</t>
  </si>
  <si>
    <t>MRP de X persecución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</si>
</sst>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409]#,##0.00"/>
    <numFmt numFmtId="165" formatCode="0.0%"/>
    <numFmt numFmtId="166" formatCode="0.000"/>
    <numFmt numFmtId="167" formatCode="0.0"/>
  </numFmts>
  <fonts count="24" x14ac:knownFonts="1">
    <font>
      <sz val="10"/>
      <name val="Verdana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</font>
    <font>
      <b/>
      <sz val="10"/>
      <name val="Arial"/>
      <family val="2"/>
    </font>
    <font>
      <sz val="10"/>
      <name val="Arial"/>
    </font>
    <font>
      <sz val="10"/>
      <color indexed="12"/>
      <name val="Arial"/>
      <family val="2"/>
    </font>
    <font>
      <vertAlign val="subscript"/>
      <sz val="10"/>
      <name val="Verdana"/>
    </font>
    <font>
      <b/>
      <sz val="10"/>
      <color indexed="1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sz val="10"/>
      <name val="Verdana"/>
    </font>
    <font>
      <sz val="10"/>
      <name val="Verdana"/>
    </font>
    <font>
      <b/>
      <sz val="12"/>
      <color indexed="10"/>
      <name val="Arial"/>
    </font>
    <font>
      <b/>
      <sz val="12"/>
      <color theme="1"/>
      <name val="Calibri"/>
      <family val="2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b/>
      <vertAlign val="superscript"/>
      <sz val="12"/>
      <color theme="1"/>
      <name val="Times New Roman"/>
    </font>
    <font>
      <sz val="9"/>
      <color theme="1"/>
      <name val="Verdana"/>
    </font>
    <font>
      <sz val="9"/>
      <name val="Verdana"/>
    </font>
    <font>
      <sz val="9"/>
      <color rgb="FF000000"/>
      <name val="Verdana"/>
    </font>
    <font>
      <b/>
      <sz val="9"/>
      <name val="Verdana"/>
    </font>
    <font>
      <b/>
      <sz val="9"/>
      <color theme="1"/>
      <name val="Verdana"/>
    </font>
    <font>
      <b/>
      <sz val="10"/>
      <color rgb="FFFF0000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564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49">
    <xf numFmtId="0" fontId="0" fillId="0" borderId="0" xfId="0"/>
    <xf numFmtId="0" fontId="4" fillId="0" borderId="0" xfId="0" applyFont="1"/>
    <xf numFmtId="0" fontId="4" fillId="0" borderId="1" xfId="0" applyFont="1" applyBorder="1"/>
    <xf numFmtId="0" fontId="0" fillId="0" borderId="1" xfId="0" applyBorder="1"/>
    <xf numFmtId="0" fontId="6" fillId="2" borderId="1" xfId="0" applyFont="1" applyFill="1" applyBorder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8" fillId="0" borderId="1" xfId="0" applyFont="1" applyBorder="1"/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 applyFill="1" applyBorder="1"/>
    <xf numFmtId="0" fontId="0" fillId="0" borderId="0" xfId="0" applyBorder="1"/>
    <xf numFmtId="1" fontId="0" fillId="0" borderId="0" xfId="0" applyNumberFormat="1" applyBorder="1"/>
    <xf numFmtId="0" fontId="11" fillId="0" borderId="1" xfId="0" applyFont="1" applyBorder="1"/>
    <xf numFmtId="165" fontId="0" fillId="0" borderId="0" xfId="83" applyNumberFormat="1" applyFont="1"/>
    <xf numFmtId="165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1" fillId="0" borderId="1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Fill="1" applyBorder="1"/>
    <xf numFmtId="0" fontId="13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0" xfId="83" applyNumberFormat="1" applyFont="1"/>
    <xf numFmtId="3" fontId="0" fillId="0" borderId="0" xfId="0" applyNumberFormat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2" fontId="0" fillId="0" borderId="0" xfId="0" applyNumberFormat="1" applyBorder="1"/>
    <xf numFmtId="166" fontId="0" fillId="0" borderId="0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1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6" fontId="0" fillId="0" borderId="1" xfId="0" applyNumberFormat="1" applyBorder="1"/>
    <xf numFmtId="166" fontId="0" fillId="0" borderId="1" xfId="0" applyNumberFormat="1" applyBorder="1" applyAlignment="1">
      <alignment vertical="center"/>
    </xf>
    <xf numFmtId="166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1" fontId="0" fillId="0" borderId="3" xfId="0" applyNumberFormat="1" applyBorder="1"/>
    <xf numFmtId="0" fontId="0" fillId="0" borderId="4" xfId="0" applyBorder="1" applyAlignment="1">
      <alignment horizontal="center"/>
    </xf>
    <xf numFmtId="166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Border="1"/>
    <xf numFmtId="1" fontId="0" fillId="0" borderId="6" xfId="0" applyNumberFormat="1" applyBorder="1"/>
    <xf numFmtId="0" fontId="1" fillId="0" borderId="0" xfId="541"/>
    <xf numFmtId="0" fontId="14" fillId="0" borderId="0" xfId="541" applyFont="1"/>
    <xf numFmtId="0" fontId="15" fillId="0" borderId="6" xfId="541" applyFont="1" applyBorder="1" applyAlignment="1">
      <alignment horizontal="justify" vertical="center" wrapText="1"/>
    </xf>
    <xf numFmtId="0" fontId="15" fillId="0" borderId="18" xfId="541" applyFont="1" applyBorder="1" applyAlignment="1">
      <alignment horizontal="justify" vertical="center" wrapText="1"/>
    </xf>
    <xf numFmtId="0" fontId="16" fillId="0" borderId="3" xfId="541" applyFont="1" applyFill="1" applyBorder="1" applyAlignment="1">
      <alignment horizontal="center" vertical="center" wrapText="1"/>
    </xf>
    <xf numFmtId="0" fontId="16" fillId="0" borderId="9" xfId="541" applyFont="1" applyBorder="1" applyAlignment="1">
      <alignment horizontal="center" vertical="center" wrapText="1"/>
    </xf>
    <xf numFmtId="0" fontId="16" fillId="0" borderId="9" xfId="541" applyFont="1" applyBorder="1" applyAlignment="1">
      <alignment horizontal="justify" vertical="center" wrapText="1"/>
    </xf>
    <xf numFmtId="0" fontId="16" fillId="0" borderId="19" xfId="541" applyFont="1" applyBorder="1" applyAlignment="1">
      <alignment horizontal="center" vertical="center" wrapText="1"/>
    </xf>
    <xf numFmtId="2" fontId="1" fillId="0" borderId="0" xfId="541" applyNumberFormat="1"/>
    <xf numFmtId="167" fontId="18" fillId="0" borderId="1" xfId="541" applyNumberFormat="1" applyFont="1" applyBorder="1" applyAlignment="1">
      <alignment horizontal="center"/>
    </xf>
    <xf numFmtId="0" fontId="18" fillId="0" borderId="1" xfId="541" applyFont="1" applyBorder="1" applyAlignment="1">
      <alignment horizontal="center"/>
    </xf>
    <xf numFmtId="0" fontId="19" fillId="0" borderId="20" xfId="541" applyFont="1" applyBorder="1" applyAlignment="1">
      <alignment horizontal="center"/>
    </xf>
    <xf numFmtId="0" fontId="19" fillId="0" borderId="21" xfId="541" applyFont="1" applyBorder="1" applyAlignment="1">
      <alignment horizontal="center"/>
    </xf>
    <xf numFmtId="0" fontId="19" fillId="3" borderId="21" xfId="541" applyFont="1" applyFill="1" applyBorder="1" applyAlignment="1">
      <alignment horizontal="center"/>
    </xf>
    <xf numFmtId="0" fontId="19" fillId="0" borderId="22" xfId="541" applyFont="1" applyBorder="1" applyAlignment="1">
      <alignment horizontal="center"/>
    </xf>
    <xf numFmtId="0" fontId="19" fillId="0" borderId="10" xfId="541" applyFont="1" applyBorder="1" applyAlignment="1">
      <alignment horizontal="center"/>
    </xf>
    <xf numFmtId="0" fontId="19" fillId="0" borderId="1" xfId="541" applyFont="1" applyBorder="1" applyAlignment="1">
      <alignment horizontal="center"/>
    </xf>
    <xf numFmtId="0" fontId="19" fillId="3" borderId="1" xfId="541" applyFont="1" applyFill="1" applyBorder="1" applyAlignment="1">
      <alignment horizontal="center"/>
    </xf>
    <xf numFmtId="0" fontId="19" fillId="0" borderId="12" xfId="541" applyFont="1" applyBorder="1" applyAlignment="1">
      <alignment horizontal="center"/>
    </xf>
    <xf numFmtId="0" fontId="19" fillId="4" borderId="10" xfId="541" applyFont="1" applyFill="1" applyBorder="1" applyAlignment="1">
      <alignment horizontal="center"/>
    </xf>
    <xf numFmtId="0" fontId="19" fillId="0" borderId="23" xfId="541" applyFont="1" applyBorder="1" applyAlignment="1">
      <alignment horizontal="center"/>
    </xf>
    <xf numFmtId="0" fontId="18" fillId="0" borderId="24" xfId="541" applyFont="1" applyBorder="1" applyAlignment="1">
      <alignment horizontal="center" vertical="center" wrapText="1"/>
    </xf>
    <xf numFmtId="0" fontId="18" fillId="0" borderId="25" xfId="541" applyFont="1" applyBorder="1" applyAlignment="1">
      <alignment horizontal="center" vertical="center" wrapText="1"/>
    </xf>
    <xf numFmtId="0" fontId="19" fillId="0" borderId="0" xfId="541" applyFont="1" applyAlignment="1">
      <alignment horizontal="center"/>
    </xf>
    <xf numFmtId="0" fontId="19" fillId="0" borderId="26" xfId="541" applyFont="1" applyBorder="1" applyAlignment="1">
      <alignment horizontal="center"/>
    </xf>
    <xf numFmtId="0" fontId="19" fillId="0" borderId="27" xfId="541" applyFont="1" applyBorder="1" applyAlignment="1">
      <alignment horizontal="center"/>
    </xf>
    <xf numFmtId="0" fontId="19" fillId="3" borderId="27" xfId="541" applyFont="1" applyFill="1" applyBorder="1" applyAlignment="1">
      <alignment horizontal="center"/>
    </xf>
    <xf numFmtId="0" fontId="19" fillId="0" borderId="28" xfId="541" applyFont="1" applyBorder="1" applyAlignment="1">
      <alignment horizontal="center"/>
    </xf>
    <xf numFmtId="0" fontId="19" fillId="0" borderId="29" xfId="541" applyFont="1" applyBorder="1" applyAlignment="1">
      <alignment horizontal="center"/>
    </xf>
    <xf numFmtId="0" fontId="18" fillId="0" borderId="30" xfId="541" applyFont="1" applyBorder="1" applyAlignment="1">
      <alignment horizontal="center" vertical="center" wrapText="1"/>
    </xf>
    <xf numFmtId="0" fontId="18" fillId="0" borderId="31" xfId="541" applyFont="1" applyBorder="1" applyAlignment="1">
      <alignment horizontal="center" vertical="center" wrapText="1"/>
    </xf>
    <xf numFmtId="0" fontId="19" fillId="0" borderId="32" xfId="541" applyFont="1" applyBorder="1" applyAlignment="1">
      <alignment horizontal="center"/>
    </xf>
    <xf numFmtId="0" fontId="19" fillId="0" borderId="33" xfId="541" applyFont="1" applyBorder="1" applyAlignment="1">
      <alignment horizontal="center"/>
    </xf>
    <xf numFmtId="0" fontId="18" fillId="0" borderId="34" xfId="541" applyFont="1" applyBorder="1" applyAlignment="1">
      <alignment horizontal="center" vertical="center" wrapText="1"/>
    </xf>
    <xf numFmtId="0" fontId="18" fillId="0" borderId="35" xfId="541" applyFont="1" applyBorder="1" applyAlignment="1">
      <alignment horizontal="center" vertical="center" wrapText="1"/>
    </xf>
    <xf numFmtId="16" fontId="19" fillId="0" borderId="33" xfId="541" quotePrefix="1" applyNumberFormat="1" applyFont="1" applyBorder="1" applyAlignment="1">
      <alignment horizontal="center"/>
    </xf>
    <xf numFmtId="16" fontId="19" fillId="0" borderId="12" xfId="541" quotePrefix="1" applyNumberFormat="1" applyFont="1" applyBorder="1" applyAlignment="1">
      <alignment horizontal="center"/>
    </xf>
    <xf numFmtId="0" fontId="18" fillId="0" borderId="36" xfId="541" applyFont="1" applyBorder="1" applyAlignment="1">
      <alignment horizontal="center" vertical="center" wrapText="1"/>
    </xf>
    <xf numFmtId="0" fontId="20" fillId="0" borderId="37" xfId="541" applyFont="1" applyBorder="1" applyAlignment="1">
      <alignment horizontal="center" vertical="center" wrapText="1"/>
    </xf>
    <xf numFmtId="0" fontId="21" fillId="0" borderId="0" xfId="541" applyFont="1" applyFill="1" applyBorder="1" applyAlignment="1">
      <alignment horizontal="center"/>
    </xf>
    <xf numFmtId="0" fontId="21" fillId="0" borderId="0" xfId="541" applyFont="1" applyAlignment="1">
      <alignment horizontal="center"/>
    </xf>
    <xf numFmtId="0" fontId="21" fillId="0" borderId="39" xfId="541" applyFont="1" applyBorder="1" applyAlignment="1">
      <alignment horizontal="center"/>
    </xf>
    <xf numFmtId="0" fontId="21" fillId="0" borderId="40" xfId="541" applyFont="1" applyBorder="1" applyAlignment="1">
      <alignment horizontal="center"/>
    </xf>
    <xf numFmtId="0" fontId="21" fillId="0" borderId="1" xfId="541" applyFont="1" applyBorder="1" applyAlignment="1">
      <alignment horizontal="center"/>
    </xf>
    <xf numFmtId="0" fontId="21" fillId="0" borderId="12" xfId="541" applyFont="1" applyBorder="1" applyAlignment="1">
      <alignment horizontal="center"/>
    </xf>
    <xf numFmtId="0" fontId="21" fillId="0" borderId="10" xfId="541" applyFont="1" applyBorder="1" applyAlignment="1">
      <alignment horizontal="center"/>
    </xf>
    <xf numFmtId="0" fontId="18" fillId="0" borderId="0" xfId="541" applyFont="1"/>
    <xf numFmtId="0" fontId="19" fillId="0" borderId="0" xfId="541" applyFont="1"/>
    <xf numFmtId="0" fontId="19" fillId="0" borderId="0" xfId="541" applyFont="1" applyBorder="1" applyAlignment="1">
      <alignment horizontal="center"/>
    </xf>
    <xf numFmtId="0" fontId="22" fillId="0" borderId="0" xfId="541" applyFont="1"/>
    <xf numFmtId="0" fontId="18" fillId="0" borderId="41" xfId="541" applyFont="1" applyBorder="1" applyAlignment="1">
      <alignment horizontal="center" vertical="center" wrapText="1"/>
    </xf>
    <xf numFmtId="0" fontId="18" fillId="0" borderId="42" xfId="541" applyFont="1" applyBorder="1" applyAlignment="1">
      <alignment horizontal="center" vertical="center" wrapText="1"/>
    </xf>
    <xf numFmtId="0" fontId="18" fillId="0" borderId="37" xfId="541" applyFont="1" applyBorder="1" applyAlignment="1">
      <alignment horizontal="center" vertical="center" wrapText="1"/>
    </xf>
    <xf numFmtId="0" fontId="18" fillId="0" borderId="43" xfId="541" applyFont="1" applyBorder="1" applyAlignment="1">
      <alignment horizontal="center" vertical="center" wrapText="1"/>
    </xf>
    <xf numFmtId="0" fontId="18" fillId="5" borderId="0" xfId="541" applyFont="1" applyFill="1" applyAlignment="1">
      <alignment horizontal="center"/>
    </xf>
    <xf numFmtId="0" fontId="1" fillId="0" borderId="0" xfId="541" applyFont="1"/>
    <xf numFmtId="1" fontId="19" fillId="0" borderId="12" xfId="541" applyNumberFormat="1" applyFont="1" applyBorder="1" applyAlignment="1">
      <alignment horizontal="center"/>
    </xf>
    <xf numFmtId="1" fontId="1" fillId="0" borderId="0" xfId="541" applyNumberFormat="1"/>
    <xf numFmtId="1" fontId="18" fillId="0" borderId="0" xfId="541" applyNumberFormat="1" applyFont="1"/>
    <xf numFmtId="1" fontId="19" fillId="0" borderId="0" xfId="541" applyNumberFormat="1" applyFont="1"/>
    <xf numFmtId="1" fontId="21" fillId="0" borderId="0" xfId="541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19" fillId="0" borderId="33" xfId="541" applyFont="1" applyBorder="1" applyAlignment="1">
      <alignment horizontal="center"/>
    </xf>
    <xf numFmtId="0" fontId="19" fillId="0" borderId="1" xfId="541" applyFont="1" applyBorder="1" applyAlignment="1">
      <alignment horizontal="center"/>
    </xf>
    <xf numFmtId="0" fontId="19" fillId="0" borderId="22" xfId="541" applyFont="1" applyBorder="1" applyAlignment="1">
      <alignment horizontal="center"/>
    </xf>
    <xf numFmtId="0" fontId="19" fillId="0" borderId="21" xfId="541" applyFont="1" applyBorder="1" applyAlignment="1">
      <alignment horizontal="center"/>
    </xf>
    <xf numFmtId="0" fontId="21" fillId="0" borderId="1" xfId="541" applyFont="1" applyBorder="1" applyAlignment="1">
      <alignment horizontal="center"/>
    </xf>
    <xf numFmtId="0" fontId="21" fillId="0" borderId="10" xfId="541" applyFont="1" applyBorder="1" applyAlignment="1">
      <alignment horizontal="center"/>
    </xf>
    <xf numFmtId="0" fontId="21" fillId="0" borderId="39" xfId="541" applyFont="1" applyBorder="1" applyAlignment="1">
      <alignment horizontal="center"/>
    </xf>
    <xf numFmtId="0" fontId="21" fillId="0" borderId="38" xfId="541" applyFont="1" applyBorder="1" applyAlignment="1">
      <alignment horizontal="center"/>
    </xf>
    <xf numFmtId="0" fontId="19" fillId="0" borderId="0" xfId="541" applyFont="1" applyBorder="1" applyAlignment="1">
      <alignment horizontal="center"/>
    </xf>
    <xf numFmtId="0" fontId="21" fillId="0" borderId="40" xfId="541" applyFont="1" applyBorder="1" applyAlignment="1">
      <alignment horizontal="center"/>
    </xf>
  </cellXfs>
  <cellStyles count="56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Normal" xfId="0" builtinId="0"/>
    <cellStyle name="Normal 2" xfId="418"/>
    <cellStyle name="Normal 3" xfId="541"/>
    <cellStyle name="Percent" xfId="8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zoomScale="125" zoomScaleNormal="125" zoomScalePageLayoutView="125" workbookViewId="0">
      <selection activeCell="C64" sqref="C64"/>
    </sheetView>
  </sheetViews>
  <sheetFormatPr baseColWidth="10" defaultRowHeight="13" x14ac:dyDescent="0"/>
  <cols>
    <col min="1" max="1" width="21.7109375" customWidth="1"/>
    <col min="2" max="2" width="11.42578125" customWidth="1"/>
    <col min="3" max="4" width="11.42578125" bestFit="1" customWidth="1"/>
    <col min="5" max="5" width="11.28515625" customWidth="1"/>
    <col min="6" max="6" width="10.85546875" customWidth="1"/>
    <col min="7" max="7" width="12.28515625" customWidth="1"/>
    <col min="8" max="8" width="18.5703125" customWidth="1"/>
    <col min="9" max="9" width="12.140625" customWidth="1"/>
    <col min="10" max="10" width="12" customWidth="1"/>
    <col min="11" max="11" width="11" bestFit="1" customWidth="1"/>
    <col min="12" max="12" width="12.140625" customWidth="1"/>
    <col min="13" max="13" width="12.28515625" customWidth="1"/>
    <col min="14" max="14" width="13.5703125" customWidth="1"/>
    <col min="15" max="15" width="13.140625" customWidth="1"/>
    <col min="18" max="18" width="5.140625" customWidth="1"/>
    <col min="19" max="19" width="5" customWidth="1"/>
    <col min="20" max="21" width="5.42578125" customWidth="1"/>
    <col min="22" max="22" width="5.28515625" customWidth="1"/>
    <col min="23" max="23" width="5.42578125" customWidth="1"/>
  </cols>
  <sheetData>
    <row r="1" spans="1:23">
      <c r="B1" s="135" t="s">
        <v>17</v>
      </c>
      <c r="C1" s="135"/>
      <c r="D1" s="135"/>
      <c r="E1" s="135"/>
    </row>
    <row r="2" spans="1:23">
      <c r="B2" s="25"/>
      <c r="C2" s="25" t="s">
        <v>15</v>
      </c>
      <c r="D2" s="25" t="s">
        <v>58</v>
      </c>
      <c r="E2" s="25" t="s">
        <v>16</v>
      </c>
    </row>
    <row r="3" spans="1:23">
      <c r="B3" s="25" t="s">
        <v>10</v>
      </c>
      <c r="C3" s="25">
        <v>3</v>
      </c>
      <c r="D3" s="25" t="s">
        <v>12</v>
      </c>
      <c r="E3" s="25">
        <v>2</v>
      </c>
    </row>
    <row r="4" spans="1:23">
      <c r="B4" s="25" t="s">
        <v>11</v>
      </c>
      <c r="C4" s="25">
        <v>1</v>
      </c>
      <c r="D4" s="25" t="s">
        <v>12</v>
      </c>
      <c r="E4" s="25">
        <v>5</v>
      </c>
    </row>
    <row r="5" spans="1:23">
      <c r="B5" s="42" t="s">
        <v>15</v>
      </c>
      <c r="C5" s="42" t="s">
        <v>12</v>
      </c>
      <c r="D5" s="42">
        <v>3</v>
      </c>
      <c r="E5" s="42" t="s">
        <v>12</v>
      </c>
    </row>
    <row r="7" spans="1:23" ht="16" customHeight="1">
      <c r="O7" s="137"/>
      <c r="P7" s="137"/>
      <c r="Q7" s="138"/>
      <c r="R7" s="135" t="s">
        <v>33</v>
      </c>
      <c r="S7" s="135"/>
      <c r="T7" s="135"/>
      <c r="U7" s="135"/>
      <c r="V7" s="135"/>
      <c r="W7" s="135"/>
    </row>
    <row r="8" spans="1:23" ht="27">
      <c r="A8" s="29" t="s">
        <v>56</v>
      </c>
      <c r="H8" s="29" t="s">
        <v>56</v>
      </c>
      <c r="N8" s="47" t="s">
        <v>88</v>
      </c>
      <c r="O8" s="47" t="s">
        <v>32</v>
      </c>
      <c r="P8" s="47" t="s">
        <v>36</v>
      </c>
      <c r="Q8" s="47" t="s">
        <v>35</v>
      </c>
      <c r="R8" s="47" t="s">
        <v>37</v>
      </c>
      <c r="S8" s="47" t="s">
        <v>38</v>
      </c>
      <c r="T8" s="47" t="s">
        <v>39</v>
      </c>
      <c r="U8" s="47" t="s">
        <v>60</v>
      </c>
      <c r="V8" s="47" t="s">
        <v>63</v>
      </c>
      <c r="W8" s="47" t="s">
        <v>64</v>
      </c>
    </row>
    <row r="9" spans="1:23">
      <c r="A9" s="1" t="s">
        <v>8</v>
      </c>
      <c r="H9" s="1" t="s">
        <v>9</v>
      </c>
      <c r="N9" s="3" t="s">
        <v>8</v>
      </c>
      <c r="O9" s="14">
        <f>(B13+C13+D13)-(B15+C15+D15)</f>
        <v>40909.999999999993</v>
      </c>
      <c r="P9" s="14">
        <f>O9/3</f>
        <v>13636.666666666664</v>
      </c>
      <c r="Q9" s="3">
        <f>11520*4.33</f>
        <v>49881.599999999999</v>
      </c>
      <c r="R9" s="49">
        <f>+Q9/P9</f>
        <v>3.6579027132730388</v>
      </c>
      <c r="S9" s="49">
        <f>+Q9/P9</f>
        <v>3.6579027132730388</v>
      </c>
      <c r="T9" s="49">
        <f>+Q9/P9</f>
        <v>3.6579027132730388</v>
      </c>
      <c r="U9" s="49">
        <f>+Q9/P9</f>
        <v>3.6579027132730388</v>
      </c>
      <c r="V9" s="49">
        <f>U9</f>
        <v>3.6579027132730388</v>
      </c>
      <c r="W9" s="49">
        <f>V9</f>
        <v>3.6579027132730388</v>
      </c>
    </row>
    <row r="10" spans="1:23">
      <c r="A10" s="2" t="s">
        <v>2</v>
      </c>
      <c r="B10" s="6">
        <v>1</v>
      </c>
      <c r="C10" s="6">
        <v>2</v>
      </c>
      <c r="D10" s="6">
        <v>3</v>
      </c>
      <c r="E10" s="123" t="s">
        <v>148</v>
      </c>
      <c r="H10" s="2" t="s">
        <v>2</v>
      </c>
      <c r="I10" s="6">
        <v>1</v>
      </c>
      <c r="J10" s="6">
        <v>2</v>
      </c>
      <c r="K10" s="6">
        <v>3</v>
      </c>
      <c r="L10" s="123" t="s">
        <v>148</v>
      </c>
      <c r="N10" s="3" t="s">
        <v>9</v>
      </c>
      <c r="O10" s="14">
        <f>(I13+J13+K13+J14)-(I15+J15+K15)</f>
        <v>55171</v>
      </c>
      <c r="P10" s="14">
        <f>O10/3</f>
        <v>18390.333333333332</v>
      </c>
      <c r="Q10" s="3">
        <f>Q9</f>
        <v>49881.599999999999</v>
      </c>
      <c r="R10" s="49">
        <f>+Q10/P10</f>
        <v>2.7123815047760598</v>
      </c>
      <c r="S10" s="49">
        <f>+Q10/P10</f>
        <v>2.7123815047760598</v>
      </c>
      <c r="T10" s="49">
        <f>+Q10/P10</f>
        <v>2.7123815047760598</v>
      </c>
      <c r="U10" s="49">
        <f>+Q10/P10</f>
        <v>2.7123815047760598</v>
      </c>
      <c r="V10" s="49">
        <f>U10</f>
        <v>2.7123815047760598</v>
      </c>
      <c r="W10" s="49">
        <f>V10</f>
        <v>2.7123815047760598</v>
      </c>
    </row>
    <row r="11" spans="1:23">
      <c r="A11" s="3" t="s">
        <v>3</v>
      </c>
      <c r="B11" s="26">
        <v>10800</v>
      </c>
      <c r="C11" s="26">
        <v>12990</v>
      </c>
      <c r="D11" s="26">
        <v>17320</v>
      </c>
      <c r="H11" s="3" t="s">
        <v>3</v>
      </c>
      <c r="I11" s="26">
        <v>13000</v>
      </c>
      <c r="J11" s="26">
        <v>25114</v>
      </c>
      <c r="K11" s="26">
        <v>13856</v>
      </c>
      <c r="N11" s="3" t="s">
        <v>34</v>
      </c>
      <c r="O11" s="14">
        <f>(B41+C41+D41)-(C37+D37+E37)</f>
        <v>193831.30983203146</v>
      </c>
      <c r="P11" s="14">
        <f>O11/3</f>
        <v>64610.436610677156</v>
      </c>
      <c r="Q11" s="3">
        <f>Q10</f>
        <v>49881.599999999999</v>
      </c>
      <c r="R11" s="49">
        <f>+Q11/P11</f>
        <v>0.77203626250928081</v>
      </c>
      <c r="S11" s="49">
        <f>+Q11/P11</f>
        <v>0.77203626250928081</v>
      </c>
      <c r="T11" s="49">
        <f>+Q11/P11</f>
        <v>0.77203626250928081</v>
      </c>
      <c r="U11" s="49"/>
      <c r="V11" s="49"/>
      <c r="W11" s="49"/>
    </row>
    <row r="12" spans="1:23">
      <c r="A12" s="3" t="s">
        <v>4</v>
      </c>
      <c r="B12" s="26">
        <v>500</v>
      </c>
      <c r="C12" s="8">
        <f>B18</f>
        <v>3336.6666666666661</v>
      </c>
      <c r="D12" s="8">
        <f>C18</f>
        <v>3983.3333333333321</v>
      </c>
      <c r="H12" s="3" t="s">
        <v>4</v>
      </c>
      <c r="I12" s="30">
        <v>500</v>
      </c>
      <c r="J12" s="8">
        <f>I18</f>
        <v>4756.6666666666679</v>
      </c>
      <c r="K12" s="8">
        <f>J18</f>
        <v>300.33333333333576</v>
      </c>
      <c r="N12" s="3" t="s">
        <v>61</v>
      </c>
      <c r="O12" s="14">
        <f>(B59+C59+D59)-(D55+E55+F55)</f>
        <v>594202.50269007427</v>
      </c>
      <c r="P12" s="14">
        <f>O12/3</f>
        <v>198067.50089669143</v>
      </c>
      <c r="Q12" s="3">
        <f>Q11</f>
        <v>49881.599999999999</v>
      </c>
      <c r="R12" s="49">
        <f>+Q12/P12</f>
        <v>0.25184141655837511</v>
      </c>
      <c r="S12" s="49">
        <f>+Q12/P12</f>
        <v>0.25184141655837511</v>
      </c>
      <c r="T12" s="49"/>
      <c r="U12" s="49"/>
      <c r="V12" s="49"/>
      <c r="W12" s="49"/>
    </row>
    <row r="13" spans="1:23">
      <c r="A13" s="3" t="s">
        <v>5</v>
      </c>
      <c r="B13" s="8">
        <f>C21</f>
        <v>14784.004994492203</v>
      </c>
      <c r="C13" s="8">
        <f>C21</f>
        <v>14784.004994492203</v>
      </c>
      <c r="D13" s="8">
        <f>C21</f>
        <v>14784.004994492203</v>
      </c>
      <c r="H13" s="3" t="s">
        <v>5</v>
      </c>
      <c r="I13" s="8">
        <f>J21</f>
        <v>18708.578307623109</v>
      </c>
      <c r="J13" s="8">
        <f>J21</f>
        <v>18708.578307623109</v>
      </c>
      <c r="K13" s="8">
        <f>J21</f>
        <v>18708.578307623109</v>
      </c>
    </row>
    <row r="14" spans="1:23">
      <c r="A14" s="32" t="s">
        <v>53</v>
      </c>
      <c r="B14" s="30">
        <v>0</v>
      </c>
      <c r="C14" s="30">
        <v>0</v>
      </c>
      <c r="D14" s="30">
        <v>0</v>
      </c>
      <c r="H14" s="32" t="s">
        <v>53</v>
      </c>
      <c r="I14" s="30">
        <v>0</v>
      </c>
      <c r="J14" s="8">
        <f>K22</f>
        <v>3687.1474690492291</v>
      </c>
      <c r="K14" s="30">
        <v>0</v>
      </c>
    </row>
    <row r="15" spans="1:23">
      <c r="A15" s="3" t="s">
        <v>50</v>
      </c>
      <c r="B15" s="8">
        <f>(B13+B14)*$B$27</f>
        <v>1147.3383278255371</v>
      </c>
      <c r="C15" s="8">
        <f>(C13+C14)*$B$27</f>
        <v>1147.3383278255371</v>
      </c>
      <c r="D15" s="8">
        <f>(D13+D14)*$B$27</f>
        <v>1147.3383278255371</v>
      </c>
      <c r="H15" s="3" t="s">
        <v>46</v>
      </c>
      <c r="I15" s="8">
        <f>(I13+I14)*$C$27</f>
        <v>1451.9116409564424</v>
      </c>
      <c r="J15" s="8">
        <f>(J13+J14)*$C$27</f>
        <v>1738.0591100056713</v>
      </c>
      <c r="K15" s="8">
        <f>(K13+K14)*$C$27</f>
        <v>1451.9116409564424</v>
      </c>
    </row>
    <row r="16" spans="1:23">
      <c r="A16" s="3" t="s">
        <v>6</v>
      </c>
      <c r="B16" s="8">
        <f>B12+B14+B13-B15</f>
        <v>14136.666666666666</v>
      </c>
      <c r="C16" s="8">
        <f>C12+C14+C13-C15</f>
        <v>16973.333333333332</v>
      </c>
      <c r="D16" s="8">
        <f>D12+D14+D13-D15</f>
        <v>17619.999999999996</v>
      </c>
      <c r="H16" s="3" t="s">
        <v>6</v>
      </c>
      <c r="I16" s="8">
        <f>I12+I14+I13-I15</f>
        <v>17756.666666666668</v>
      </c>
      <c r="J16" s="8">
        <f>J12+J14+J13-J15</f>
        <v>25414.333333333336</v>
      </c>
      <c r="K16" s="8">
        <f>K12+K14+K13-K15</f>
        <v>17557.000000000004</v>
      </c>
    </row>
    <row r="17" spans="1:13">
      <c r="A17" s="3" t="s">
        <v>0</v>
      </c>
      <c r="B17" s="8">
        <f>B11</f>
        <v>10800</v>
      </c>
      <c r="C17" s="8">
        <f>C11</f>
        <v>12990</v>
      </c>
      <c r="D17" s="8">
        <f>D11</f>
        <v>17320</v>
      </c>
      <c r="H17" s="3" t="s">
        <v>0</v>
      </c>
      <c r="I17" s="8">
        <f>I11</f>
        <v>13000</v>
      </c>
      <c r="J17" s="8">
        <f>J11</f>
        <v>25114</v>
      </c>
      <c r="K17" s="8">
        <f>K11</f>
        <v>13856</v>
      </c>
    </row>
    <row r="18" spans="1:13">
      <c r="A18" s="3" t="s">
        <v>1</v>
      </c>
      <c r="B18" s="8">
        <f>B16-B17</f>
        <v>3336.6666666666661</v>
      </c>
      <c r="C18" s="8">
        <f>C16-C17</f>
        <v>3983.3333333333321</v>
      </c>
      <c r="D18" s="8">
        <f>D16-D17</f>
        <v>299.99999999999636</v>
      </c>
      <c r="H18" s="3" t="s">
        <v>1</v>
      </c>
      <c r="I18" s="8">
        <f>I16-I17</f>
        <v>4756.6666666666679</v>
      </c>
      <c r="J18" s="8">
        <f>J16-J17</f>
        <v>300.33333333333576</v>
      </c>
      <c r="K18" s="8">
        <f>K16-K17</f>
        <v>3701.0000000000036</v>
      </c>
    </row>
    <row r="19" spans="1:13">
      <c r="A19" s="4"/>
      <c r="B19" s="7"/>
      <c r="C19" s="7"/>
      <c r="D19" s="7"/>
      <c r="H19" s="4"/>
      <c r="I19" s="7"/>
      <c r="J19" s="7"/>
      <c r="K19" s="7"/>
    </row>
    <row r="20" spans="1:13">
      <c r="A20" s="17"/>
      <c r="B20" s="9"/>
      <c r="C20" s="9"/>
      <c r="D20" s="9"/>
      <c r="E20" s="10"/>
      <c r="F20" s="10"/>
      <c r="G20" s="10"/>
    </row>
    <row r="21" spans="1:13">
      <c r="A21" s="16" t="s">
        <v>84</v>
      </c>
      <c r="B21" s="34">
        <f>((B11+C11+D11)+B25-B12)/3</f>
        <v>13636.666666666666</v>
      </c>
      <c r="C21" s="34">
        <f>B21/B26</f>
        <v>14784.004994492203</v>
      </c>
      <c r="D21" s="9"/>
      <c r="E21" s="10"/>
      <c r="F21" s="10"/>
      <c r="G21" s="10"/>
      <c r="H21" s="16" t="s">
        <v>84</v>
      </c>
      <c r="I21" s="34">
        <f>((I11+J11+K11)+C25-I12)/3</f>
        <v>17256.666666666668</v>
      </c>
      <c r="J21" s="34">
        <f>I21/C26</f>
        <v>18708.578307623109</v>
      </c>
    </row>
    <row r="22" spans="1:13">
      <c r="A22" s="17"/>
      <c r="B22" s="9"/>
      <c r="C22" s="9"/>
      <c r="D22" s="9"/>
      <c r="E22" s="10"/>
      <c r="F22" s="10"/>
      <c r="G22" s="10"/>
      <c r="H22" s="16" t="s">
        <v>53</v>
      </c>
      <c r="I22" s="41">
        <f>J11+C25</f>
        <v>25414</v>
      </c>
      <c r="J22" s="11">
        <f>4757+18358-1102</f>
        <v>22013</v>
      </c>
      <c r="K22" s="12">
        <f>(I22-J22)/C26</f>
        <v>3687.1474690492291</v>
      </c>
    </row>
    <row r="23" spans="1:13">
      <c r="A23" s="17"/>
      <c r="B23" s="9"/>
      <c r="C23" s="9"/>
      <c r="D23" s="9"/>
      <c r="E23" s="10"/>
      <c r="F23" s="10"/>
      <c r="G23" s="10"/>
    </row>
    <row r="24" spans="1:13">
      <c r="A24" s="17"/>
      <c r="B24" s="9" t="s">
        <v>10</v>
      </c>
      <c r="C24" s="9" t="s">
        <v>11</v>
      </c>
      <c r="D24" s="9" t="s">
        <v>15</v>
      </c>
      <c r="E24" s="9" t="s">
        <v>58</v>
      </c>
      <c r="F24" s="9" t="s">
        <v>16</v>
      </c>
      <c r="G24" s="9"/>
    </row>
    <row r="25" spans="1:13">
      <c r="A25" s="16" t="s">
        <v>49</v>
      </c>
      <c r="B25" s="33">
        <v>300</v>
      </c>
      <c r="C25" s="33">
        <v>300</v>
      </c>
      <c r="D25" s="33">
        <v>500</v>
      </c>
      <c r="E25" s="33">
        <v>500</v>
      </c>
      <c r="F25" s="33">
        <v>500</v>
      </c>
      <c r="G25" s="33"/>
      <c r="J25" s="5"/>
    </row>
    <row r="26" spans="1:13">
      <c r="A26" t="s">
        <v>13</v>
      </c>
      <c r="B26" s="20">
        <f>F74</f>
        <v>0.92239326703061997</v>
      </c>
      <c r="C26" s="20">
        <f>F74</f>
        <v>0.92239326703061997</v>
      </c>
      <c r="D26" s="20">
        <f>F81</f>
        <v>0.98012873</v>
      </c>
      <c r="E26" s="20">
        <f>F85</f>
        <v>0.98604499999999995</v>
      </c>
      <c r="J26" s="5"/>
    </row>
    <row r="27" spans="1:13">
      <c r="A27" t="s">
        <v>14</v>
      </c>
      <c r="B27" s="45">
        <f>1-B26</f>
        <v>7.7606732969380032E-2</v>
      </c>
      <c r="C27" s="45">
        <f>1-C26</f>
        <v>7.7606732969380032E-2</v>
      </c>
      <c r="D27" s="45">
        <f>1-D26</f>
        <v>1.9871269999999996E-2</v>
      </c>
      <c r="E27" s="45">
        <f>1-E26</f>
        <v>1.3955000000000051E-2</v>
      </c>
    </row>
    <row r="28" spans="1:13">
      <c r="A28" t="s">
        <v>21</v>
      </c>
      <c r="B28" s="12"/>
      <c r="C28" s="12"/>
      <c r="D28" s="12"/>
      <c r="F28" s="21">
        <v>0.04</v>
      </c>
      <c r="G28" s="21"/>
    </row>
    <row r="29" spans="1:13">
      <c r="A29" t="s">
        <v>52</v>
      </c>
      <c r="B29" s="12">
        <v>500</v>
      </c>
      <c r="C29" s="12">
        <v>500</v>
      </c>
      <c r="D29" s="12">
        <v>700</v>
      </c>
      <c r="E29" s="12">
        <v>700</v>
      </c>
      <c r="F29" s="12">
        <v>700</v>
      </c>
      <c r="G29" s="12"/>
    </row>
    <row r="32" spans="1:13">
      <c r="A32" s="3"/>
      <c r="B32" s="136" t="s">
        <v>7</v>
      </c>
      <c r="C32" s="136"/>
      <c r="D32" s="136"/>
      <c r="E32" s="136"/>
      <c r="F32" s="123" t="s">
        <v>148</v>
      </c>
      <c r="G32" s="22"/>
      <c r="H32" s="3"/>
      <c r="I32" s="136" t="s">
        <v>7</v>
      </c>
      <c r="J32" s="136"/>
      <c r="K32" s="136"/>
      <c r="L32" s="136"/>
      <c r="M32" s="123" t="s">
        <v>148</v>
      </c>
    </row>
    <row r="33" spans="1:13">
      <c r="A33" s="13" t="s">
        <v>57</v>
      </c>
      <c r="B33" s="19">
        <v>0</v>
      </c>
      <c r="C33" s="19">
        <v>1</v>
      </c>
      <c r="D33" s="19">
        <v>2</v>
      </c>
      <c r="E33" s="19">
        <v>3</v>
      </c>
      <c r="F33" s="17"/>
      <c r="G33" s="17"/>
      <c r="H33" s="13" t="s">
        <v>150</v>
      </c>
      <c r="I33" s="19">
        <v>0</v>
      </c>
      <c r="J33" s="19">
        <v>1</v>
      </c>
      <c r="K33" s="19">
        <v>2</v>
      </c>
      <c r="L33" s="19">
        <v>3</v>
      </c>
    </row>
    <row r="34" spans="1:13">
      <c r="A34" s="3" t="s">
        <v>48</v>
      </c>
      <c r="B34" s="3"/>
      <c r="C34" s="14">
        <f>D29</f>
        <v>700</v>
      </c>
      <c r="D34" s="14">
        <f>C40</f>
        <v>1862.3824896830702</v>
      </c>
      <c r="E34" s="14">
        <f>D40</f>
        <v>500</v>
      </c>
      <c r="F34" s="17"/>
      <c r="G34" s="17"/>
      <c r="H34" s="3" t="s">
        <v>48</v>
      </c>
      <c r="I34" s="3"/>
      <c r="J34" s="14">
        <f>+F29</f>
        <v>700</v>
      </c>
      <c r="K34" s="14">
        <f>J38</f>
        <v>565.09847290004836</v>
      </c>
      <c r="L34" s="14">
        <f>K38</f>
        <v>522.45960055396426</v>
      </c>
    </row>
    <row r="35" spans="1:13">
      <c r="A35" s="3" t="s">
        <v>47</v>
      </c>
      <c r="B35" s="3"/>
      <c r="C35" s="14">
        <f>B41</f>
        <v>65525.041573654089</v>
      </c>
      <c r="D35" s="14">
        <f>C46</f>
        <v>65525.041573654089</v>
      </c>
      <c r="E35" s="14">
        <f>D41</f>
        <v>65525.041573654089</v>
      </c>
      <c r="F35" s="18"/>
      <c r="G35" s="18"/>
      <c r="H35" s="3" t="s">
        <v>77</v>
      </c>
      <c r="I35" s="3"/>
      <c r="J35" s="14">
        <f>I39*(1-$F$28)</f>
        <v>122976</v>
      </c>
      <c r="K35" s="14">
        <f t="shared" ref="K35:L35" si="0">J39*(1-$F$28)</f>
        <v>141504</v>
      </c>
      <c r="L35" s="14">
        <f t="shared" si="0"/>
        <v>123168</v>
      </c>
    </row>
    <row r="36" spans="1:13">
      <c r="A36" t="s">
        <v>53</v>
      </c>
      <c r="B36" s="3"/>
      <c r="C36" s="3">
        <v>0</v>
      </c>
      <c r="D36" s="14">
        <f>B48</f>
        <v>1185.9487984635343</v>
      </c>
      <c r="E36" s="3">
        <v>0</v>
      </c>
      <c r="H36" s="3" t="s">
        <v>44</v>
      </c>
      <c r="I36" s="3"/>
      <c r="J36" s="14">
        <f>+J34+J35</f>
        <v>123676</v>
      </c>
      <c r="K36" s="14">
        <f t="shared" ref="K36:L36" si="1">+K34+K35</f>
        <v>142069.09847290005</v>
      </c>
      <c r="L36" s="14">
        <f t="shared" si="1"/>
        <v>123690.45960055396</v>
      </c>
    </row>
    <row r="37" spans="1:13">
      <c r="A37" s="3" t="s">
        <v>46</v>
      </c>
      <c r="B37" s="3"/>
      <c r="C37" s="14">
        <f>C35*$D$27</f>
        <v>1302.0657928713051</v>
      </c>
      <c r="D37" s="14">
        <f>(D35+D36)*$D$27</f>
        <v>1325.6321016517495</v>
      </c>
      <c r="E37" s="14">
        <f>E35*$D$27</f>
        <v>1302.0657928713051</v>
      </c>
      <c r="F37" s="18"/>
      <c r="G37" s="18"/>
      <c r="H37" s="3" t="s">
        <v>43</v>
      </c>
      <c r="I37" s="3"/>
      <c r="J37" s="14">
        <f>I42</f>
        <v>123110.90152709995</v>
      </c>
      <c r="K37" s="14">
        <f>I43</f>
        <v>141546.63887234608</v>
      </c>
      <c r="L37" s="14">
        <f>I44</f>
        <v>123110.90152709995</v>
      </c>
    </row>
    <row r="38" spans="1:13">
      <c r="A38" s="3" t="s">
        <v>44</v>
      </c>
      <c r="B38" s="3"/>
      <c r="C38" s="14">
        <f>C34+C35-C37</f>
        <v>64922.975780782785</v>
      </c>
      <c r="D38" s="14">
        <f>D34+D35+D36-D37</f>
        <v>67247.740760148939</v>
      </c>
      <c r="E38" s="14">
        <f>E34+E35-E37</f>
        <v>64722.975780782785</v>
      </c>
      <c r="F38" s="17"/>
      <c r="G38" s="17"/>
      <c r="H38" s="3" t="s">
        <v>45</v>
      </c>
      <c r="I38" s="3"/>
      <c r="J38" s="14">
        <f>J36-J37</f>
        <v>565.09847290004836</v>
      </c>
      <c r="K38" s="14">
        <f>K36-K37</f>
        <v>522.45960055396426</v>
      </c>
      <c r="L38" s="14">
        <f>L36-L37</f>
        <v>579.55807345401263</v>
      </c>
    </row>
    <row r="39" spans="1:13">
      <c r="A39" s="3" t="s">
        <v>43</v>
      </c>
      <c r="B39" s="3"/>
      <c r="C39" s="14">
        <f>B43</f>
        <v>63060.593291099714</v>
      </c>
      <c r="D39" s="14">
        <f>B44</f>
        <v>66747.740760148939</v>
      </c>
      <c r="E39" s="14">
        <f>B45</f>
        <v>63060.593291099714</v>
      </c>
      <c r="F39" s="17"/>
      <c r="G39" s="17"/>
      <c r="H39" s="3" t="s">
        <v>41</v>
      </c>
      <c r="I39" s="14">
        <f>L42</f>
        <v>128100</v>
      </c>
      <c r="J39" s="14">
        <f>L43</f>
        <v>147400</v>
      </c>
      <c r="K39" s="14">
        <f>L44</f>
        <v>128300</v>
      </c>
      <c r="L39" s="15"/>
    </row>
    <row r="40" spans="1:13">
      <c r="A40" s="3" t="s">
        <v>45</v>
      </c>
      <c r="B40" s="3"/>
      <c r="C40" s="14">
        <f>C38-C39</f>
        <v>1862.3824896830702</v>
      </c>
      <c r="D40" s="14">
        <f>D38-D39</f>
        <v>500</v>
      </c>
      <c r="E40" s="14">
        <f>E38-E39</f>
        <v>1662.3824896830702</v>
      </c>
      <c r="F40" s="17"/>
      <c r="G40" s="17"/>
    </row>
    <row r="41" spans="1:13">
      <c r="A41" s="3" t="s">
        <v>41</v>
      </c>
      <c r="B41" s="14">
        <f>C46</f>
        <v>65525.041573654089</v>
      </c>
      <c r="C41" s="14">
        <f>B47</f>
        <v>66710.990372117623</v>
      </c>
      <c r="D41" s="14">
        <f>C46</f>
        <v>65525.041573654089</v>
      </c>
      <c r="E41" s="15"/>
      <c r="F41" s="23"/>
      <c r="G41" s="23"/>
      <c r="J41" s="41"/>
    </row>
    <row r="42" spans="1:13" ht="15">
      <c r="H42" t="s">
        <v>65</v>
      </c>
      <c r="I42" s="11">
        <f>+(B13*$E$3)+(I13*$E$4)</f>
        <v>123110.90152709995</v>
      </c>
      <c r="J42" s="41" t="s">
        <v>68</v>
      </c>
      <c r="K42" s="12">
        <f>+((I42+$F$25)-J34)/(1-$F$28)</f>
        <v>128032.18909072912</v>
      </c>
      <c r="L42">
        <f>CEILING(K42,100)</f>
        <v>128100</v>
      </c>
    </row>
    <row r="43" spans="1:13" ht="15">
      <c r="A43" t="s">
        <v>18</v>
      </c>
      <c r="B43" s="11">
        <f>(B13*$C$3)+(I13*$C$4)</f>
        <v>63060.593291099714</v>
      </c>
      <c r="C43" s="27"/>
      <c r="H43" t="s">
        <v>66</v>
      </c>
      <c r="I43" s="11">
        <f>+(C13*$E$3)+((J13+J14)*$E$4)</f>
        <v>141546.63887234608</v>
      </c>
      <c r="J43" s="41" t="s">
        <v>69</v>
      </c>
      <c r="K43" s="12">
        <f>+((I43+$F$25)-K34)/(1-$F$28)</f>
        <v>147376.60458275629</v>
      </c>
      <c r="L43">
        <f>CEILING(K43,100)</f>
        <v>147400</v>
      </c>
      <c r="M43" s="12"/>
    </row>
    <row r="44" spans="1:13" ht="15">
      <c r="A44" t="s">
        <v>19</v>
      </c>
      <c r="B44" s="11">
        <f>(C13*$C$3)+((J13+J14)*$C$4)</f>
        <v>66747.740760148939</v>
      </c>
      <c r="C44" s="27"/>
      <c r="H44" t="s">
        <v>67</v>
      </c>
      <c r="I44" s="11">
        <f>(D13*$E$3)+(K13*$E$4)</f>
        <v>123110.90152709995</v>
      </c>
      <c r="J44" s="41" t="s">
        <v>70</v>
      </c>
      <c r="K44" s="12">
        <f>+((I44+$F$25)-L34)/(1-$F$28)</f>
        <v>128217.12700681874</v>
      </c>
      <c r="L44">
        <f>CEILING(K44,100)</f>
        <v>128300</v>
      </c>
      <c r="M44" s="12"/>
    </row>
    <row r="45" spans="1:13" ht="15">
      <c r="A45" t="s">
        <v>20</v>
      </c>
      <c r="B45" s="11">
        <f>(D13*$C$3)+(K13*$C$4)</f>
        <v>63060.593291099714</v>
      </c>
      <c r="C45" s="27"/>
      <c r="M45" s="12"/>
    </row>
    <row r="46" spans="1:13">
      <c r="A46" t="s">
        <v>40</v>
      </c>
      <c r="B46" s="11">
        <f>(B43+B44+B45+D25-D29)/3</f>
        <v>64222.975780782785</v>
      </c>
      <c r="C46" s="11">
        <f>B46/D26</f>
        <v>65525.041573654089</v>
      </c>
      <c r="I46" s="11"/>
      <c r="J46" s="41"/>
    </row>
    <row r="47" spans="1:13">
      <c r="A47" t="s">
        <v>54</v>
      </c>
      <c r="B47" s="11">
        <f>((B44+D25)-D34)/D26</f>
        <v>66710.990372117623</v>
      </c>
      <c r="C47" s="27"/>
    </row>
    <row r="48" spans="1:13">
      <c r="A48" t="s">
        <v>53</v>
      </c>
      <c r="B48" s="11">
        <f>B47-C46</f>
        <v>1185.9487984635343</v>
      </c>
      <c r="C48" s="27"/>
      <c r="I48" s="11"/>
      <c r="J48" s="41"/>
    </row>
    <row r="50" spans="1:8">
      <c r="A50" s="3"/>
      <c r="B50" s="136" t="s">
        <v>7</v>
      </c>
      <c r="C50" s="136"/>
      <c r="D50" s="136"/>
      <c r="E50" s="136"/>
      <c r="F50" s="136"/>
      <c r="G50" s="136"/>
      <c r="H50" s="123" t="s">
        <v>148</v>
      </c>
    </row>
    <row r="51" spans="1:8">
      <c r="A51" s="13" t="s">
        <v>59</v>
      </c>
      <c r="B51" s="19">
        <v>-2</v>
      </c>
      <c r="C51" s="19">
        <v>-1</v>
      </c>
      <c r="D51" s="19">
        <v>0</v>
      </c>
      <c r="E51" s="19">
        <v>1</v>
      </c>
      <c r="F51" s="24">
        <v>2</v>
      </c>
      <c r="G51" s="24">
        <v>3</v>
      </c>
    </row>
    <row r="52" spans="1:8">
      <c r="A52" s="3" t="s">
        <v>72</v>
      </c>
      <c r="B52" s="3"/>
      <c r="C52" s="14"/>
      <c r="D52" s="14">
        <f>E29</f>
        <v>700</v>
      </c>
      <c r="E52" s="14">
        <f>D58</f>
        <v>1819.2821317968483</v>
      </c>
      <c r="F52" s="14">
        <f>E58</f>
        <v>500</v>
      </c>
      <c r="G52" s="14"/>
    </row>
    <row r="53" spans="1:8">
      <c r="A53" s="3" t="s">
        <v>71</v>
      </c>
      <c r="B53" s="3"/>
      <c r="C53" s="14"/>
      <c r="D53" s="14">
        <f>B59</f>
        <v>200492.27657232591</v>
      </c>
      <c r="E53" s="14">
        <f>C64</f>
        <v>200492.27657232591</v>
      </c>
      <c r="F53" s="14">
        <f>D59</f>
        <v>200492.27657232591</v>
      </c>
      <c r="G53" s="14"/>
    </row>
    <row r="54" spans="1:8">
      <c r="A54" s="3" t="s">
        <v>53</v>
      </c>
      <c r="B54" s="3"/>
      <c r="C54" s="3"/>
      <c r="D54" s="14">
        <v>0</v>
      </c>
      <c r="E54" s="14">
        <f>B66</f>
        <v>1135.1227700530435</v>
      </c>
      <c r="F54" s="14">
        <v>0</v>
      </c>
      <c r="G54" s="14"/>
    </row>
    <row r="55" spans="1:8">
      <c r="A55" s="3" t="s">
        <v>14</v>
      </c>
      <c r="B55" s="3"/>
      <c r="C55" s="3"/>
      <c r="D55" s="14">
        <f>(D53+D54)*$E$27</f>
        <v>2797.8697195668183</v>
      </c>
      <c r="E55" s="14">
        <f t="shared" ref="E55:F55" si="2">(E53+E54)*$E$27</f>
        <v>2813.7103578229085</v>
      </c>
      <c r="F55" s="14">
        <f t="shared" si="2"/>
        <v>2797.8697195668183</v>
      </c>
      <c r="G55" s="14"/>
    </row>
    <row r="56" spans="1:8">
      <c r="A56" s="3" t="s">
        <v>44</v>
      </c>
      <c r="B56" s="3"/>
      <c r="C56" s="14"/>
      <c r="D56" s="14">
        <f>+D52+D53+D54-D55</f>
        <v>198394.4068527591</v>
      </c>
      <c r="E56" s="14">
        <f t="shared" ref="E56:F56" si="3">+E52+E53+E54-E55</f>
        <v>200632.97111635288</v>
      </c>
      <c r="F56" s="14">
        <f t="shared" si="3"/>
        <v>198194.4068527591</v>
      </c>
      <c r="G56" s="14"/>
    </row>
    <row r="57" spans="1:8">
      <c r="A57" s="3" t="s">
        <v>43</v>
      </c>
      <c r="B57" s="3"/>
      <c r="C57" s="14"/>
      <c r="D57" s="14">
        <f>B61</f>
        <v>196575.12472096225</v>
      </c>
      <c r="E57" s="14">
        <f>B62</f>
        <v>200132.97111635288</v>
      </c>
      <c r="F57" s="14">
        <f>B63</f>
        <v>196575.12472096225</v>
      </c>
      <c r="G57" s="14"/>
    </row>
    <row r="58" spans="1:8">
      <c r="A58" s="3" t="s">
        <v>42</v>
      </c>
      <c r="B58" s="3"/>
      <c r="C58" s="14"/>
      <c r="D58" s="14">
        <f>+D56-D57</f>
        <v>1819.2821317968483</v>
      </c>
      <c r="E58" s="14">
        <f t="shared" ref="E58:F58" si="4">+E56-E57</f>
        <v>500</v>
      </c>
      <c r="F58" s="14">
        <f t="shared" si="4"/>
        <v>1619.2821317968483</v>
      </c>
      <c r="G58" s="14"/>
    </row>
    <row r="59" spans="1:8">
      <c r="A59" s="3" t="s">
        <v>41</v>
      </c>
      <c r="B59" s="14">
        <f>C64</f>
        <v>200492.27657232591</v>
      </c>
      <c r="C59" s="14">
        <f>B65</f>
        <v>201627.39934237895</v>
      </c>
      <c r="D59" s="14">
        <f>C64</f>
        <v>200492.27657232591</v>
      </c>
      <c r="E59" s="3"/>
      <c r="F59" s="3"/>
      <c r="G59" s="3"/>
    </row>
    <row r="61" spans="1:8">
      <c r="A61" t="s">
        <v>73</v>
      </c>
      <c r="B61" s="11">
        <f>B41*$D$5</f>
        <v>196575.12472096225</v>
      </c>
      <c r="C61" s="31"/>
      <c r="D61" s="125" t="s">
        <v>33</v>
      </c>
      <c r="E61" s="126"/>
      <c r="F61" s="126"/>
      <c r="G61" s="126"/>
      <c r="H61" s="127"/>
    </row>
    <row r="62" spans="1:8">
      <c r="A62" t="s">
        <v>74</v>
      </c>
      <c r="B62" s="11">
        <f>C41*$D$5</f>
        <v>200132.97111635288</v>
      </c>
      <c r="C62" s="31"/>
      <c r="D62" s="3"/>
      <c r="E62" s="46" t="s">
        <v>8</v>
      </c>
      <c r="F62" s="46" t="s">
        <v>9</v>
      </c>
      <c r="G62" s="46" t="s">
        <v>34</v>
      </c>
      <c r="H62" s="46" t="s">
        <v>61</v>
      </c>
    </row>
    <row r="63" spans="1:8">
      <c r="A63" t="s">
        <v>75</v>
      </c>
      <c r="B63" s="11">
        <f>D41*$D$5</f>
        <v>196575.12472096225</v>
      </c>
      <c r="C63" s="31"/>
      <c r="D63" s="46" t="s">
        <v>78</v>
      </c>
      <c r="E63" s="48">
        <f>R9</f>
        <v>3.6579027132730388</v>
      </c>
      <c r="F63" s="48">
        <f>R10</f>
        <v>2.7123815047760598</v>
      </c>
      <c r="G63" s="48">
        <f>R11</f>
        <v>0.77203626250928081</v>
      </c>
      <c r="H63" s="48">
        <f>R12</f>
        <v>0.25184141655837511</v>
      </c>
    </row>
    <row r="64" spans="1:8">
      <c r="A64" t="s">
        <v>40</v>
      </c>
      <c r="B64" s="11">
        <f>(B61+B62+B63+E25-D52)/3</f>
        <v>197694.4068527591</v>
      </c>
      <c r="C64" s="11">
        <f>B64/(1-E27)</f>
        <v>200492.27657232591</v>
      </c>
      <c r="D64" s="51" t="s">
        <v>79</v>
      </c>
      <c r="E64" s="48">
        <f>S9</f>
        <v>3.6579027132730388</v>
      </c>
      <c r="F64" s="48">
        <f>S10</f>
        <v>2.7123815047760598</v>
      </c>
      <c r="G64" s="48">
        <f>S11</f>
        <v>0.77203626250928081</v>
      </c>
      <c r="H64" s="48">
        <f>S12</f>
        <v>0.25184141655837511</v>
      </c>
    </row>
    <row r="65" spans="1:13">
      <c r="A65" t="s">
        <v>76</v>
      </c>
      <c r="B65" s="11">
        <f>((B62+E25)-E52)/(1-E27)</f>
        <v>201627.39934237895</v>
      </c>
      <c r="C65" s="31"/>
      <c r="D65" s="46" t="s">
        <v>80</v>
      </c>
      <c r="E65" s="48">
        <f>T9</f>
        <v>3.6579027132730388</v>
      </c>
      <c r="F65" s="48">
        <f>T10</f>
        <v>2.7123815047760598</v>
      </c>
      <c r="G65" s="48">
        <f>T11</f>
        <v>0.77203626250928081</v>
      </c>
      <c r="H65" s="15" t="s">
        <v>12</v>
      </c>
    </row>
    <row r="66" spans="1:13">
      <c r="A66" t="s">
        <v>53</v>
      </c>
      <c r="B66" s="11">
        <f>B65-C64</f>
        <v>1135.1227700530435</v>
      </c>
      <c r="C66" s="31"/>
      <c r="D66" s="46" t="s">
        <v>81</v>
      </c>
      <c r="E66" s="48">
        <f>U9</f>
        <v>3.6579027132730388</v>
      </c>
      <c r="F66" s="48">
        <f>U10</f>
        <v>2.7123815047760598</v>
      </c>
      <c r="G66" s="15" t="s">
        <v>12</v>
      </c>
      <c r="H66" s="15" t="s">
        <v>12</v>
      </c>
    </row>
    <row r="67" spans="1:13">
      <c r="D67" s="46" t="s">
        <v>82</v>
      </c>
      <c r="E67" s="48">
        <f>V9</f>
        <v>3.6579027132730388</v>
      </c>
      <c r="F67" s="48">
        <f>V10</f>
        <v>2.7123815047760598</v>
      </c>
      <c r="G67" s="15" t="s">
        <v>12</v>
      </c>
      <c r="H67" s="15" t="s">
        <v>12</v>
      </c>
    </row>
    <row r="68" spans="1:13">
      <c r="D68" s="46" t="s">
        <v>83</v>
      </c>
      <c r="E68" s="48">
        <f>W9</f>
        <v>3.6579027132730388</v>
      </c>
      <c r="F68" s="48">
        <f>W10</f>
        <v>2.7123815047760598</v>
      </c>
      <c r="G68" s="15" t="s">
        <v>12</v>
      </c>
      <c r="H68" s="15" t="s">
        <v>12</v>
      </c>
    </row>
    <row r="70" spans="1:13" ht="14" thickBot="1"/>
    <row r="71" spans="1:13" ht="14" thickBot="1">
      <c r="A71" s="128" t="s">
        <v>28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30"/>
    </row>
    <row r="72" spans="1:13">
      <c r="A72" s="131" t="s">
        <v>29</v>
      </c>
      <c r="B72" s="132"/>
      <c r="C72" s="132"/>
      <c r="D72" s="132"/>
      <c r="E72" s="132"/>
      <c r="F72" s="132"/>
      <c r="G72" s="132"/>
      <c r="H72" s="132"/>
      <c r="I72" s="53"/>
      <c r="J72" s="53"/>
      <c r="K72" s="53"/>
      <c r="L72" s="53"/>
      <c r="M72" s="54"/>
    </row>
    <row r="73" spans="1:13">
      <c r="A73" s="36" t="s">
        <v>62</v>
      </c>
      <c r="B73" s="22" t="s">
        <v>22</v>
      </c>
      <c r="C73" s="22" t="s">
        <v>23</v>
      </c>
      <c r="D73" s="22" t="s">
        <v>24</v>
      </c>
      <c r="E73" s="22" t="s">
        <v>25</v>
      </c>
      <c r="F73" s="22" t="s">
        <v>51</v>
      </c>
      <c r="G73" s="22" t="s">
        <v>26</v>
      </c>
      <c r="H73" s="22" t="s">
        <v>27</v>
      </c>
      <c r="I73" s="17"/>
      <c r="J73" s="123" t="s">
        <v>149</v>
      </c>
      <c r="K73" s="17"/>
      <c r="L73" s="17"/>
      <c r="M73" s="35"/>
    </row>
    <row r="74" spans="1:13">
      <c r="A74" s="36" t="s">
        <v>37</v>
      </c>
      <c r="B74" s="39">
        <v>1.5</v>
      </c>
      <c r="C74" s="17">
        <v>0.98</v>
      </c>
      <c r="D74" s="17">
        <v>0.95</v>
      </c>
      <c r="E74" s="17">
        <v>0.995</v>
      </c>
      <c r="F74" s="40">
        <f>+E74*F75</f>
        <v>0.92239326703061997</v>
      </c>
      <c r="G74" s="43">
        <f>(B74*D74)/(2-C74)</f>
        <v>1.3970588235294115</v>
      </c>
      <c r="H74" s="50">
        <f>G74/F74</f>
        <v>1.5146021479827589</v>
      </c>
      <c r="I74" s="17"/>
      <c r="J74" s="17"/>
      <c r="K74" s="17"/>
      <c r="L74" s="17"/>
      <c r="M74" s="35"/>
    </row>
    <row r="75" spans="1:13">
      <c r="A75" s="44" t="s">
        <v>38</v>
      </c>
      <c r="B75" s="28">
        <v>1</v>
      </c>
      <c r="C75" s="17">
        <v>0.98</v>
      </c>
      <c r="D75" s="17">
        <v>0.97</v>
      </c>
      <c r="E75" s="17">
        <v>0.99099999999999999</v>
      </c>
      <c r="F75" s="40">
        <f>+E75*F76</f>
        <v>0.92702840907599993</v>
      </c>
      <c r="G75" s="43">
        <f>(B75*D75)/(2-C75)</f>
        <v>0.9509803921568627</v>
      </c>
      <c r="H75" s="50">
        <f>G75/F75</f>
        <v>1.025837377631972</v>
      </c>
      <c r="I75" s="17"/>
      <c r="J75" s="17"/>
      <c r="K75" s="17"/>
      <c r="L75" s="17"/>
      <c r="M75" s="35"/>
    </row>
    <row r="76" spans="1:13">
      <c r="A76" s="36" t="s">
        <v>39</v>
      </c>
      <c r="B76" s="39">
        <v>3</v>
      </c>
      <c r="C76" s="17">
        <v>0.98</v>
      </c>
      <c r="D76" s="17">
        <v>0.94</v>
      </c>
      <c r="E76" s="17">
        <v>0.99399999999999999</v>
      </c>
      <c r="F76" s="40">
        <f>+E76*F77</f>
        <v>0.93544743599999991</v>
      </c>
      <c r="G76" s="43">
        <f>(B76*D76)/(2-C76)</f>
        <v>2.7647058823529411</v>
      </c>
      <c r="H76" s="50">
        <f>G76/F76</f>
        <v>2.9554903631730531</v>
      </c>
      <c r="I76" s="17"/>
      <c r="J76" s="17"/>
      <c r="K76" s="17"/>
      <c r="L76" s="17"/>
      <c r="M76" s="35"/>
    </row>
    <row r="77" spans="1:13">
      <c r="A77" s="36" t="s">
        <v>60</v>
      </c>
      <c r="B77" s="39">
        <v>2.5</v>
      </c>
      <c r="C77" s="16">
        <v>0.97</v>
      </c>
      <c r="D77" s="16">
        <v>0.95</v>
      </c>
      <c r="E77" s="16">
        <v>0.98</v>
      </c>
      <c r="F77" s="40">
        <f>+E77*F78</f>
        <v>0.94109399999999988</v>
      </c>
      <c r="G77" s="43">
        <f>(B77*D77)/(2-C77)</f>
        <v>2.3058252427184467</v>
      </c>
      <c r="H77" s="50">
        <f>G77/F77</f>
        <v>2.4501540151339261</v>
      </c>
      <c r="I77" s="17"/>
      <c r="J77" s="17"/>
      <c r="K77" s="17"/>
      <c r="L77" s="17"/>
      <c r="M77" s="35"/>
    </row>
    <row r="78" spans="1:13">
      <c r="A78" s="44" t="s">
        <v>63</v>
      </c>
      <c r="B78" s="28">
        <v>5</v>
      </c>
      <c r="C78" s="16">
        <v>0.96</v>
      </c>
      <c r="D78" s="16">
        <v>0.9</v>
      </c>
      <c r="E78" s="16">
        <v>0.99</v>
      </c>
      <c r="F78" s="40">
        <f>+E78*F79</f>
        <v>0.96029999999999993</v>
      </c>
      <c r="G78" s="43">
        <f t="shared" ref="G78:G79" si="5">(B78*D78)/(2-C78)</f>
        <v>4.3269230769230766</v>
      </c>
      <c r="H78" s="50">
        <f t="shared" ref="H78:H79" si="6">G78/F78</f>
        <v>4.5058034748756395</v>
      </c>
      <c r="I78" s="17"/>
      <c r="J78" s="17"/>
      <c r="K78" s="17"/>
      <c r="L78" s="17"/>
      <c r="M78" s="35"/>
    </row>
    <row r="79" spans="1:13">
      <c r="A79" s="44" t="s">
        <v>64</v>
      </c>
      <c r="B79" s="28">
        <v>4.5</v>
      </c>
      <c r="C79" s="16">
        <v>0.96</v>
      </c>
      <c r="D79" s="16">
        <v>0.9</v>
      </c>
      <c r="E79" s="16">
        <v>0.97</v>
      </c>
      <c r="F79" s="40">
        <f>E79</f>
        <v>0.97</v>
      </c>
      <c r="G79" s="43">
        <f t="shared" si="5"/>
        <v>3.8942307692307687</v>
      </c>
      <c r="H79" s="50">
        <f t="shared" si="6"/>
        <v>4.014670896114195</v>
      </c>
      <c r="I79" s="17"/>
      <c r="J79" s="17"/>
      <c r="K79" s="17"/>
      <c r="L79" s="17"/>
      <c r="M79" s="35"/>
    </row>
    <row r="80" spans="1:13">
      <c r="A80" s="36" t="s">
        <v>34</v>
      </c>
      <c r="B80" s="22" t="s">
        <v>22</v>
      </c>
      <c r="C80" s="22" t="s">
        <v>23</v>
      </c>
      <c r="D80" s="22" t="s">
        <v>24</v>
      </c>
      <c r="E80" s="22" t="s">
        <v>25</v>
      </c>
      <c r="F80" s="22" t="s">
        <v>51</v>
      </c>
      <c r="G80" s="22" t="s">
        <v>26</v>
      </c>
      <c r="H80" s="22" t="s">
        <v>27</v>
      </c>
      <c r="I80" s="17"/>
      <c r="J80" s="17"/>
      <c r="K80" s="17"/>
      <c r="L80" s="17"/>
      <c r="M80" s="35"/>
    </row>
    <row r="81" spans="1:13">
      <c r="A81" s="36" t="s">
        <v>37</v>
      </c>
      <c r="B81" s="39">
        <v>1.5</v>
      </c>
      <c r="C81" s="17">
        <v>0.98</v>
      </c>
      <c r="D81" s="17">
        <v>0.95</v>
      </c>
      <c r="E81" s="17">
        <v>0.995</v>
      </c>
      <c r="F81" s="40">
        <f>F82*E81</f>
        <v>0.98012873</v>
      </c>
      <c r="G81" s="43">
        <f>(B81*D81)/(2-C81)</f>
        <v>1.3970588235294115</v>
      </c>
      <c r="H81" s="50">
        <f>G81/F81</f>
        <v>1.4253829938536864</v>
      </c>
      <c r="I81" s="17"/>
      <c r="J81" s="17"/>
      <c r="K81" s="17"/>
      <c r="L81" s="17"/>
      <c r="M81" s="35"/>
    </row>
    <row r="82" spans="1:13">
      <c r="A82" s="44" t="s">
        <v>38</v>
      </c>
      <c r="B82" s="28">
        <v>1</v>
      </c>
      <c r="C82" s="17">
        <v>0.98</v>
      </c>
      <c r="D82" s="17">
        <v>0.97</v>
      </c>
      <c r="E82" s="17">
        <v>0.99099999999999999</v>
      </c>
      <c r="F82" s="40">
        <f>F83*E82</f>
        <v>0.98505399999999999</v>
      </c>
      <c r="G82" s="43">
        <f>(B82*D82)/(2-C82)</f>
        <v>0.9509803921568627</v>
      </c>
      <c r="H82" s="50">
        <f>G82/F82</f>
        <v>0.96540940106518291</v>
      </c>
      <c r="I82" s="17"/>
      <c r="J82" s="17"/>
      <c r="K82" s="17"/>
      <c r="L82" s="17"/>
      <c r="M82" s="35"/>
    </row>
    <row r="83" spans="1:13">
      <c r="A83" s="36" t="s">
        <v>39</v>
      </c>
      <c r="B83" s="39">
        <v>3</v>
      </c>
      <c r="C83" s="17">
        <v>0.98</v>
      </c>
      <c r="D83" s="17">
        <v>0.94</v>
      </c>
      <c r="E83" s="17">
        <v>0.99399999999999999</v>
      </c>
      <c r="F83" s="40">
        <f>E83</f>
        <v>0.99399999999999999</v>
      </c>
      <c r="G83" s="43">
        <f>(B83*D83)/(2-C83)</f>
        <v>2.7647058823529411</v>
      </c>
      <c r="H83" s="50">
        <f>G83/F83</f>
        <v>2.7813942478399811</v>
      </c>
      <c r="I83" s="17"/>
      <c r="J83" s="17"/>
      <c r="K83" s="17"/>
      <c r="L83" s="17"/>
      <c r="M83" s="35"/>
    </row>
    <row r="84" spans="1:13">
      <c r="A84" s="36" t="s">
        <v>61</v>
      </c>
      <c r="B84" s="22" t="s">
        <v>22</v>
      </c>
      <c r="C84" s="22" t="s">
        <v>23</v>
      </c>
      <c r="D84" s="22" t="s">
        <v>24</v>
      </c>
      <c r="E84" s="22" t="s">
        <v>25</v>
      </c>
      <c r="F84" s="22" t="s">
        <v>51</v>
      </c>
      <c r="G84" s="22" t="s">
        <v>26</v>
      </c>
      <c r="H84" s="22" t="s">
        <v>27</v>
      </c>
      <c r="I84" s="17"/>
      <c r="J84" s="17"/>
      <c r="K84" s="17"/>
      <c r="L84" s="17"/>
      <c r="M84" s="35"/>
    </row>
    <row r="85" spans="1:13">
      <c r="A85" s="36" t="s">
        <v>37</v>
      </c>
      <c r="B85" s="39">
        <v>1.5</v>
      </c>
      <c r="C85" s="17">
        <v>0.98</v>
      </c>
      <c r="D85" s="17">
        <v>0.95</v>
      </c>
      <c r="E85" s="17">
        <v>0.995</v>
      </c>
      <c r="F85" s="40">
        <f>F86*E85</f>
        <v>0.98604499999999995</v>
      </c>
      <c r="G85" s="43">
        <f>(B85*D85)/(2-C85)</f>
        <v>1.3970588235294115</v>
      </c>
      <c r="H85" s="50">
        <f>G85/F85</f>
        <v>1.4168306958905643</v>
      </c>
      <c r="I85" s="17"/>
      <c r="J85" s="17"/>
      <c r="K85" s="17"/>
      <c r="L85" s="17"/>
      <c r="M85" s="35"/>
    </row>
    <row r="86" spans="1:13">
      <c r="A86" s="44" t="s">
        <v>38</v>
      </c>
      <c r="B86" s="28">
        <v>1</v>
      </c>
      <c r="C86" s="17">
        <v>0.98</v>
      </c>
      <c r="D86" s="17">
        <v>0.97</v>
      </c>
      <c r="E86" s="17">
        <v>0.99099999999999999</v>
      </c>
      <c r="F86" s="40">
        <f>E86</f>
        <v>0.99099999999999999</v>
      </c>
      <c r="G86" s="43">
        <f>(B86*D86)/(2-C86)</f>
        <v>0.9509803921568627</v>
      </c>
      <c r="H86" s="50">
        <f>G86/F86</f>
        <v>0.95961694465879188</v>
      </c>
      <c r="I86" s="17"/>
      <c r="J86" s="17"/>
      <c r="K86" s="17"/>
      <c r="L86" s="17"/>
      <c r="M86" s="35"/>
    </row>
    <row r="87" spans="1:13">
      <c r="A87" s="38"/>
      <c r="B87" s="17"/>
      <c r="C87" s="17"/>
      <c r="D87" s="17"/>
      <c r="E87" s="17"/>
      <c r="F87" s="17"/>
      <c r="G87" s="17"/>
      <c r="H87" s="22"/>
      <c r="I87" s="17"/>
      <c r="J87" s="17"/>
      <c r="K87" s="17"/>
      <c r="L87" s="17"/>
      <c r="M87" s="35"/>
    </row>
    <row r="88" spans="1:13">
      <c r="A88" s="133" t="s">
        <v>30</v>
      </c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34"/>
    </row>
    <row r="89" spans="1:13">
      <c r="A89" s="36"/>
      <c r="B89" s="124" t="s">
        <v>10</v>
      </c>
      <c r="C89" s="124"/>
      <c r="D89" s="124" t="s">
        <v>11</v>
      </c>
      <c r="E89" s="124"/>
      <c r="F89" s="124" t="s">
        <v>15</v>
      </c>
      <c r="G89" s="124"/>
      <c r="H89" s="124" t="s">
        <v>58</v>
      </c>
      <c r="I89" s="124"/>
      <c r="J89" s="17" t="s">
        <v>85</v>
      </c>
      <c r="K89" s="22" t="s">
        <v>86</v>
      </c>
      <c r="L89" s="22" t="s">
        <v>55</v>
      </c>
      <c r="M89" s="37" t="s">
        <v>87</v>
      </c>
    </row>
    <row r="90" spans="1:13">
      <c r="A90" s="36"/>
      <c r="B90" s="22" t="s">
        <v>27</v>
      </c>
      <c r="C90" s="22" t="s">
        <v>31</v>
      </c>
      <c r="D90" s="22" t="s">
        <v>27</v>
      </c>
      <c r="E90" s="22" t="s">
        <v>31</v>
      </c>
      <c r="F90" s="22" t="s">
        <v>27</v>
      </c>
      <c r="G90" s="22" t="s">
        <v>31</v>
      </c>
      <c r="H90" s="22" t="s">
        <v>27</v>
      </c>
      <c r="I90" s="22" t="s">
        <v>31</v>
      </c>
      <c r="J90" s="17"/>
      <c r="K90" s="17"/>
      <c r="L90" s="17"/>
      <c r="M90" s="35"/>
    </row>
    <row r="91" spans="1:13">
      <c r="A91" s="36" t="s">
        <v>37</v>
      </c>
      <c r="B91" s="50">
        <f>+H74</f>
        <v>1.5146021479827589</v>
      </c>
      <c r="C91" s="52">
        <f>+B91/E63</f>
        <v>0.41406299366215638</v>
      </c>
      <c r="D91" s="52">
        <f>+H74</f>
        <v>1.5146021479827589</v>
      </c>
      <c r="E91" s="52">
        <f>+D91/F63</f>
        <v>0.55840306583561072</v>
      </c>
      <c r="F91" s="50">
        <f>H81</f>
        <v>1.4253829938536864</v>
      </c>
      <c r="G91" s="52">
        <f>+F91/G63</f>
        <v>1.846264305281323</v>
      </c>
      <c r="H91" s="50">
        <f>H85</f>
        <v>1.4168306958905643</v>
      </c>
      <c r="I91" s="52">
        <f>+H91/H63</f>
        <v>5.6258843968269723</v>
      </c>
      <c r="J91" s="18">
        <f>1+1+2+6</f>
        <v>10</v>
      </c>
      <c r="K91" s="18">
        <f>+J91-1</f>
        <v>9</v>
      </c>
      <c r="L91" s="18">
        <f>J91</f>
        <v>10</v>
      </c>
      <c r="M91" s="55">
        <f>K91</f>
        <v>9</v>
      </c>
    </row>
    <row r="92" spans="1:13">
      <c r="A92" s="44" t="s">
        <v>38</v>
      </c>
      <c r="B92" s="50">
        <f t="shared" ref="B92:B96" si="7">+H75</f>
        <v>1.025837377631972</v>
      </c>
      <c r="C92" s="52">
        <f t="shared" ref="C92:C96" si="8">+B92/E64</f>
        <v>0.28044413918107391</v>
      </c>
      <c r="D92" s="52">
        <f t="shared" ref="D92:D96" si="9">+H75</f>
        <v>1.025837377631972</v>
      </c>
      <c r="E92" s="52">
        <f t="shared" ref="E92:E96" si="10">+D92/F64</f>
        <v>0.37820541683595776</v>
      </c>
      <c r="F92" s="50">
        <f t="shared" ref="F92:F93" si="11">H82</f>
        <v>0.96540940106518291</v>
      </c>
      <c r="G92" s="52">
        <f t="shared" ref="G92:G93" si="12">+F92/G64</f>
        <v>1.2504715749068556</v>
      </c>
      <c r="H92" s="50">
        <f>H86</f>
        <v>0.95961694465879188</v>
      </c>
      <c r="I92" s="52">
        <f>+H92/H64</f>
        <v>3.8104016319982827</v>
      </c>
      <c r="J92" s="18">
        <f>1+1+2+4</f>
        <v>8</v>
      </c>
      <c r="K92" s="18">
        <f t="shared" ref="K92:K96" si="13">+J92-1</f>
        <v>7</v>
      </c>
      <c r="L92" s="18">
        <f t="shared" ref="L92:L96" si="14">J92</f>
        <v>8</v>
      </c>
      <c r="M92" s="55">
        <f t="shared" ref="M92:M96" si="15">K92</f>
        <v>7</v>
      </c>
    </row>
    <row r="93" spans="1:13">
      <c r="A93" s="36" t="s">
        <v>39</v>
      </c>
      <c r="B93" s="50">
        <f t="shared" si="7"/>
        <v>2.9554903631730531</v>
      </c>
      <c r="C93" s="52">
        <f t="shared" si="8"/>
        <v>0.80797402086413683</v>
      </c>
      <c r="D93" s="52">
        <f t="shared" si="9"/>
        <v>2.9554903631730531</v>
      </c>
      <c r="E93" s="52">
        <f t="shared" si="10"/>
        <v>1.0896293010289735</v>
      </c>
      <c r="F93" s="50">
        <f t="shared" si="11"/>
        <v>2.7813942478399811</v>
      </c>
      <c r="G93" s="52">
        <f t="shared" si="12"/>
        <v>3.6026730646043266</v>
      </c>
      <c r="H93" s="22"/>
      <c r="I93" s="22"/>
      <c r="J93" s="18">
        <f>1+1</f>
        <v>2</v>
      </c>
      <c r="K93" s="18">
        <f t="shared" si="13"/>
        <v>1</v>
      </c>
      <c r="L93" s="18">
        <f t="shared" si="14"/>
        <v>2</v>
      </c>
      <c r="M93" s="55">
        <f t="shared" si="15"/>
        <v>1</v>
      </c>
    </row>
    <row r="94" spans="1:13">
      <c r="A94" s="36" t="s">
        <v>60</v>
      </c>
      <c r="B94" s="50">
        <f t="shared" si="7"/>
        <v>2.4501540151339261</v>
      </c>
      <c r="C94" s="52">
        <f t="shared" si="8"/>
        <v>0.66982481689393081</v>
      </c>
      <c r="D94" s="52">
        <f t="shared" si="9"/>
        <v>2.4501540151339261</v>
      </c>
      <c r="E94" s="52">
        <f t="shared" si="10"/>
        <v>0.90332204773539637</v>
      </c>
      <c r="F94" s="22"/>
      <c r="G94" s="52"/>
      <c r="H94" s="22"/>
      <c r="I94" s="22"/>
      <c r="J94" s="18">
        <f>1+1</f>
        <v>2</v>
      </c>
      <c r="K94" s="18">
        <f t="shared" si="13"/>
        <v>1</v>
      </c>
      <c r="L94" s="18">
        <f t="shared" si="14"/>
        <v>2</v>
      </c>
      <c r="M94" s="55">
        <f t="shared" si="15"/>
        <v>1</v>
      </c>
    </row>
    <row r="95" spans="1:13">
      <c r="A95" s="36" t="s">
        <v>63</v>
      </c>
      <c r="B95" s="50">
        <f t="shared" si="7"/>
        <v>4.5058034748756395</v>
      </c>
      <c r="C95" s="52">
        <f t="shared" si="8"/>
        <v>1.2317997027438468</v>
      </c>
      <c r="D95" s="52">
        <f t="shared" si="9"/>
        <v>4.5058034748756395</v>
      </c>
      <c r="E95" s="52">
        <f t="shared" si="10"/>
        <v>1.6611982742625464</v>
      </c>
      <c r="F95" s="22"/>
      <c r="G95" s="52"/>
      <c r="H95" s="22"/>
      <c r="I95" s="22"/>
      <c r="J95" s="18">
        <f>2+2</f>
        <v>4</v>
      </c>
      <c r="K95" s="18">
        <f t="shared" si="13"/>
        <v>3</v>
      </c>
      <c r="L95" s="18">
        <f t="shared" si="14"/>
        <v>4</v>
      </c>
      <c r="M95" s="55">
        <f t="shared" si="15"/>
        <v>3</v>
      </c>
    </row>
    <row r="96" spans="1:13" ht="14" thickBot="1">
      <c r="A96" s="56" t="s">
        <v>64</v>
      </c>
      <c r="B96" s="57">
        <f t="shared" si="7"/>
        <v>4.014670896114195</v>
      </c>
      <c r="C96" s="58">
        <f t="shared" si="8"/>
        <v>1.0975335351447675</v>
      </c>
      <c r="D96" s="58">
        <f t="shared" si="9"/>
        <v>4.014670896114195</v>
      </c>
      <c r="E96" s="58">
        <f t="shared" si="10"/>
        <v>1.4801276623679289</v>
      </c>
      <c r="F96" s="59"/>
      <c r="G96" s="58"/>
      <c r="H96" s="59"/>
      <c r="I96" s="59"/>
      <c r="J96" s="60">
        <f>2+2</f>
        <v>4</v>
      </c>
      <c r="K96" s="60">
        <f t="shared" si="13"/>
        <v>3</v>
      </c>
      <c r="L96" s="60">
        <f t="shared" si="14"/>
        <v>4</v>
      </c>
      <c r="M96" s="61">
        <f t="shared" si="15"/>
        <v>3</v>
      </c>
    </row>
    <row r="97" spans="1:8">
      <c r="A97" s="17"/>
      <c r="B97" s="17"/>
      <c r="C97" s="17"/>
      <c r="D97" s="17"/>
      <c r="E97" s="17"/>
      <c r="F97" s="17"/>
      <c r="G97" s="17"/>
      <c r="H97" s="22"/>
    </row>
    <row r="98" spans="1:8">
      <c r="H98" s="22"/>
    </row>
    <row r="99" spans="1:8">
      <c r="H99" s="22"/>
    </row>
    <row r="100" spans="1:8">
      <c r="H100" s="22"/>
    </row>
    <row r="101" spans="1:8">
      <c r="H101" s="22"/>
    </row>
    <row r="102" spans="1:8">
      <c r="H102" s="22"/>
    </row>
    <row r="103" spans="1:8">
      <c r="H103" s="22"/>
    </row>
    <row r="104" spans="1:8">
      <c r="H104" s="22"/>
    </row>
  </sheetData>
  <mergeCells count="14">
    <mergeCell ref="R7:W7"/>
    <mergeCell ref="B1:E1"/>
    <mergeCell ref="B32:E32"/>
    <mergeCell ref="I32:L32"/>
    <mergeCell ref="B50:G50"/>
    <mergeCell ref="O7:Q7"/>
    <mergeCell ref="B89:C89"/>
    <mergeCell ref="D89:E89"/>
    <mergeCell ref="F89:G89"/>
    <mergeCell ref="D61:H61"/>
    <mergeCell ref="H89:I89"/>
    <mergeCell ref="A71:M71"/>
    <mergeCell ref="A72:H72"/>
    <mergeCell ref="A88:M88"/>
  </mergeCells>
  <pageMargins left="0.75" right="0.75" top="1" bottom="1" header="0.5" footer="0.5"/>
  <pageSetup paperSize="9" orientation="portrait" horizontalDpi="4294967292" verticalDpi="4294967292"/>
  <ignoredErrors>
    <ignoredError sqref="D35 D37:D38 E53" formula="1"/>
    <ignoredError sqref="B16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8"/>
  <sheetViews>
    <sheetView tabSelected="1" workbookViewId="0">
      <selection activeCell="AH23" sqref="AH23"/>
    </sheetView>
  </sheetViews>
  <sheetFormatPr baseColWidth="10" defaultRowHeight="15" x14ac:dyDescent="0"/>
  <cols>
    <col min="1" max="1" width="5.140625" style="62" customWidth="1"/>
    <col min="2" max="2" width="5.7109375" style="62" bestFit="1" customWidth="1"/>
    <col min="3" max="3" width="4.42578125" style="62" bestFit="1" customWidth="1"/>
    <col min="4" max="4" width="10" style="62" bestFit="1" customWidth="1"/>
    <col min="5" max="5" width="2.85546875" style="62" bestFit="1" customWidth="1"/>
    <col min="6" max="6" width="4.42578125" style="62" bestFit="1" customWidth="1"/>
    <col min="7" max="9" width="5.28515625" style="62" bestFit="1" customWidth="1"/>
    <col min="10" max="10" width="2.85546875" style="62" bestFit="1" customWidth="1"/>
    <col min="11" max="11" width="3.140625" style="62" bestFit="1" customWidth="1"/>
    <col min="12" max="12" width="2.7109375" style="62" bestFit="1" customWidth="1"/>
    <col min="13" max="13" width="3.5703125" style="62" bestFit="1" customWidth="1"/>
    <col min="14" max="14" width="4.5703125" style="62" customWidth="1"/>
    <col min="15" max="15" width="10" style="62" bestFit="1" customWidth="1"/>
    <col min="16" max="16" width="4" style="62" bestFit="1" customWidth="1"/>
    <col min="17" max="17" width="4.42578125" style="62" bestFit="1" customWidth="1"/>
    <col min="18" max="19" width="5.28515625" style="62" bestFit="1" customWidth="1"/>
    <col min="20" max="20" width="10" style="62" bestFit="1" customWidth="1"/>
    <col min="21" max="21" width="3.5703125" style="62" bestFit="1" customWidth="1"/>
    <col min="22" max="22" width="4.42578125" style="62" bestFit="1" customWidth="1"/>
    <col min="23" max="24" width="5.28515625" style="62" bestFit="1" customWidth="1"/>
    <col min="25" max="25" width="8.28515625" style="62" bestFit="1" customWidth="1"/>
    <col min="26" max="26" width="2.85546875" style="62" bestFit="1" customWidth="1"/>
    <col min="27" max="28" width="4.42578125" style="62" bestFit="1" customWidth="1"/>
    <col min="29" max="29" width="5.28515625" style="62" bestFit="1" customWidth="1"/>
    <col min="30" max="30" width="2.7109375" style="62" bestFit="1" customWidth="1"/>
    <col min="31" max="31" width="3.140625" style="62" bestFit="1" customWidth="1"/>
    <col min="32" max="32" width="6" style="62" bestFit="1" customWidth="1"/>
    <col min="33" max="16384" width="10.7109375" style="62"/>
  </cols>
  <sheetData>
    <row r="1" spans="1:32">
      <c r="A1" s="111" t="s">
        <v>142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</row>
    <row r="2" spans="1:32" ht="16" thickBot="1">
      <c r="A2" s="109"/>
      <c r="B2" s="109"/>
      <c r="C2" s="109"/>
      <c r="D2" s="109"/>
      <c r="E2" s="109"/>
      <c r="F2" s="109"/>
      <c r="G2" s="147">
        <v>2</v>
      </c>
      <c r="H2" s="147"/>
      <c r="I2" s="109"/>
      <c r="J2" s="109"/>
      <c r="K2" s="109"/>
      <c r="L2" s="147">
        <v>2</v>
      </c>
      <c r="M2" s="147"/>
      <c r="N2" s="110"/>
      <c r="O2" s="109"/>
      <c r="P2" s="109"/>
      <c r="Q2" s="109"/>
      <c r="R2" s="147">
        <v>3</v>
      </c>
      <c r="S2" s="147"/>
      <c r="T2" s="85"/>
      <c r="U2" s="85"/>
      <c r="V2" s="85"/>
      <c r="W2" s="147">
        <v>5</v>
      </c>
      <c r="X2" s="147"/>
      <c r="Y2" s="85"/>
      <c r="Z2" s="85"/>
      <c r="AA2" s="85"/>
      <c r="AB2" s="147">
        <v>2</v>
      </c>
      <c r="AC2" s="147"/>
      <c r="AD2" s="109"/>
      <c r="AE2" s="108"/>
      <c r="AF2" s="108"/>
    </row>
    <row r="3" spans="1:32" ht="16" thickBot="1">
      <c r="A3" s="102" t="s">
        <v>128</v>
      </c>
      <c r="B3" s="102" t="s">
        <v>127</v>
      </c>
      <c r="C3" s="102" t="s">
        <v>126</v>
      </c>
      <c r="D3" s="104" t="s">
        <v>120</v>
      </c>
      <c r="E3" s="103" t="s">
        <v>105</v>
      </c>
      <c r="F3" s="103" t="s">
        <v>104</v>
      </c>
      <c r="G3" s="145" t="s">
        <v>125</v>
      </c>
      <c r="H3" s="146"/>
      <c r="I3" s="106" t="s">
        <v>120</v>
      </c>
      <c r="J3" s="105" t="s">
        <v>105</v>
      </c>
      <c r="K3" s="105" t="s">
        <v>104</v>
      </c>
      <c r="L3" s="143" t="s">
        <v>124</v>
      </c>
      <c r="M3" s="144"/>
      <c r="N3" s="148" t="s">
        <v>120</v>
      </c>
      <c r="O3" s="145"/>
      <c r="P3" s="103" t="s">
        <v>105</v>
      </c>
      <c r="Q3" s="103" t="s">
        <v>104</v>
      </c>
      <c r="R3" s="145" t="s">
        <v>122</v>
      </c>
      <c r="S3" s="146"/>
      <c r="T3" s="106" t="s">
        <v>120</v>
      </c>
      <c r="U3" s="105" t="s">
        <v>105</v>
      </c>
      <c r="V3" s="105" t="s">
        <v>104</v>
      </c>
      <c r="W3" s="143" t="s">
        <v>121</v>
      </c>
      <c r="X3" s="144"/>
      <c r="Y3" s="104" t="s">
        <v>120</v>
      </c>
      <c r="Z3" s="103" t="s">
        <v>105</v>
      </c>
      <c r="AA3" s="103" t="s">
        <v>104</v>
      </c>
      <c r="AB3" s="145" t="s">
        <v>119</v>
      </c>
      <c r="AC3" s="146"/>
      <c r="AD3" s="102" t="s">
        <v>118</v>
      </c>
      <c r="AE3" s="101" t="s">
        <v>117</v>
      </c>
      <c r="AF3" s="101" t="s">
        <v>116</v>
      </c>
    </row>
    <row r="4" spans="1:32">
      <c r="A4" s="85">
        <v>90001</v>
      </c>
      <c r="B4" s="115" t="s">
        <v>93</v>
      </c>
      <c r="C4" s="114">
        <v>500</v>
      </c>
      <c r="D4" s="80" t="s">
        <v>141</v>
      </c>
      <c r="E4" s="79">
        <v>0</v>
      </c>
      <c r="F4" s="79">
        <v>0</v>
      </c>
      <c r="G4" s="78">
        <f>X4</f>
        <v>2560</v>
      </c>
      <c r="H4" s="93">
        <f>G4+1000</f>
        <v>3560</v>
      </c>
      <c r="I4" s="98"/>
      <c r="J4" s="79"/>
      <c r="K4" s="79"/>
      <c r="L4" s="78"/>
      <c r="M4" s="77"/>
      <c r="N4" s="139" t="s">
        <v>140</v>
      </c>
      <c r="O4" s="140"/>
      <c r="P4" s="79">
        <v>0</v>
      </c>
      <c r="Q4" s="79">
        <v>0</v>
      </c>
      <c r="R4" s="78">
        <f>H4</f>
        <v>3560</v>
      </c>
      <c r="S4" s="93">
        <f>R4+1500</f>
        <v>5060</v>
      </c>
      <c r="T4" s="80" t="s">
        <v>115</v>
      </c>
      <c r="U4" s="79">
        <v>0</v>
      </c>
      <c r="V4" s="79">
        <v>0</v>
      </c>
      <c r="W4" s="78">
        <v>60</v>
      </c>
      <c r="X4" s="77">
        <f>2500+W4</f>
        <v>2560</v>
      </c>
      <c r="Y4" s="94"/>
      <c r="Z4" s="79"/>
      <c r="AA4" s="79"/>
      <c r="AB4" s="78"/>
      <c r="AC4" s="93"/>
      <c r="AD4" s="118">
        <f>S4/60/8</f>
        <v>10.541666666666666</v>
      </c>
      <c r="AE4" s="72">
        <v>6</v>
      </c>
      <c r="AF4" s="71">
        <f>AD4-AE4</f>
        <v>4.5416666666666661</v>
      </c>
    </row>
    <row r="5" spans="1:32">
      <c r="A5" s="85">
        <v>90002</v>
      </c>
      <c r="B5" s="113" t="s">
        <v>92</v>
      </c>
      <c r="C5" s="96">
        <v>200</v>
      </c>
      <c r="D5" s="98"/>
      <c r="E5" s="79"/>
      <c r="F5" s="79"/>
      <c r="G5" s="78"/>
      <c r="H5" s="93"/>
      <c r="I5" s="80" t="s">
        <v>115</v>
      </c>
      <c r="J5" s="79">
        <v>0</v>
      </c>
      <c r="K5" s="79">
        <v>60</v>
      </c>
      <c r="L5" s="78">
        <v>60</v>
      </c>
      <c r="M5" s="77">
        <f>L5+400</f>
        <v>460</v>
      </c>
      <c r="N5" s="139" t="s">
        <v>139</v>
      </c>
      <c r="O5" s="140"/>
      <c r="P5" s="79">
        <v>60</v>
      </c>
      <c r="Q5" s="79">
        <f>R5-S4</f>
        <v>60</v>
      </c>
      <c r="R5" s="78">
        <v>5120</v>
      </c>
      <c r="S5" s="93">
        <f>R5+600</f>
        <v>5720</v>
      </c>
      <c r="T5" s="98"/>
      <c r="U5" s="79"/>
      <c r="V5" s="79"/>
      <c r="W5" s="78"/>
      <c r="X5" s="77"/>
      <c r="Y5" s="97" t="s">
        <v>113</v>
      </c>
      <c r="Z5" s="79">
        <v>0</v>
      </c>
      <c r="AA5" s="79">
        <v>0</v>
      </c>
      <c r="AB5" s="78">
        <f>M5</f>
        <v>460</v>
      </c>
      <c r="AC5" s="93">
        <f>AB5+400</f>
        <v>860</v>
      </c>
      <c r="AD5" s="118">
        <f>S5/60/8</f>
        <v>11.916666666666666</v>
      </c>
      <c r="AE5" s="72">
        <v>3</v>
      </c>
      <c r="AF5" s="71">
        <f>AD5-AE5</f>
        <v>8.9166666666666661</v>
      </c>
    </row>
    <row r="6" spans="1:32">
      <c r="A6" s="85">
        <v>90003</v>
      </c>
      <c r="B6" s="113" t="s">
        <v>91</v>
      </c>
      <c r="C6" s="96">
        <v>1000</v>
      </c>
      <c r="D6" s="80" t="s">
        <v>138</v>
      </c>
      <c r="E6" s="79">
        <v>0</v>
      </c>
      <c r="F6" s="79">
        <f>G6-H4</f>
        <v>60</v>
      </c>
      <c r="G6" s="78">
        <v>3620</v>
      </c>
      <c r="H6" s="93">
        <f>G6+2000</f>
        <v>5620</v>
      </c>
      <c r="I6" s="80"/>
      <c r="J6" s="79"/>
      <c r="K6" s="79"/>
      <c r="L6" s="78"/>
      <c r="M6" s="77"/>
      <c r="N6" s="139" t="s">
        <v>137</v>
      </c>
      <c r="O6" s="140"/>
      <c r="P6" s="79">
        <v>60</v>
      </c>
      <c r="Q6" s="79">
        <f>R6-S5</f>
        <v>60</v>
      </c>
      <c r="R6" s="78">
        <v>5780</v>
      </c>
      <c r="S6" s="93">
        <f>R6+3000</f>
        <v>8780</v>
      </c>
      <c r="T6" s="80"/>
      <c r="U6" s="79"/>
      <c r="V6" s="79"/>
      <c r="W6" s="78"/>
      <c r="X6" s="77"/>
      <c r="Y6" s="94" t="s">
        <v>136</v>
      </c>
      <c r="Z6" s="79">
        <v>0</v>
      </c>
      <c r="AA6" s="79">
        <f>AB6-AC5</f>
        <v>7920</v>
      </c>
      <c r="AB6" s="78">
        <v>8780</v>
      </c>
      <c r="AC6" s="93">
        <f>AB6+2000</f>
        <v>10780</v>
      </c>
      <c r="AD6" s="118">
        <f>AC6/480</f>
        <v>22.458333333333332</v>
      </c>
      <c r="AE6" s="72">
        <v>4</v>
      </c>
      <c r="AF6" s="71">
        <f>AD6-AE6</f>
        <v>18.458333333333332</v>
      </c>
    </row>
    <row r="7" spans="1:32">
      <c r="A7" s="85">
        <v>90004</v>
      </c>
      <c r="B7" s="113" t="s">
        <v>90</v>
      </c>
      <c r="C7" s="96">
        <v>300</v>
      </c>
      <c r="D7" s="80" t="s">
        <v>135</v>
      </c>
      <c r="E7" s="79">
        <v>0</v>
      </c>
      <c r="F7" s="79">
        <f>G7-H6</f>
        <v>60</v>
      </c>
      <c r="G7" s="78">
        <v>5680</v>
      </c>
      <c r="H7" s="93">
        <f>G7+600</f>
        <v>6280</v>
      </c>
      <c r="I7" s="80"/>
      <c r="J7" s="79"/>
      <c r="K7" s="79"/>
      <c r="L7" s="78"/>
      <c r="M7" s="77"/>
      <c r="N7" s="139" t="s">
        <v>134</v>
      </c>
      <c r="O7" s="140"/>
      <c r="P7" s="79">
        <v>60</v>
      </c>
      <c r="Q7" s="79">
        <f>R7-S6</f>
        <v>60</v>
      </c>
      <c r="R7" s="78">
        <v>8840</v>
      </c>
      <c r="S7" s="93">
        <f>R7+900</f>
        <v>9740</v>
      </c>
      <c r="T7" s="80" t="s">
        <v>133</v>
      </c>
      <c r="U7" s="79">
        <v>0</v>
      </c>
      <c r="V7" s="79">
        <f>W7-X4</f>
        <v>7180</v>
      </c>
      <c r="W7" s="78">
        <v>9740</v>
      </c>
      <c r="X7" s="77">
        <f>W7+1500</f>
        <v>11240</v>
      </c>
      <c r="Y7" s="94"/>
      <c r="Z7" s="79"/>
      <c r="AA7" s="79"/>
      <c r="AB7" s="78"/>
      <c r="AC7" s="93"/>
      <c r="AD7" s="118">
        <f>X7/480</f>
        <v>23.416666666666668</v>
      </c>
      <c r="AE7" s="72">
        <v>8</v>
      </c>
      <c r="AF7" s="71">
        <f>AD7-AE7</f>
        <v>15.416666666666668</v>
      </c>
    </row>
    <row r="8" spans="1:32" ht="16" thickBot="1">
      <c r="A8" s="85">
        <v>90005</v>
      </c>
      <c r="B8" s="112" t="s">
        <v>90</v>
      </c>
      <c r="C8" s="84">
        <v>200</v>
      </c>
      <c r="D8" s="82" t="s">
        <v>132</v>
      </c>
      <c r="E8" s="75">
        <v>0</v>
      </c>
      <c r="F8" s="75">
        <f>G8-H7</f>
        <v>60</v>
      </c>
      <c r="G8" s="74">
        <v>6340</v>
      </c>
      <c r="H8" s="73">
        <f>G8+400</f>
        <v>6740</v>
      </c>
      <c r="I8" s="80"/>
      <c r="J8" s="79"/>
      <c r="K8" s="79"/>
      <c r="L8" s="78"/>
      <c r="M8" s="77"/>
      <c r="N8" s="141" t="s">
        <v>131</v>
      </c>
      <c r="O8" s="142"/>
      <c r="P8" s="75">
        <v>60</v>
      </c>
      <c r="Q8" s="75">
        <f>R8-S7</f>
        <v>60</v>
      </c>
      <c r="R8" s="74">
        <v>9800</v>
      </c>
      <c r="S8" s="73">
        <f>R8+600</f>
        <v>10400</v>
      </c>
      <c r="T8" s="80" t="s">
        <v>130</v>
      </c>
      <c r="U8" s="79">
        <f>W8-S8</f>
        <v>900</v>
      </c>
      <c r="V8" s="79">
        <f>W8-X7</f>
        <v>60</v>
      </c>
      <c r="W8" s="78">
        <v>11300</v>
      </c>
      <c r="X8" s="77">
        <f>W8+1000</f>
        <v>12300</v>
      </c>
      <c r="Y8" s="76"/>
      <c r="Z8" s="75"/>
      <c r="AA8" s="75"/>
      <c r="AB8" s="74"/>
      <c r="AC8" s="73"/>
      <c r="AD8" s="118">
        <f>X8/480</f>
        <v>25.625</v>
      </c>
      <c r="AE8" s="72">
        <v>5</v>
      </c>
      <c r="AF8" s="71">
        <f>AD8-AE8</f>
        <v>20.625</v>
      </c>
    </row>
    <row r="9" spans="1:32">
      <c r="E9" s="116">
        <f>SUM(E6:E8)</f>
        <v>0</v>
      </c>
      <c r="F9" s="116">
        <f>SUM(F6:F8)</f>
        <v>180</v>
      </c>
      <c r="G9" s="117"/>
      <c r="H9" s="117"/>
      <c r="I9" s="117"/>
      <c r="J9" s="116">
        <f>SUM(J6:J8)</f>
        <v>0</v>
      </c>
      <c r="K9" s="116">
        <f>SUM(K6:K8)</f>
        <v>0</v>
      </c>
      <c r="L9" s="117"/>
      <c r="M9" s="117"/>
      <c r="N9" s="117"/>
      <c r="O9" s="117"/>
      <c r="P9" s="116">
        <f>SUM(P6:P8)</f>
        <v>180</v>
      </c>
      <c r="Q9" s="116">
        <f>SUM(Q6:Q8)</f>
        <v>180</v>
      </c>
      <c r="R9" s="117"/>
      <c r="S9" s="117"/>
      <c r="T9" s="117"/>
      <c r="U9" s="116">
        <f>SUM(U6:U8)</f>
        <v>900</v>
      </c>
      <c r="V9" s="116">
        <f>SUM(V6:V8)</f>
        <v>7240</v>
      </c>
      <c r="W9" s="117"/>
      <c r="X9" s="117"/>
      <c r="Y9" s="117"/>
      <c r="Z9" s="116">
        <f>SUM(Z6:Z8)</f>
        <v>0</v>
      </c>
      <c r="AA9" s="116">
        <f>SUM(AA6:AA8)</f>
        <v>7920</v>
      </c>
      <c r="AD9" s="119"/>
    </row>
    <row r="10" spans="1:32">
      <c r="W10" s="62" t="s">
        <v>105</v>
      </c>
      <c r="X10" s="62">
        <f>E9+J9+P9+U9+Z9</f>
        <v>1080</v>
      </c>
      <c r="AD10" s="119"/>
    </row>
    <row r="11" spans="1:32">
      <c r="W11" s="62" t="s">
        <v>104</v>
      </c>
      <c r="X11" s="62">
        <f>F9+K9+Q9+V9+AA9</f>
        <v>15520</v>
      </c>
      <c r="AD11" s="119"/>
    </row>
    <row r="12" spans="1:32">
      <c r="W12" s="62" t="s">
        <v>103</v>
      </c>
      <c r="X12" s="70">
        <f>AVERAGE(AF4:AF8)</f>
        <v>13.591666666666665</v>
      </c>
      <c r="AD12" s="119"/>
    </row>
    <row r="13" spans="1:32">
      <c r="W13" s="62" t="s">
        <v>102</v>
      </c>
      <c r="X13" s="62">
        <v>5</v>
      </c>
      <c r="AD13" s="119"/>
    </row>
    <row r="14" spans="1:32">
      <c r="A14" s="111" t="s">
        <v>129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20"/>
      <c r="AE14" s="108"/>
      <c r="AF14" s="108"/>
    </row>
    <row r="15" spans="1:32" ht="16" thickBot="1">
      <c r="A15" s="109"/>
      <c r="B15" s="109"/>
      <c r="C15" s="109"/>
      <c r="D15" s="109"/>
      <c r="E15" s="109"/>
      <c r="F15" s="109"/>
      <c r="G15" s="147">
        <v>2</v>
      </c>
      <c r="H15" s="147"/>
      <c r="I15" s="109"/>
      <c r="J15" s="109"/>
      <c r="K15" s="109"/>
      <c r="L15" s="147">
        <v>2</v>
      </c>
      <c r="M15" s="147"/>
      <c r="N15" s="110"/>
      <c r="O15" s="109"/>
      <c r="P15" s="109"/>
      <c r="Q15" s="109"/>
      <c r="R15" s="147">
        <v>3</v>
      </c>
      <c r="S15" s="147"/>
      <c r="T15" s="85"/>
      <c r="U15" s="85"/>
      <c r="V15" s="85"/>
      <c r="W15" s="147">
        <v>5</v>
      </c>
      <c r="X15" s="147"/>
      <c r="Y15" s="85"/>
      <c r="Z15" s="85"/>
      <c r="AA15" s="85"/>
      <c r="AB15" s="147">
        <v>2</v>
      </c>
      <c r="AC15" s="147"/>
      <c r="AD15" s="121"/>
      <c r="AE15" s="108"/>
      <c r="AF15" s="108"/>
    </row>
    <row r="16" spans="1:32" ht="16" thickBot="1">
      <c r="A16" s="102" t="s">
        <v>128</v>
      </c>
      <c r="B16" s="102" t="s">
        <v>127</v>
      </c>
      <c r="C16" s="102" t="s">
        <v>126</v>
      </c>
      <c r="D16" s="104" t="s">
        <v>120</v>
      </c>
      <c r="E16" s="103" t="s">
        <v>105</v>
      </c>
      <c r="F16" s="103" t="s">
        <v>104</v>
      </c>
      <c r="G16" s="145" t="s">
        <v>125</v>
      </c>
      <c r="H16" s="146"/>
      <c r="I16" s="106" t="s">
        <v>120</v>
      </c>
      <c r="J16" s="105" t="s">
        <v>105</v>
      </c>
      <c r="K16" s="105" t="s">
        <v>104</v>
      </c>
      <c r="L16" s="143" t="s">
        <v>124</v>
      </c>
      <c r="M16" s="144"/>
      <c r="N16" s="107" t="s">
        <v>123</v>
      </c>
      <c r="O16" s="104" t="s">
        <v>120</v>
      </c>
      <c r="P16" s="103" t="s">
        <v>105</v>
      </c>
      <c r="Q16" s="103" t="s">
        <v>104</v>
      </c>
      <c r="R16" s="145" t="s">
        <v>122</v>
      </c>
      <c r="S16" s="146"/>
      <c r="T16" s="106" t="s">
        <v>120</v>
      </c>
      <c r="U16" s="105" t="s">
        <v>105</v>
      </c>
      <c r="V16" s="105" t="s">
        <v>104</v>
      </c>
      <c r="W16" s="143" t="s">
        <v>121</v>
      </c>
      <c r="X16" s="144"/>
      <c r="Y16" s="104" t="s">
        <v>120</v>
      </c>
      <c r="Z16" s="103" t="s">
        <v>105</v>
      </c>
      <c r="AA16" s="103" t="s">
        <v>104</v>
      </c>
      <c r="AB16" s="145" t="s">
        <v>119</v>
      </c>
      <c r="AC16" s="146"/>
      <c r="AD16" s="122" t="s">
        <v>118</v>
      </c>
      <c r="AE16" s="101" t="s">
        <v>117</v>
      </c>
      <c r="AF16" s="101" t="s">
        <v>116</v>
      </c>
    </row>
    <row r="17" spans="1:40">
      <c r="A17" s="85">
        <v>90002</v>
      </c>
      <c r="B17" s="100" t="s">
        <v>92</v>
      </c>
      <c r="C17" s="99">
        <v>200</v>
      </c>
      <c r="D17" s="80"/>
      <c r="E17" s="79"/>
      <c r="F17" s="79"/>
      <c r="G17" s="78"/>
      <c r="H17" s="93"/>
      <c r="I17" s="98" t="s">
        <v>115</v>
      </c>
      <c r="J17" s="79">
        <v>0</v>
      </c>
      <c r="K17" s="79">
        <v>60</v>
      </c>
      <c r="L17" s="78">
        <v>60</v>
      </c>
      <c r="M17" s="77">
        <f>L17+400</f>
        <v>460</v>
      </c>
      <c r="N17" s="81">
        <v>600</v>
      </c>
      <c r="O17" s="94" t="s">
        <v>114</v>
      </c>
      <c r="P17" s="79">
        <v>0</v>
      </c>
      <c r="Q17" s="79">
        <v>0</v>
      </c>
      <c r="R17" s="78">
        <v>860</v>
      </c>
      <c r="S17" s="93">
        <f>R17+600</f>
        <v>1460</v>
      </c>
      <c r="T17" s="80"/>
      <c r="U17" s="79"/>
      <c r="V17" s="79"/>
      <c r="W17" s="78"/>
      <c r="X17" s="77"/>
      <c r="Y17" s="94" t="s">
        <v>113</v>
      </c>
      <c r="Z17" s="79">
        <v>0</v>
      </c>
      <c r="AA17" s="79">
        <v>0</v>
      </c>
      <c r="AB17" s="78">
        <v>460</v>
      </c>
      <c r="AC17" s="93">
        <f>AB17+400</f>
        <v>860</v>
      </c>
      <c r="AD17" s="118">
        <f>S17/480</f>
        <v>3.0416666666666665</v>
      </c>
      <c r="AE17" s="72">
        <v>3</v>
      </c>
      <c r="AF17" s="71">
        <f>AD17-AE17</f>
        <v>4.1666666666666519E-2</v>
      </c>
    </row>
    <row r="18" spans="1:40">
      <c r="A18" s="85">
        <v>90003</v>
      </c>
      <c r="B18" s="96" t="s">
        <v>91</v>
      </c>
      <c r="C18" s="95">
        <v>400</v>
      </c>
      <c r="D18" s="98" t="s">
        <v>112</v>
      </c>
      <c r="E18" s="79">
        <v>0</v>
      </c>
      <c r="F18" s="79">
        <v>0</v>
      </c>
      <c r="G18" s="78">
        <f>H18-800</f>
        <v>540</v>
      </c>
      <c r="H18" s="93">
        <f>S17-120</f>
        <v>1340</v>
      </c>
      <c r="I18" s="80"/>
      <c r="J18" s="79"/>
      <c r="K18" s="79"/>
      <c r="L18" s="78"/>
      <c r="M18" s="77"/>
      <c r="N18" s="81">
        <v>1320</v>
      </c>
      <c r="O18" s="94" t="s">
        <v>111</v>
      </c>
      <c r="P18" s="79">
        <f>R18-H18</f>
        <v>180</v>
      </c>
      <c r="Q18" s="79">
        <f t="shared" ref="Q18:Q24" si="0">R18-S17</f>
        <v>60</v>
      </c>
      <c r="R18" s="78">
        <v>1520</v>
      </c>
      <c r="S18" s="93">
        <f>R18+1200</f>
        <v>2720</v>
      </c>
      <c r="T18" s="98"/>
      <c r="U18" s="79"/>
      <c r="V18" s="79"/>
      <c r="W18" s="78"/>
      <c r="X18" s="77"/>
      <c r="Y18" s="97" t="s">
        <v>110</v>
      </c>
      <c r="Z18" s="79">
        <v>0</v>
      </c>
      <c r="AA18" s="79">
        <f>AB18-AC17</f>
        <v>1860</v>
      </c>
      <c r="AB18" s="78">
        <f>S18</f>
        <v>2720</v>
      </c>
      <c r="AC18" s="93">
        <f>AB18+800</f>
        <v>3520</v>
      </c>
      <c r="AD18" s="118"/>
      <c r="AE18" s="72"/>
      <c r="AF18" s="71"/>
    </row>
    <row r="19" spans="1:40">
      <c r="A19" s="85"/>
      <c r="B19" s="96"/>
      <c r="C19" s="95">
        <v>400</v>
      </c>
      <c r="D19" s="98"/>
      <c r="E19" s="79">
        <v>0</v>
      </c>
      <c r="F19" s="79">
        <f t="shared" ref="F19:F24" si="1">G19-H18</f>
        <v>460</v>
      </c>
      <c r="G19" s="78">
        <f>H19-800</f>
        <v>1800</v>
      </c>
      <c r="H19" s="93">
        <v>2600</v>
      </c>
      <c r="I19" s="80"/>
      <c r="J19" s="79"/>
      <c r="K19" s="79"/>
      <c r="L19" s="78"/>
      <c r="M19" s="77"/>
      <c r="N19" s="81">
        <v>1320</v>
      </c>
      <c r="O19" s="94"/>
      <c r="P19" s="79"/>
      <c r="Q19" s="79">
        <f t="shared" si="0"/>
        <v>0</v>
      </c>
      <c r="R19" s="78">
        <f>S18</f>
        <v>2720</v>
      </c>
      <c r="S19" s="93">
        <f>R19+1200</f>
        <v>3920</v>
      </c>
      <c r="T19" s="98"/>
      <c r="U19" s="79"/>
      <c r="V19" s="79"/>
      <c r="W19" s="78"/>
      <c r="X19" s="77"/>
      <c r="Y19" s="97"/>
      <c r="Z19" s="79"/>
      <c r="AA19" s="79"/>
      <c r="AB19" s="78">
        <f>AC18</f>
        <v>3520</v>
      </c>
      <c r="AC19" s="93">
        <f>AB19+800</f>
        <v>4320</v>
      </c>
      <c r="AD19" s="118"/>
      <c r="AE19" s="72"/>
      <c r="AF19" s="71"/>
    </row>
    <row r="20" spans="1:40">
      <c r="A20" s="85"/>
      <c r="B20" s="96"/>
      <c r="C20" s="95">
        <v>200</v>
      </c>
      <c r="D20" s="98"/>
      <c r="E20" s="79">
        <v>0</v>
      </c>
      <c r="F20" s="79">
        <f t="shared" si="1"/>
        <v>400</v>
      </c>
      <c r="G20" s="78">
        <f>H20-800</f>
        <v>3000</v>
      </c>
      <c r="H20" s="93">
        <v>3800</v>
      </c>
      <c r="I20" s="80"/>
      <c r="J20" s="79"/>
      <c r="K20" s="79"/>
      <c r="L20" s="78"/>
      <c r="M20" s="77"/>
      <c r="N20" s="81">
        <v>720</v>
      </c>
      <c r="O20" s="94"/>
      <c r="P20" s="79"/>
      <c r="Q20" s="79">
        <f t="shared" si="0"/>
        <v>0</v>
      </c>
      <c r="R20" s="78">
        <f>S19</f>
        <v>3920</v>
      </c>
      <c r="S20" s="93">
        <f>R20+600</f>
        <v>4520</v>
      </c>
      <c r="T20" s="98"/>
      <c r="U20" s="79"/>
      <c r="V20" s="79"/>
      <c r="W20" s="78"/>
      <c r="X20" s="77"/>
      <c r="Y20" s="97"/>
      <c r="Z20" s="79"/>
      <c r="AA20" s="79"/>
      <c r="AB20" s="78">
        <f>AC19</f>
        <v>4320</v>
      </c>
      <c r="AC20" s="93">
        <f>AB20+400</f>
        <v>4720</v>
      </c>
      <c r="AD20" s="118">
        <f>AC20/480</f>
        <v>9.8333333333333339</v>
      </c>
      <c r="AE20" s="72">
        <v>4</v>
      </c>
      <c r="AF20" s="71">
        <f>AD20-AE20</f>
        <v>5.8333333333333339</v>
      </c>
    </row>
    <row r="21" spans="1:40">
      <c r="A21" s="85">
        <v>90005</v>
      </c>
      <c r="B21" s="96" t="s">
        <v>90</v>
      </c>
      <c r="C21" s="95">
        <v>200</v>
      </c>
      <c r="D21" s="80" t="s">
        <v>109</v>
      </c>
      <c r="E21" s="79">
        <v>0</v>
      </c>
      <c r="F21" s="79">
        <f t="shared" si="1"/>
        <v>200</v>
      </c>
      <c r="G21" s="78">
        <f>H21-400</f>
        <v>4000</v>
      </c>
      <c r="H21" s="93">
        <v>4400</v>
      </c>
      <c r="I21" s="80"/>
      <c r="J21" s="79"/>
      <c r="K21" s="79"/>
      <c r="L21" s="78"/>
      <c r="M21" s="77"/>
      <c r="N21" s="81">
        <v>720</v>
      </c>
      <c r="O21" s="94" t="s">
        <v>108</v>
      </c>
      <c r="P21" s="79">
        <f>R21-H21</f>
        <v>180</v>
      </c>
      <c r="Q21" s="79">
        <f t="shared" si="0"/>
        <v>60</v>
      </c>
      <c r="R21" s="78">
        <v>4580</v>
      </c>
      <c r="S21" s="93">
        <f>R21+600</f>
        <v>5180</v>
      </c>
      <c r="T21" s="80" t="s">
        <v>107</v>
      </c>
      <c r="U21" s="79">
        <v>0</v>
      </c>
      <c r="V21" s="79">
        <v>0</v>
      </c>
      <c r="W21" s="78">
        <v>5180</v>
      </c>
      <c r="X21" s="77">
        <f>W21+1000</f>
        <v>6180</v>
      </c>
      <c r="Y21" s="94"/>
      <c r="Z21" s="79"/>
      <c r="AA21" s="79"/>
      <c r="AB21" s="78"/>
      <c r="AC21" s="93"/>
      <c r="AD21" s="118">
        <f>X21/480</f>
        <v>12.875</v>
      </c>
      <c r="AE21" s="72">
        <v>5</v>
      </c>
      <c r="AF21" s="71">
        <f>AD21-AE21</f>
        <v>7.875</v>
      </c>
    </row>
    <row r="22" spans="1:40">
      <c r="A22" s="85">
        <v>90001</v>
      </c>
      <c r="B22" s="96" t="s">
        <v>93</v>
      </c>
      <c r="C22" s="95">
        <v>400</v>
      </c>
      <c r="D22" s="80" t="s">
        <v>143</v>
      </c>
      <c r="E22" s="79">
        <v>0</v>
      </c>
      <c r="F22" s="79">
        <f t="shared" si="1"/>
        <v>3840</v>
      </c>
      <c r="G22" s="78">
        <v>8240</v>
      </c>
      <c r="H22" s="93">
        <f>G22+800</f>
        <v>9040</v>
      </c>
      <c r="I22" s="80"/>
      <c r="J22" s="79"/>
      <c r="K22" s="79"/>
      <c r="L22" s="78"/>
      <c r="M22" s="77"/>
      <c r="N22" s="81">
        <v>1200</v>
      </c>
      <c r="O22" s="94" t="s">
        <v>106</v>
      </c>
      <c r="P22" s="79">
        <v>0</v>
      </c>
      <c r="Q22" s="79">
        <f t="shared" si="0"/>
        <v>3860</v>
      </c>
      <c r="R22" s="78">
        <v>9040</v>
      </c>
      <c r="S22" s="93">
        <f>R22+1200</f>
        <v>10240</v>
      </c>
      <c r="T22" s="80" t="s">
        <v>144</v>
      </c>
      <c r="U22" s="79">
        <v>0</v>
      </c>
      <c r="V22" s="79">
        <f>W22-X21</f>
        <v>60</v>
      </c>
      <c r="W22" s="78">
        <v>6240</v>
      </c>
      <c r="X22" s="77">
        <f>W22+2000</f>
        <v>8240</v>
      </c>
      <c r="Y22" s="94"/>
      <c r="Z22" s="79"/>
      <c r="AA22" s="79"/>
      <c r="AB22" s="78"/>
      <c r="AC22" s="93"/>
      <c r="AD22" s="118"/>
      <c r="AE22" s="72"/>
      <c r="AF22" s="71"/>
    </row>
    <row r="23" spans="1:40">
      <c r="A23" s="85"/>
      <c r="B23" s="92"/>
      <c r="C23" s="91">
        <v>100</v>
      </c>
      <c r="D23" s="90"/>
      <c r="E23" s="88"/>
      <c r="F23" s="79">
        <f t="shared" si="1"/>
        <v>880</v>
      </c>
      <c r="G23" s="87">
        <f>H23-200</f>
        <v>9920</v>
      </c>
      <c r="H23" s="86">
        <f>S22-120</f>
        <v>10120</v>
      </c>
      <c r="I23" s="80"/>
      <c r="J23" s="79"/>
      <c r="K23" s="79"/>
      <c r="L23" s="78"/>
      <c r="M23" s="77"/>
      <c r="N23" s="81">
        <v>420</v>
      </c>
      <c r="O23" s="89"/>
      <c r="P23" s="88">
        <f>R23-H23</f>
        <v>120</v>
      </c>
      <c r="Q23" s="79">
        <f t="shared" si="0"/>
        <v>0</v>
      </c>
      <c r="R23" s="87">
        <f>S22</f>
        <v>10240</v>
      </c>
      <c r="S23" s="86">
        <f>R23+300</f>
        <v>10540</v>
      </c>
      <c r="T23" s="80"/>
      <c r="U23" s="79"/>
      <c r="V23" s="79">
        <f>W23-X22</f>
        <v>1180</v>
      </c>
      <c r="W23" s="78">
        <f>X23-500</f>
        <v>9420</v>
      </c>
      <c r="X23" s="77">
        <v>9920</v>
      </c>
      <c r="Y23" s="89"/>
      <c r="Z23" s="88"/>
      <c r="AA23" s="88"/>
      <c r="AB23" s="87"/>
      <c r="AC23" s="86"/>
      <c r="AD23" s="118">
        <f>S23/480</f>
        <v>21.958333333333332</v>
      </c>
      <c r="AE23" s="72">
        <v>6</v>
      </c>
      <c r="AF23" s="71">
        <f>AD23-AE23</f>
        <v>15.958333333333332</v>
      </c>
    </row>
    <row r="24" spans="1:40" ht="16" thickBot="1">
      <c r="A24" s="85">
        <v>90004</v>
      </c>
      <c r="B24" s="84" t="s">
        <v>90</v>
      </c>
      <c r="C24" s="83">
        <v>300</v>
      </c>
      <c r="D24" s="82" t="s">
        <v>145</v>
      </c>
      <c r="E24" s="75">
        <v>0</v>
      </c>
      <c r="F24" s="75">
        <f t="shared" si="1"/>
        <v>60</v>
      </c>
      <c r="G24" s="74">
        <v>10180</v>
      </c>
      <c r="H24" s="73">
        <f>G24+600</f>
        <v>10780</v>
      </c>
      <c r="I24" s="80"/>
      <c r="J24" s="79"/>
      <c r="K24" s="79"/>
      <c r="L24" s="78"/>
      <c r="M24" s="77"/>
      <c r="N24" s="81">
        <v>900</v>
      </c>
      <c r="O24" s="76" t="s">
        <v>146</v>
      </c>
      <c r="P24" s="75">
        <v>0</v>
      </c>
      <c r="Q24" s="75">
        <f t="shared" si="0"/>
        <v>240</v>
      </c>
      <c r="R24" s="74">
        <f>H24</f>
        <v>10780</v>
      </c>
      <c r="S24" s="73">
        <f>R24+900</f>
        <v>11680</v>
      </c>
      <c r="T24" s="80" t="s">
        <v>147</v>
      </c>
      <c r="U24" s="79">
        <v>0</v>
      </c>
      <c r="V24" s="79">
        <f>W24-X23</f>
        <v>1760</v>
      </c>
      <c r="W24" s="78">
        <f>S24</f>
        <v>11680</v>
      </c>
      <c r="X24" s="77">
        <f>W24+1500</f>
        <v>13180</v>
      </c>
      <c r="Y24" s="76"/>
      <c r="Z24" s="75"/>
      <c r="AA24" s="75"/>
      <c r="AB24" s="74"/>
      <c r="AC24" s="73"/>
      <c r="AD24" s="118">
        <f>X24/480</f>
        <v>27.458333333333332</v>
      </c>
      <c r="AE24" s="72">
        <v>8</v>
      </c>
      <c r="AF24" s="71">
        <f>AD24-AE24</f>
        <v>19.458333333333332</v>
      </c>
    </row>
    <row r="25" spans="1:40">
      <c r="E25" s="116">
        <f>SUM(E17:E24)</f>
        <v>0</v>
      </c>
      <c r="F25" s="116">
        <f>SUM(F17:F24)</f>
        <v>5840</v>
      </c>
      <c r="J25" s="116">
        <f>SUM(J17:J24)</f>
        <v>0</v>
      </c>
      <c r="K25" s="116">
        <f>SUM(K17:K24)</f>
        <v>60</v>
      </c>
      <c r="P25" s="116">
        <f>SUM(P17:P24)</f>
        <v>480</v>
      </c>
      <c r="Q25" s="116">
        <f>SUM(Q17:Q24)</f>
        <v>4220</v>
      </c>
      <c r="U25" s="116">
        <f>SUM(U17:U24)</f>
        <v>0</v>
      </c>
      <c r="V25" s="116">
        <f>SUM(V17:V24)</f>
        <v>3000</v>
      </c>
      <c r="Z25" s="116">
        <f>SUM(Z17:Z24)</f>
        <v>0</v>
      </c>
      <c r="AA25" s="116">
        <f>SUM(AA17:AA24)</f>
        <v>1860</v>
      </c>
    </row>
    <row r="26" spans="1:40">
      <c r="W26" s="62" t="s">
        <v>105</v>
      </c>
      <c r="X26" s="62">
        <f>E25+J25+P25+U25+Z25</f>
        <v>480</v>
      </c>
    </row>
    <row r="27" spans="1:40">
      <c r="W27" s="62" t="s">
        <v>104</v>
      </c>
      <c r="X27" s="62">
        <f>F25+K25+Q25+V25+AA25</f>
        <v>14980</v>
      </c>
    </row>
    <row r="28" spans="1:40">
      <c r="W28" s="62" t="s">
        <v>103</v>
      </c>
      <c r="X28" s="70">
        <f>AVERAGE(AF17:AF24)</f>
        <v>9.8333333333333321</v>
      </c>
    </row>
    <row r="29" spans="1:40">
      <c r="W29" s="62" t="s">
        <v>102</v>
      </c>
      <c r="X29" s="62">
        <v>4</v>
      </c>
    </row>
    <row r="30" spans="1:40" ht="16" thickBot="1">
      <c r="AJ30" s="62">
        <v>2</v>
      </c>
      <c r="AK30" s="62">
        <v>2</v>
      </c>
      <c r="AL30" s="62">
        <v>3</v>
      </c>
      <c r="AM30" s="62">
        <v>5</v>
      </c>
      <c r="AN30" s="62">
        <v>2</v>
      </c>
    </row>
    <row r="31" spans="1:40" ht="46" thickBot="1">
      <c r="AF31" s="69" t="s">
        <v>101</v>
      </c>
      <c r="AG31" s="68" t="s">
        <v>100</v>
      </c>
      <c r="AH31" s="67" t="s">
        <v>99</v>
      </c>
      <c r="AI31" s="67" t="s">
        <v>98</v>
      </c>
      <c r="AJ31" s="66" t="s">
        <v>97</v>
      </c>
      <c r="AK31" s="66" t="s">
        <v>96</v>
      </c>
      <c r="AL31" s="66" t="s">
        <v>95</v>
      </c>
      <c r="AM31" s="66" t="s">
        <v>94</v>
      </c>
      <c r="AN31" s="66" t="s">
        <v>23</v>
      </c>
    </row>
    <row r="32" spans="1:40" ht="16" thickBot="1">
      <c r="AF32" s="65">
        <v>90001</v>
      </c>
      <c r="AG32" s="64" t="s">
        <v>93</v>
      </c>
      <c r="AH32" s="64">
        <v>6</v>
      </c>
      <c r="AI32" s="64">
        <v>500</v>
      </c>
      <c r="AJ32" s="62">
        <f>AI32*$AJ$30</f>
        <v>1000</v>
      </c>
      <c r="AL32" s="62">
        <f>AI32*$AL$30</f>
        <v>1500</v>
      </c>
      <c r="AM32" s="62">
        <f>AI32*$AM$30</f>
        <v>2500</v>
      </c>
    </row>
    <row r="33" spans="32:40" ht="16" thickBot="1">
      <c r="AF33" s="65">
        <v>90002</v>
      </c>
      <c r="AG33" s="64" t="s">
        <v>92</v>
      </c>
      <c r="AH33" s="64">
        <v>3</v>
      </c>
      <c r="AI33" s="64">
        <v>200</v>
      </c>
      <c r="AK33" s="62">
        <f>AI33*$AK$30</f>
        <v>400</v>
      </c>
      <c r="AL33" s="62">
        <f>AI33*$AL$30</f>
        <v>600</v>
      </c>
      <c r="AN33" s="62">
        <f>AI33*$AN$30</f>
        <v>400</v>
      </c>
    </row>
    <row r="34" spans="32:40" ht="16" thickBot="1">
      <c r="AF34" s="65">
        <v>90003</v>
      </c>
      <c r="AG34" s="64" t="s">
        <v>91</v>
      </c>
      <c r="AH34" s="64">
        <v>4</v>
      </c>
      <c r="AI34" s="64">
        <v>1000</v>
      </c>
      <c r="AJ34" s="62">
        <f>AI34*$AJ$30</f>
        <v>2000</v>
      </c>
      <c r="AL34" s="62">
        <f>AI34*$AL$30</f>
        <v>3000</v>
      </c>
      <c r="AN34" s="62">
        <f>AI34*$AN$30</f>
        <v>2000</v>
      </c>
    </row>
    <row r="35" spans="32:40" ht="16" thickBot="1">
      <c r="AF35" s="65">
        <v>90004</v>
      </c>
      <c r="AG35" s="64" t="s">
        <v>90</v>
      </c>
      <c r="AH35" s="64">
        <v>8</v>
      </c>
      <c r="AI35" s="64">
        <v>300</v>
      </c>
      <c r="AJ35" s="62">
        <f>AI35*$AJ$30</f>
        <v>600</v>
      </c>
      <c r="AL35" s="62">
        <f>AI35*$AL$30</f>
        <v>900</v>
      </c>
      <c r="AM35" s="62">
        <f>AI35*$AM$30</f>
        <v>1500</v>
      </c>
    </row>
    <row r="36" spans="32:40" ht="16" thickBot="1">
      <c r="AF36" s="65">
        <v>90005</v>
      </c>
      <c r="AG36" s="64" t="s">
        <v>90</v>
      </c>
      <c r="AH36" s="64">
        <v>5</v>
      </c>
      <c r="AI36" s="64">
        <v>200</v>
      </c>
      <c r="AJ36" s="62">
        <f>AI36*$AJ$30</f>
        <v>400</v>
      </c>
      <c r="AL36" s="62">
        <f>AI36*$AL$30</f>
        <v>600</v>
      </c>
      <c r="AM36" s="62">
        <f>AI36*$AM$30</f>
        <v>1000</v>
      </c>
    </row>
    <row r="37" spans="32:40">
      <c r="AJ37" s="63">
        <f>SUM(AJ32:AJ36)</f>
        <v>4000</v>
      </c>
      <c r="AK37" s="63">
        <f>SUM(AK32:AK36)</f>
        <v>400</v>
      </c>
      <c r="AL37" s="63">
        <f>SUM(AL32:AL36)</f>
        <v>6600</v>
      </c>
      <c r="AM37" s="63">
        <f>SUM(AM32:AM36)</f>
        <v>5000</v>
      </c>
      <c r="AN37" s="63">
        <f>SUM(AN32:AN36)</f>
        <v>2400</v>
      </c>
    </row>
    <row r="38" spans="32:40">
      <c r="AL38" s="62" t="s">
        <v>89</v>
      </c>
    </row>
  </sheetData>
  <mergeCells count="26">
    <mergeCell ref="W15:X15"/>
    <mergeCell ref="AB15:AC15"/>
    <mergeCell ref="G16:H16"/>
    <mergeCell ref="L16:M16"/>
    <mergeCell ref="R16:S16"/>
    <mergeCell ref="W16:X16"/>
    <mergeCell ref="AB16:AC16"/>
    <mergeCell ref="G15:H15"/>
    <mergeCell ref="L15:M15"/>
    <mergeCell ref="R15:S15"/>
    <mergeCell ref="W3:X3"/>
    <mergeCell ref="AB3:AC3"/>
    <mergeCell ref="G2:H2"/>
    <mergeCell ref="L2:M2"/>
    <mergeCell ref="R2:S2"/>
    <mergeCell ref="W2:X2"/>
    <mergeCell ref="AB2:AC2"/>
    <mergeCell ref="N3:O3"/>
    <mergeCell ref="G3:H3"/>
    <mergeCell ref="L3:M3"/>
    <mergeCell ref="R3:S3"/>
    <mergeCell ref="N4:O4"/>
    <mergeCell ref="N5:O5"/>
    <mergeCell ref="N6:O6"/>
    <mergeCell ref="N7:O7"/>
    <mergeCell ref="N8:O8"/>
  </mergeCells>
  <pageMargins left="0.75" right="0.75" top="1" bottom="1" header="0.5" footer="0.5"/>
  <pageSetup orientation="portrait" horizontalDpi="4294967292" verticalDpi="4294967292"/>
  <ignoredErrors>
    <ignoredError sqref="G21" formula="1"/>
    <ignoredError sqref="P9" formulaRange="1"/>
    <ignoredError sqref="J9:K9 Z9:AA9" formulaRange="1" emptyCellReference="1"/>
    <ignoredError sqref="U9:V9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Primera pregunta</vt:lpstr>
      <vt:lpstr>Segunda pregunta</vt:lpstr>
    </vt:vector>
  </TitlesOfParts>
  <Company>Leon y Parra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Leon</dc:creator>
  <cp:lastModifiedBy>Enrique Leon</cp:lastModifiedBy>
  <dcterms:created xsi:type="dcterms:W3CDTF">2008-12-11T17:27:27Z</dcterms:created>
  <dcterms:modified xsi:type="dcterms:W3CDTF">2016-06-02T22:59:42Z</dcterms:modified>
</cp:coreProperties>
</file>