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526"/>
  <workbookPr date1904="1" showInkAnnotation="0" autoCompressPictures="0"/>
  <bookViews>
    <workbookView xWindow="4800" yWindow="0" windowWidth="30780" windowHeight="19760" tabRatio="500" activeTab="1"/>
  </bookViews>
  <sheets>
    <sheet name="Hungaro" sheetId="7" r:id="rId1"/>
    <sheet name="Primera pregunta" sheetId="6" r:id="rId2"/>
    <sheet name="Segunda pregunta" sheetId="8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8" l="1"/>
  <c r="E16" i="8"/>
  <c r="D18" i="8"/>
  <c r="D14" i="8"/>
  <c r="F7" i="8"/>
  <c r="H7" i="8"/>
  <c r="N7" i="8"/>
  <c r="E8" i="8"/>
  <c r="F8" i="8"/>
  <c r="H8" i="8"/>
  <c r="M8" i="8"/>
  <c r="N8" i="8"/>
  <c r="E9" i="8"/>
  <c r="F9" i="8"/>
  <c r="H9" i="8"/>
  <c r="M9" i="8"/>
  <c r="N9" i="8"/>
  <c r="E10" i="8"/>
  <c r="F10" i="8"/>
  <c r="H10" i="8"/>
  <c r="M10" i="8"/>
  <c r="N10" i="8"/>
  <c r="E11" i="8"/>
  <c r="F11" i="8"/>
  <c r="H11" i="8"/>
  <c r="M11" i="8"/>
  <c r="N11" i="8"/>
  <c r="P11" i="8"/>
  <c r="E12" i="8"/>
  <c r="F12" i="8"/>
  <c r="H12" i="8"/>
  <c r="M12" i="8"/>
  <c r="N12" i="8"/>
  <c r="P12" i="8"/>
  <c r="D16" i="8"/>
  <c r="D20" i="8"/>
  <c r="R35" i="6"/>
  <c r="R34" i="6"/>
  <c r="R32" i="6"/>
  <c r="E86" i="6"/>
  <c r="C79" i="6"/>
  <c r="C78" i="6"/>
  <c r="C77" i="6"/>
  <c r="R9" i="6"/>
  <c r="D85" i="6"/>
  <c r="D86" i="6"/>
  <c r="D84" i="6"/>
  <c r="E78" i="6"/>
  <c r="B85" i="6"/>
  <c r="C85" i="6"/>
  <c r="E79" i="6"/>
  <c r="B86" i="6"/>
  <c r="C86" i="6"/>
  <c r="E77" i="6"/>
  <c r="B84" i="6"/>
  <c r="C84" i="6"/>
  <c r="F79" i="6"/>
  <c r="Q10" i="6"/>
  <c r="Q11" i="6"/>
  <c r="R11" i="6"/>
  <c r="O10" i="6"/>
  <c r="O16" i="6"/>
  <c r="O17" i="6"/>
  <c r="O18" i="6"/>
  <c r="O19" i="6"/>
  <c r="F77" i="6"/>
  <c r="F84" i="6"/>
  <c r="F85" i="6"/>
  <c r="F86" i="6"/>
  <c r="F87" i="6"/>
  <c r="F78" i="6"/>
  <c r="O20" i="6"/>
  <c r="B61" i="6"/>
  <c r="B60" i="6"/>
  <c r="B62" i="6"/>
  <c r="B63" i="6"/>
  <c r="C63" i="6"/>
  <c r="B58" i="6"/>
  <c r="C53" i="6"/>
  <c r="C55" i="6"/>
  <c r="C56" i="6"/>
  <c r="C57" i="6"/>
  <c r="D52" i="6"/>
  <c r="B64" i="6"/>
  <c r="C58" i="6"/>
  <c r="J37" i="6"/>
  <c r="J38" i="6"/>
  <c r="K56" i="6"/>
  <c r="D58" i="6"/>
  <c r="K37" i="6"/>
  <c r="K38" i="6"/>
  <c r="L56" i="6"/>
  <c r="B93" i="6"/>
  <c r="C93" i="6"/>
  <c r="D53" i="6"/>
  <c r="B65" i="6"/>
  <c r="D54" i="6"/>
  <c r="D55" i="6"/>
  <c r="D56" i="6"/>
  <c r="D57" i="6"/>
  <c r="E52" i="6"/>
  <c r="E53" i="6"/>
  <c r="E55" i="6"/>
  <c r="B94" i="6"/>
  <c r="C94" i="6"/>
  <c r="C95" i="6"/>
  <c r="O24" i="6"/>
  <c r="O25" i="6"/>
  <c r="O26" i="6"/>
  <c r="I37" i="6"/>
  <c r="I38" i="6"/>
  <c r="I42" i="6"/>
  <c r="I58" i="6"/>
  <c r="J53" i="6"/>
  <c r="J55" i="6"/>
  <c r="J56" i="6"/>
  <c r="J57" i="6"/>
  <c r="K52" i="6"/>
  <c r="J42" i="6"/>
  <c r="J58" i="6"/>
  <c r="K53" i="6"/>
  <c r="K55" i="6"/>
  <c r="K57" i="6"/>
  <c r="L52" i="6"/>
  <c r="K42" i="6"/>
  <c r="K58" i="6"/>
  <c r="L53" i="6"/>
  <c r="L55" i="6"/>
  <c r="L57" i="6"/>
  <c r="M52" i="6"/>
  <c r="L42" i="6"/>
  <c r="L58" i="6"/>
  <c r="M53" i="6"/>
  <c r="M55" i="6"/>
  <c r="M57" i="6"/>
  <c r="N52" i="6"/>
  <c r="M42" i="6"/>
  <c r="M58" i="6"/>
  <c r="N53" i="6"/>
  <c r="N55" i="6"/>
  <c r="N57" i="6"/>
  <c r="N56" i="6"/>
  <c r="M56" i="6"/>
  <c r="B21" i="6"/>
  <c r="F73" i="6"/>
  <c r="B26" i="6"/>
  <c r="C21" i="6"/>
  <c r="B13" i="6"/>
  <c r="I21" i="6"/>
  <c r="C26" i="6"/>
  <c r="J21" i="6"/>
  <c r="I13" i="6"/>
  <c r="B43" i="6"/>
  <c r="C13" i="6"/>
  <c r="J13" i="6"/>
  <c r="I22" i="6"/>
  <c r="J22" i="6"/>
  <c r="K22" i="6"/>
  <c r="J14" i="6"/>
  <c r="B44" i="6"/>
  <c r="D13" i="6"/>
  <c r="K13" i="6"/>
  <c r="B45" i="6"/>
  <c r="B46" i="6"/>
  <c r="F72" i="6"/>
  <c r="F71" i="6"/>
  <c r="D26" i="6"/>
  <c r="C46" i="6"/>
  <c r="B41" i="6"/>
  <c r="C34" i="6"/>
  <c r="C35" i="6"/>
  <c r="D27" i="6"/>
  <c r="C37" i="6"/>
  <c r="C38" i="6"/>
  <c r="C39" i="6"/>
  <c r="C40" i="6"/>
  <c r="D34" i="6"/>
  <c r="B47" i="6"/>
  <c r="C41" i="6"/>
  <c r="D41" i="6"/>
  <c r="C52" i="6"/>
  <c r="J36" i="6"/>
  <c r="K34" i="6"/>
  <c r="K35" i="6"/>
  <c r="K36" i="6"/>
  <c r="L34" i="6"/>
  <c r="L35" i="6"/>
  <c r="L36" i="6"/>
  <c r="L38" i="6"/>
  <c r="M34" i="6"/>
  <c r="M35" i="6"/>
  <c r="M38" i="6"/>
  <c r="E56" i="6"/>
  <c r="E57" i="6"/>
  <c r="D35" i="6"/>
  <c r="B48" i="6"/>
  <c r="D36" i="6"/>
  <c r="D37" i="6"/>
  <c r="D38" i="6"/>
  <c r="B27" i="6"/>
  <c r="C27" i="6"/>
  <c r="K15" i="6"/>
  <c r="I15" i="6"/>
  <c r="D15" i="6"/>
  <c r="C15" i="6"/>
  <c r="B15" i="6"/>
  <c r="I16" i="6"/>
  <c r="I17" i="6"/>
  <c r="I18" i="6"/>
  <c r="J12" i="6"/>
  <c r="J17" i="6"/>
  <c r="K17" i="6"/>
  <c r="B16" i="6"/>
  <c r="B17" i="6"/>
  <c r="B18" i="6"/>
  <c r="C12" i="6"/>
  <c r="C16" i="6"/>
  <c r="C17" i="6"/>
  <c r="C18" i="6"/>
  <c r="D12" i="6"/>
  <c r="D16" i="6"/>
  <c r="B71" i="6"/>
  <c r="G71" i="6"/>
  <c r="H71" i="6"/>
  <c r="B73" i="6"/>
  <c r="G73" i="6"/>
  <c r="H73" i="6"/>
  <c r="B72" i="6"/>
  <c r="G72" i="6"/>
  <c r="H72" i="6"/>
  <c r="E31" i="7"/>
  <c r="E29" i="7"/>
  <c r="E32" i="7"/>
  <c r="E26" i="7"/>
  <c r="E24" i="7"/>
  <c r="E23" i="7"/>
  <c r="D26" i="7"/>
  <c r="D24" i="7"/>
  <c r="D23" i="7"/>
  <c r="E19" i="7"/>
  <c r="E17" i="7"/>
  <c r="E16" i="7"/>
  <c r="D19" i="7"/>
  <c r="D17" i="7"/>
  <c r="D16" i="7"/>
  <c r="C19" i="7"/>
  <c r="C17" i="7"/>
  <c r="C16" i="7"/>
  <c r="E13" i="7"/>
  <c r="E12" i="7"/>
  <c r="E11" i="7"/>
  <c r="E10" i="7"/>
  <c r="D13" i="7"/>
  <c r="D12" i="7"/>
  <c r="D11" i="7"/>
  <c r="D10" i="7"/>
  <c r="C13" i="7"/>
  <c r="C12" i="7"/>
  <c r="C11" i="7"/>
  <c r="C10" i="7"/>
  <c r="I5" i="6"/>
  <c r="I1" i="6"/>
  <c r="I3" i="6"/>
  <c r="O9" i="6"/>
  <c r="P9" i="6"/>
  <c r="D17" i="6"/>
  <c r="D18" i="6"/>
  <c r="B77" i="6"/>
  <c r="B78" i="6"/>
  <c r="B79" i="6"/>
  <c r="B90" i="6"/>
  <c r="C90" i="6"/>
  <c r="E39" i="6"/>
  <c r="J15" i="6"/>
  <c r="J16" i="6"/>
  <c r="J18" i="6"/>
  <c r="K12" i="6"/>
  <c r="K16" i="6"/>
  <c r="K18" i="6"/>
  <c r="D39" i="6"/>
  <c r="D40" i="6"/>
  <c r="E34" i="6"/>
  <c r="E35" i="6"/>
  <c r="E37" i="6"/>
  <c r="E38" i="6"/>
  <c r="B92" i="6"/>
  <c r="C92" i="6"/>
  <c r="B91" i="6"/>
  <c r="C91" i="6"/>
  <c r="E40" i="6"/>
  <c r="O11" i="6"/>
  <c r="P11" i="6"/>
  <c r="P10" i="6"/>
</calcChain>
</file>

<file path=xl/sharedStrings.xml><?xml version="1.0" encoding="utf-8"?>
<sst xmlns="http://schemas.openxmlformats.org/spreadsheetml/2006/main" count="258" uniqueCount="136">
  <si>
    <t>Despacho</t>
  </si>
  <si>
    <t>Inventario Final</t>
  </si>
  <si>
    <t>Mes</t>
  </si>
  <si>
    <t>Demanda</t>
  </si>
  <si>
    <t>Inventario Inicial</t>
  </si>
  <si>
    <t>Plan de Producción</t>
  </si>
  <si>
    <t>Disponible</t>
  </si>
  <si>
    <t>Periodos</t>
  </si>
  <si>
    <t>Producto P</t>
  </si>
  <si>
    <t>Producto Q</t>
  </si>
  <si>
    <t>P</t>
  </si>
  <si>
    <t>Q</t>
  </si>
  <si>
    <t xml:space="preserve"> --</t>
  </si>
  <si>
    <t>B</t>
  </si>
  <si>
    <t>Aprovechamiento</t>
  </si>
  <si>
    <t>Desperdicio</t>
  </si>
  <si>
    <t>W</t>
  </si>
  <si>
    <t>X</t>
  </si>
  <si>
    <t>Lista de materiales</t>
  </si>
  <si>
    <r>
      <t>Necesidad de W</t>
    </r>
    <r>
      <rPr>
        <vertAlign val="subscript"/>
        <sz val="10"/>
        <rFont val="Verdana"/>
      </rPr>
      <t>1</t>
    </r>
    <r>
      <rPr>
        <sz val="10"/>
        <rFont val="Verdana"/>
      </rPr>
      <t xml:space="preserve">  =</t>
    </r>
  </si>
  <si>
    <r>
      <t>Necesidad de W</t>
    </r>
    <r>
      <rPr>
        <vertAlign val="subscript"/>
        <sz val="10"/>
        <rFont val="Verdana"/>
      </rPr>
      <t>2</t>
    </r>
    <r>
      <rPr>
        <sz val="10"/>
        <rFont val="Verdana"/>
      </rPr>
      <t xml:space="preserve">  =</t>
    </r>
  </si>
  <si>
    <r>
      <t>Necesidad de W</t>
    </r>
    <r>
      <rPr>
        <vertAlign val="subscript"/>
        <sz val="10"/>
        <rFont val="Verdana"/>
      </rPr>
      <t>3</t>
    </r>
    <r>
      <rPr>
        <sz val="10"/>
        <rFont val="Verdana"/>
      </rPr>
      <t xml:space="preserve">  =</t>
    </r>
  </si>
  <si>
    <t>PNCT</t>
  </si>
  <si>
    <t>Tr min/und</t>
  </si>
  <si>
    <t>E</t>
  </si>
  <si>
    <t>U</t>
  </si>
  <si>
    <t>a</t>
  </si>
  <si>
    <t>Tstd</t>
  </si>
  <si>
    <t>Tstd ajustado</t>
  </si>
  <si>
    <t>CRP específico</t>
  </si>
  <si>
    <t>Cálculos de tiempos de ejecución ajustados</t>
  </si>
  <si>
    <t>Balance del Flujo del proceso</t>
  </si>
  <si>
    <t>Tstd ajsutado</t>
  </si>
  <si>
    <t>Tstd/trp</t>
  </si>
  <si>
    <t>Unidades buenas totales</t>
  </si>
  <si>
    <t>TRP</t>
  </si>
  <si>
    <t>Componente W</t>
  </si>
  <si>
    <t>Capacidad Disponible</t>
  </si>
  <si>
    <t># de Máq</t>
  </si>
  <si>
    <t>Carga min/und</t>
  </si>
  <si>
    <t>Carga de trabajo esperada y tiempo extra por departamento</t>
  </si>
  <si>
    <t>Carga</t>
  </si>
  <si>
    <t>Tiempo extra</t>
  </si>
  <si>
    <t>Tiempo extra máximo</t>
  </si>
  <si>
    <t>Salario regular por hora</t>
  </si>
  <si>
    <t>Salario tiempo extra por hr.</t>
  </si>
  <si>
    <t>Costo de conservación</t>
  </si>
  <si>
    <t>Gasto de depreciación por maq</t>
  </si>
  <si>
    <t>Gastos de operación por periodo</t>
  </si>
  <si>
    <t>Costo T extra</t>
  </si>
  <si>
    <t>Costo de conservación total</t>
  </si>
  <si>
    <t>Ch</t>
  </si>
  <si>
    <t>Ventas</t>
  </si>
  <si>
    <t>CMP</t>
  </si>
  <si>
    <t>U bruta</t>
  </si>
  <si>
    <t>Producto</t>
  </si>
  <si>
    <t>Precio</t>
  </si>
  <si>
    <t>Producción promedio</t>
  </si>
  <si>
    <t>Gastos de operación</t>
  </si>
  <si>
    <t>Gastos por salarios</t>
  </si>
  <si>
    <t>Costos de conservación</t>
  </si>
  <si>
    <t>Gastos por depreciación</t>
  </si>
  <si>
    <t>Inventario medio</t>
  </si>
  <si>
    <t>UAII</t>
  </si>
  <si>
    <t>M1</t>
  </si>
  <si>
    <t>M2</t>
  </si>
  <si>
    <t>M3</t>
  </si>
  <si>
    <t>Fp promedio =</t>
  </si>
  <si>
    <t>Formulación del pedido</t>
    <phoneticPr fontId="2" type="noConversion"/>
  </si>
  <si>
    <t>Inventario final</t>
    <phoneticPr fontId="2" type="noConversion"/>
  </si>
  <si>
    <t>PNM</t>
    <phoneticPr fontId="2" type="noConversion"/>
  </si>
  <si>
    <t>Disponible</t>
    <phoneticPr fontId="2" type="noConversion"/>
  </si>
  <si>
    <t>Pedido adicional</t>
  </si>
  <si>
    <t>Plan de compras</t>
    <phoneticPr fontId="2" type="noConversion"/>
  </si>
  <si>
    <t>Invenatrio inical</t>
    <phoneticPr fontId="2" type="noConversion"/>
  </si>
  <si>
    <t>Inventario final</t>
    <phoneticPr fontId="2" type="noConversion"/>
  </si>
  <si>
    <t>Desperdicio</t>
    <phoneticPr fontId="2" type="noConversion"/>
  </si>
  <si>
    <t>Plan de producción</t>
    <phoneticPr fontId="2" type="noConversion"/>
  </si>
  <si>
    <t>Inventario inicial</t>
    <phoneticPr fontId="2" type="noConversion"/>
  </si>
  <si>
    <t>Inventario de seguridad</t>
    <phoneticPr fontId="2" type="noConversion"/>
  </si>
  <si>
    <t>Desperdicio</t>
    <phoneticPr fontId="2" type="noConversion"/>
  </si>
  <si>
    <t>Operario 1</t>
  </si>
  <si>
    <t>Operario 2</t>
  </si>
  <si>
    <t>Operario 3</t>
  </si>
  <si>
    <t>Operario 4</t>
  </si>
  <si>
    <t>LM</t>
  </si>
  <si>
    <t>M</t>
  </si>
  <si>
    <t>Asignación</t>
  </si>
  <si>
    <t>Máquina</t>
  </si>
  <si>
    <t>M1 y LM</t>
  </si>
  <si>
    <t>M2 y M3</t>
  </si>
  <si>
    <t>M2 y LM</t>
  </si>
  <si>
    <t>Min reales por unidad</t>
  </si>
  <si>
    <t>K</t>
  </si>
  <si>
    <t>Vi</t>
  </si>
  <si>
    <t>Inventario inicial</t>
  </si>
  <si>
    <t>Aumento transitorio</t>
  </si>
  <si>
    <t>Plan de producción promedio</t>
  </si>
  <si>
    <t>MRP de K nivelación</t>
  </si>
  <si>
    <r>
      <t xml:space="preserve">Fp </t>
    </r>
    <r>
      <rPr>
        <sz val="8"/>
        <rFont val="Verdana"/>
      </rPr>
      <t xml:space="preserve">1 </t>
    </r>
    <r>
      <rPr>
        <sz val="10"/>
        <rFont val="Verdana"/>
      </rPr>
      <t>=</t>
    </r>
  </si>
  <si>
    <r>
      <t>Necesidad de K</t>
    </r>
    <r>
      <rPr>
        <vertAlign val="subscript"/>
        <sz val="10"/>
        <rFont val="Verdana"/>
      </rPr>
      <t>1</t>
    </r>
    <r>
      <rPr>
        <sz val="10"/>
        <rFont val="Verdana"/>
      </rPr>
      <t xml:space="preserve">  =</t>
    </r>
  </si>
  <si>
    <r>
      <t>Necesidad de K</t>
    </r>
    <r>
      <rPr>
        <vertAlign val="subscript"/>
        <sz val="10"/>
        <rFont val="Verdana"/>
      </rPr>
      <t>2</t>
    </r>
    <r>
      <rPr>
        <sz val="10"/>
        <rFont val="Verdana"/>
      </rPr>
      <t xml:space="preserve">  =</t>
    </r>
  </si>
  <si>
    <r>
      <t>Necesidad de K</t>
    </r>
    <r>
      <rPr>
        <vertAlign val="subscript"/>
        <sz val="10"/>
        <rFont val="Verdana"/>
      </rPr>
      <t>0</t>
    </r>
    <r>
      <rPr>
        <sz val="10"/>
        <rFont val="Verdana"/>
      </rPr>
      <t xml:space="preserve">  =</t>
    </r>
  </si>
  <si>
    <r>
      <t xml:space="preserve">Fp </t>
    </r>
    <r>
      <rPr>
        <sz val="8"/>
        <rFont val="Verdana"/>
      </rPr>
      <t xml:space="preserve">0 </t>
    </r>
    <r>
      <rPr>
        <sz val="10"/>
        <rFont val="Verdana"/>
      </rPr>
      <t>=</t>
    </r>
  </si>
  <si>
    <t>Necesidades Agregadas de X</t>
  </si>
  <si>
    <t>X para P</t>
  </si>
  <si>
    <t>X para Q</t>
  </si>
  <si>
    <t>Total</t>
  </si>
  <si>
    <t>X para W</t>
  </si>
  <si>
    <t>X para K</t>
  </si>
  <si>
    <t>Formulaciones de pedido</t>
  </si>
  <si>
    <t>Operarios</t>
  </si>
  <si>
    <t>MPS por Nivelación</t>
  </si>
  <si>
    <t>MRP de W nivelado</t>
  </si>
  <si>
    <t>MRP de X persecución</t>
  </si>
  <si>
    <t>d.</t>
  </si>
  <si>
    <t>c.</t>
  </si>
  <si>
    <t>Retraso promedio</t>
  </si>
  <si>
    <t>Órdenes retrasadas</t>
  </si>
  <si>
    <t>Flujo promedio</t>
  </si>
  <si>
    <t>b.</t>
  </si>
  <si>
    <t>a.</t>
  </si>
  <si>
    <t>Adelanto/Atraso</t>
  </si>
  <si>
    <t>Fprometida</t>
  </si>
  <si>
    <t>Fin</t>
  </si>
  <si>
    <t>Inicio</t>
  </si>
  <si>
    <t>Tproceso</t>
  </si>
  <si>
    <t>Orden</t>
  </si>
  <si>
    <t>MINPRT</t>
  </si>
  <si>
    <t>PEPS</t>
  </si>
  <si>
    <t>Fecha de entrega en minutos después de las 6 a.m.</t>
  </si>
  <si>
    <t>Tiempo de procesamiento (min.)</t>
  </si>
  <si>
    <t>Debe comprar otro cilindro de helio.</t>
  </si>
  <si>
    <t>e.</t>
  </si>
  <si>
    <t>Debe cambiar su sistema de inflado de bombas el mismo día.</t>
  </si>
  <si>
    <t>El método de MINPRT reduce la cantidad de órdenes retrasadas. Sin embargo las órdenes que se retrasan aumentan considerablemente.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</si>
</sst>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$-409]#,##0.00"/>
    <numFmt numFmtId="165" formatCode="0.0%"/>
    <numFmt numFmtId="166" formatCode="_([$$-409]* #,##0.00_);_([$$-409]* \(#,##0.00\);_([$$-409]* &quot;-&quot;??_);_(@_)"/>
    <numFmt numFmtId="167" formatCode="[$$-409]#,##0"/>
    <numFmt numFmtId="168" formatCode="0.000"/>
  </numFmts>
  <fonts count="15" x14ac:knownFonts="1">
    <font>
      <sz val="10"/>
      <name val="Verdana"/>
    </font>
    <font>
      <sz val="12"/>
      <color theme="1"/>
      <name val="Calibri"/>
      <family val="2"/>
      <scheme val="minor"/>
    </font>
    <font>
      <sz val="8"/>
      <name val="Verdana"/>
    </font>
    <font>
      <b/>
      <sz val="10"/>
      <name val="Arial"/>
      <family val="2"/>
    </font>
    <font>
      <sz val="10"/>
      <name val="Arial"/>
    </font>
    <font>
      <sz val="10"/>
      <color indexed="12"/>
      <name val="Arial"/>
      <family val="2"/>
    </font>
    <font>
      <vertAlign val="subscript"/>
      <sz val="10"/>
      <name val="Verdana"/>
    </font>
    <font>
      <b/>
      <sz val="10"/>
      <color indexed="10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b/>
      <sz val="10"/>
      <name val="Verdana"/>
    </font>
    <font>
      <sz val="10"/>
      <name val="Verdana"/>
    </font>
    <font>
      <b/>
      <sz val="12"/>
      <color indexed="10"/>
      <name val="Arial"/>
    </font>
    <font>
      <b/>
      <sz val="10"/>
      <color rgb="FFFF0000"/>
      <name val="Verdana"/>
    </font>
    <font>
      <sz val="12"/>
      <color theme="1"/>
      <name val="Cambria"/>
    </font>
  </fonts>
  <fills count="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0" fontId="5" fillId="2" borderId="1" xfId="0" applyFont="1" applyFill="1" applyBorder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7" fillId="0" borderId="1" xfId="0" applyFont="1" applyBorder="1"/>
    <xf numFmtId="1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 applyFill="1" applyBorder="1"/>
    <xf numFmtId="0" fontId="0" fillId="0" borderId="0" xfId="0" applyBorder="1"/>
    <xf numFmtId="1" fontId="0" fillId="0" borderId="0" xfId="0" applyNumberFormat="1" applyBorder="1"/>
    <xf numFmtId="0" fontId="10" fillId="0" borderId="1" xfId="0" applyFont="1" applyBorder="1"/>
    <xf numFmtId="9" fontId="0" fillId="0" borderId="0" xfId="83" applyFont="1"/>
    <xf numFmtId="165" fontId="0" fillId="0" borderId="0" xfId="83" applyNumberFormat="1" applyFont="1"/>
    <xf numFmtId="165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10" fillId="0" borderId="1" xfId="0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Font="1" applyFill="1" applyBorder="1"/>
    <xf numFmtId="0" fontId="0" fillId="0" borderId="0" xfId="0" applyAlignment="1">
      <alignment horizontal="center" wrapText="1"/>
    </xf>
    <xf numFmtId="0" fontId="12" fillId="0" borderId="0" xfId="0" applyFont="1"/>
    <xf numFmtId="166" fontId="0" fillId="0" borderId="0" xfId="0" applyNumberFormat="1"/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/>
    </xf>
    <xf numFmtId="3" fontId="0" fillId="0" borderId="0" xfId="0" applyNumberFormat="1"/>
    <xf numFmtId="167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83" applyNumberFormat="1" applyFont="1"/>
    <xf numFmtId="3" fontId="0" fillId="0" borderId="0" xfId="0" applyNumberForma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/>
    <xf numFmtId="0" fontId="0" fillId="0" borderId="0" xfId="0" applyFill="1" applyBorder="1" applyAlignment="1">
      <alignment horizontal="center"/>
    </xf>
    <xf numFmtId="168" fontId="0" fillId="0" borderId="0" xfId="0" applyNumberFormat="1" applyFont="1" applyFill="1" applyBorder="1"/>
    <xf numFmtId="0" fontId="0" fillId="0" borderId="5" xfId="0" applyBorder="1" applyAlignment="1"/>
    <xf numFmtId="0" fontId="0" fillId="0" borderId="0" xfId="0" applyBorder="1" applyAlignment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2" fontId="0" fillId="0" borderId="0" xfId="0" applyNumberFormat="1" applyBorder="1"/>
    <xf numFmtId="0" fontId="0" fillId="0" borderId="5" xfId="0" applyFont="1" applyFill="1" applyBorder="1"/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168" fontId="0" fillId="0" borderId="0" xfId="0" applyNumberFormat="1" applyBorder="1"/>
    <xf numFmtId="166" fontId="0" fillId="0" borderId="0" xfId="0" applyNumberFormat="1" applyBorder="1"/>
    <xf numFmtId="0" fontId="0" fillId="0" borderId="7" xfId="0" applyBorder="1"/>
    <xf numFmtId="0" fontId="0" fillId="0" borderId="8" xfId="0" applyBorder="1"/>
    <xf numFmtId="166" fontId="0" fillId="0" borderId="8" xfId="0" applyNumberFormat="1" applyBorder="1"/>
    <xf numFmtId="0" fontId="0" fillId="0" borderId="9" xfId="0" applyBorder="1"/>
    <xf numFmtId="168" fontId="0" fillId="0" borderId="6" xfId="0" applyNumberFormat="1" applyBorder="1"/>
    <xf numFmtId="0" fontId="0" fillId="0" borderId="0" xfId="0" applyAlignment="1">
      <alignment horizontal="center"/>
    </xf>
    <xf numFmtId="0" fontId="1" fillId="0" borderId="0" xfId="418"/>
    <xf numFmtId="0" fontId="1" fillId="0" borderId="0" xfId="418" applyFont="1" applyAlignment="1">
      <alignment horizontal="center"/>
    </xf>
    <xf numFmtId="0" fontId="1" fillId="0" borderId="0" xfId="418" applyFont="1" applyBorder="1" applyAlignment="1">
      <alignment horizontal="center" vertical="center" wrapText="1"/>
    </xf>
    <xf numFmtId="0" fontId="1" fillId="0" borderId="0" xfId="418" applyAlignment="1">
      <alignment horizontal="center"/>
    </xf>
    <xf numFmtId="0" fontId="1" fillId="0" borderId="0" xfId="418" applyFont="1" applyFill="1" applyBorder="1" applyAlignment="1">
      <alignment horizontal="center" vertical="center" wrapText="1"/>
    </xf>
    <xf numFmtId="2" fontId="1" fillId="0" borderId="0" xfId="418" applyNumberFormat="1" applyAlignment="1">
      <alignment horizontal="center"/>
    </xf>
    <xf numFmtId="0" fontId="14" fillId="0" borderId="9" xfId="418" applyFont="1" applyBorder="1" applyAlignment="1">
      <alignment horizontal="center" vertical="center" wrapText="1"/>
    </xf>
    <xf numFmtId="0" fontId="14" fillId="0" borderId="13" xfId="418" applyFont="1" applyBorder="1" applyAlignment="1">
      <alignment horizontal="justify" vertical="center" wrapText="1"/>
    </xf>
    <xf numFmtId="0" fontId="14" fillId="0" borderId="12" xfId="418" applyFont="1" applyBorder="1" applyAlignment="1">
      <alignment horizontal="center" vertical="center" wrapText="1"/>
    </xf>
    <xf numFmtId="0" fontId="14" fillId="0" borderId="14" xfId="418" applyFont="1" applyBorder="1" applyAlignment="1">
      <alignment horizontal="justify" vertical="center" wrapText="1"/>
    </xf>
    <xf numFmtId="168" fontId="1" fillId="0" borderId="0" xfId="418" applyNumberFormat="1"/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4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9" builtinId="8" hidden="1"/>
    <cellStyle name="Normal" xfId="0" builtinId="0"/>
    <cellStyle name="Normal 2" xfId="418"/>
    <cellStyle name="Percent" xfId="83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474136</xdr:colOff>
      <xdr:row>8</xdr:row>
      <xdr:rowOff>160865</xdr:rowOff>
    </xdr:from>
    <xdr:to>
      <xdr:col>5</xdr:col>
      <xdr:colOff>482599</xdr:colOff>
      <xdr:row>13</xdr:row>
      <xdr:rowOff>25403</xdr:rowOff>
    </xdr:to>
    <xdr:cxnSp macro="">
      <xdr:nvCxnSpPr>
        <xdr:cNvPr id="2" name="Straight Connector 1"/>
        <xdr:cNvCxnSpPr/>
      </xdr:nvCxnSpPr>
      <xdr:spPr>
        <a:xfrm flipH="1">
          <a:off x="5257803" y="1515532"/>
          <a:ext cx="8463" cy="711204"/>
        </a:xfrm>
        <a:prstGeom prst="line">
          <a:avLst/>
        </a:prstGeom>
        <a:ln w="12700"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101600</xdr:colOff>
      <xdr:row>11</xdr:row>
      <xdr:rowOff>84666</xdr:rowOff>
    </xdr:from>
    <xdr:to>
      <xdr:col>5</xdr:col>
      <xdr:colOff>905933</xdr:colOff>
      <xdr:row>11</xdr:row>
      <xdr:rowOff>93133</xdr:rowOff>
    </xdr:to>
    <xdr:cxnSp macro="">
      <xdr:nvCxnSpPr>
        <xdr:cNvPr id="4" name="Straight Connector 3"/>
        <xdr:cNvCxnSpPr/>
      </xdr:nvCxnSpPr>
      <xdr:spPr>
        <a:xfrm>
          <a:off x="2015067" y="1947333"/>
          <a:ext cx="3674533" cy="8467"/>
        </a:xfrm>
        <a:prstGeom prst="line">
          <a:avLst/>
        </a:prstGeom>
        <a:ln w="12700"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482603</xdr:colOff>
      <xdr:row>15</xdr:row>
      <xdr:rowOff>33870</xdr:rowOff>
    </xdr:from>
    <xdr:to>
      <xdr:col>5</xdr:col>
      <xdr:colOff>491066</xdr:colOff>
      <xdr:row>19</xdr:row>
      <xdr:rowOff>67741</xdr:rowOff>
    </xdr:to>
    <xdr:cxnSp macro="">
      <xdr:nvCxnSpPr>
        <xdr:cNvPr id="7" name="Straight Connector 6"/>
        <xdr:cNvCxnSpPr/>
      </xdr:nvCxnSpPr>
      <xdr:spPr>
        <a:xfrm flipH="1">
          <a:off x="5266270" y="2573870"/>
          <a:ext cx="8463" cy="711204"/>
        </a:xfrm>
        <a:prstGeom prst="line">
          <a:avLst/>
        </a:prstGeom>
        <a:ln w="12700"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126999</xdr:colOff>
      <xdr:row>17</xdr:row>
      <xdr:rowOff>93133</xdr:rowOff>
    </xdr:from>
    <xdr:to>
      <xdr:col>5</xdr:col>
      <xdr:colOff>931332</xdr:colOff>
      <xdr:row>17</xdr:row>
      <xdr:rowOff>101600</xdr:rowOff>
    </xdr:to>
    <xdr:cxnSp macro="">
      <xdr:nvCxnSpPr>
        <xdr:cNvPr id="8" name="Straight Connector 7"/>
        <xdr:cNvCxnSpPr/>
      </xdr:nvCxnSpPr>
      <xdr:spPr>
        <a:xfrm>
          <a:off x="2040466" y="2971800"/>
          <a:ext cx="3674533" cy="8467"/>
        </a:xfrm>
        <a:prstGeom prst="line">
          <a:avLst/>
        </a:prstGeom>
        <a:ln w="12700"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474133</xdr:colOff>
      <xdr:row>14</xdr:row>
      <xdr:rowOff>152400</xdr:rowOff>
    </xdr:from>
    <xdr:to>
      <xdr:col>2</xdr:col>
      <xdr:colOff>482596</xdr:colOff>
      <xdr:row>19</xdr:row>
      <xdr:rowOff>16938</xdr:rowOff>
    </xdr:to>
    <xdr:cxnSp macro="">
      <xdr:nvCxnSpPr>
        <xdr:cNvPr id="9" name="Straight Connector 8"/>
        <xdr:cNvCxnSpPr/>
      </xdr:nvCxnSpPr>
      <xdr:spPr>
        <a:xfrm flipH="1">
          <a:off x="2387600" y="2523067"/>
          <a:ext cx="8463" cy="711204"/>
        </a:xfrm>
        <a:prstGeom prst="line">
          <a:avLst/>
        </a:prstGeom>
        <a:ln w="12700"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482603</xdr:colOff>
      <xdr:row>22</xdr:row>
      <xdr:rowOff>33870</xdr:rowOff>
    </xdr:from>
    <xdr:to>
      <xdr:col>5</xdr:col>
      <xdr:colOff>491066</xdr:colOff>
      <xdr:row>26</xdr:row>
      <xdr:rowOff>67741</xdr:rowOff>
    </xdr:to>
    <xdr:cxnSp macro="">
      <xdr:nvCxnSpPr>
        <xdr:cNvPr id="10" name="Straight Connector 9"/>
        <xdr:cNvCxnSpPr/>
      </xdr:nvCxnSpPr>
      <xdr:spPr>
        <a:xfrm flipH="1">
          <a:off x="5266270" y="2573870"/>
          <a:ext cx="8463" cy="711204"/>
        </a:xfrm>
        <a:prstGeom prst="line">
          <a:avLst/>
        </a:prstGeom>
        <a:ln w="12700"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126999</xdr:colOff>
      <xdr:row>24</xdr:row>
      <xdr:rowOff>93133</xdr:rowOff>
    </xdr:from>
    <xdr:to>
      <xdr:col>5</xdr:col>
      <xdr:colOff>931332</xdr:colOff>
      <xdr:row>24</xdr:row>
      <xdr:rowOff>101600</xdr:rowOff>
    </xdr:to>
    <xdr:cxnSp macro="">
      <xdr:nvCxnSpPr>
        <xdr:cNvPr id="11" name="Straight Connector 10"/>
        <xdr:cNvCxnSpPr/>
      </xdr:nvCxnSpPr>
      <xdr:spPr>
        <a:xfrm>
          <a:off x="2040466" y="2971800"/>
          <a:ext cx="3674533" cy="8467"/>
        </a:xfrm>
        <a:prstGeom prst="line">
          <a:avLst/>
        </a:prstGeom>
        <a:ln w="12700"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474133</xdr:colOff>
      <xdr:row>21</xdr:row>
      <xdr:rowOff>152400</xdr:rowOff>
    </xdr:from>
    <xdr:to>
      <xdr:col>2</xdr:col>
      <xdr:colOff>482596</xdr:colOff>
      <xdr:row>26</xdr:row>
      <xdr:rowOff>16938</xdr:rowOff>
    </xdr:to>
    <xdr:cxnSp macro="">
      <xdr:nvCxnSpPr>
        <xdr:cNvPr id="12" name="Straight Connector 11"/>
        <xdr:cNvCxnSpPr/>
      </xdr:nvCxnSpPr>
      <xdr:spPr>
        <a:xfrm flipH="1">
          <a:off x="2387600" y="2523067"/>
          <a:ext cx="8463" cy="711204"/>
        </a:xfrm>
        <a:prstGeom prst="line">
          <a:avLst/>
        </a:prstGeom>
        <a:ln w="12700"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118532</xdr:colOff>
      <xdr:row>25</xdr:row>
      <xdr:rowOff>76200</xdr:rowOff>
    </xdr:from>
    <xdr:to>
      <xdr:col>5</xdr:col>
      <xdr:colOff>922865</xdr:colOff>
      <xdr:row>25</xdr:row>
      <xdr:rowOff>84667</xdr:rowOff>
    </xdr:to>
    <xdr:cxnSp macro="">
      <xdr:nvCxnSpPr>
        <xdr:cNvPr id="13" name="Straight Connector 12"/>
        <xdr:cNvCxnSpPr/>
      </xdr:nvCxnSpPr>
      <xdr:spPr>
        <a:xfrm>
          <a:off x="2031999" y="4309533"/>
          <a:ext cx="3674533" cy="8467"/>
        </a:xfrm>
        <a:prstGeom prst="line">
          <a:avLst/>
        </a:prstGeom>
        <a:ln w="12700"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2"/>
  <sheetViews>
    <sheetView zoomScale="125" zoomScaleNormal="125" zoomScalePageLayoutView="125" workbookViewId="0">
      <selection activeCell="A8" sqref="A8"/>
    </sheetView>
  </sheetViews>
  <sheetFormatPr baseColWidth="10" defaultRowHeight="13" x14ac:dyDescent="0"/>
  <sheetData>
    <row r="3" spans="2:6">
      <c r="B3" s="40"/>
      <c r="C3" s="40" t="s">
        <v>64</v>
      </c>
      <c r="D3" s="40" t="s">
        <v>65</v>
      </c>
      <c r="E3" s="40" t="s">
        <v>66</v>
      </c>
      <c r="F3" s="40" t="s">
        <v>85</v>
      </c>
    </row>
    <row r="4" spans="2:6">
      <c r="B4" s="40" t="s">
        <v>81</v>
      </c>
      <c r="C4" s="40">
        <v>250</v>
      </c>
      <c r="D4" s="40">
        <v>750</v>
      </c>
      <c r="E4" s="40">
        <v>1000</v>
      </c>
      <c r="F4" s="40" t="s">
        <v>86</v>
      </c>
    </row>
    <row r="5" spans="2:6">
      <c r="B5" s="40" t="s">
        <v>82</v>
      </c>
      <c r="C5" s="40">
        <v>750</v>
      </c>
      <c r="D5" s="40">
        <v>940</v>
      </c>
      <c r="E5" s="40">
        <v>1875</v>
      </c>
      <c r="F5" s="40" t="s">
        <v>86</v>
      </c>
    </row>
    <row r="6" spans="2:6">
      <c r="B6" s="40" t="s">
        <v>83</v>
      </c>
      <c r="C6" s="40">
        <v>200</v>
      </c>
      <c r="D6" s="40">
        <v>100</v>
      </c>
      <c r="E6" s="40">
        <v>300</v>
      </c>
      <c r="F6" s="40" t="s">
        <v>86</v>
      </c>
    </row>
    <row r="7" spans="2:6">
      <c r="B7" s="40" t="s">
        <v>84</v>
      </c>
      <c r="C7" s="40">
        <v>1475</v>
      </c>
      <c r="D7" s="40">
        <v>720</v>
      </c>
      <c r="E7" s="40">
        <v>1190</v>
      </c>
      <c r="F7" s="40" t="s">
        <v>86</v>
      </c>
    </row>
    <row r="9" spans="2:6">
      <c r="B9" s="40"/>
      <c r="C9" s="23" t="s">
        <v>64</v>
      </c>
      <c r="D9" s="23" t="s">
        <v>65</v>
      </c>
      <c r="E9" s="23" t="s">
        <v>66</v>
      </c>
      <c r="F9" s="23" t="s">
        <v>85</v>
      </c>
    </row>
    <row r="10" spans="2:6">
      <c r="B10" s="40" t="s">
        <v>81</v>
      </c>
      <c r="C10" s="23">
        <f>C4-200</f>
        <v>50</v>
      </c>
      <c r="D10" s="23">
        <f>D4-100</f>
        <v>650</v>
      </c>
      <c r="E10" s="23">
        <f>E4-300</f>
        <v>700</v>
      </c>
      <c r="F10" s="23">
        <v>0</v>
      </c>
    </row>
    <row r="11" spans="2:6">
      <c r="B11" s="40" t="s">
        <v>82</v>
      </c>
      <c r="C11" s="23">
        <f>C5-200</f>
        <v>550</v>
      </c>
      <c r="D11" s="23">
        <f>D5-100</f>
        <v>840</v>
      </c>
      <c r="E11" s="23">
        <f>E5-300</f>
        <v>1575</v>
      </c>
      <c r="F11" s="23">
        <v>0</v>
      </c>
    </row>
    <row r="12" spans="2:6">
      <c r="B12" s="40" t="s">
        <v>83</v>
      </c>
      <c r="C12" s="23">
        <f>C6-200</f>
        <v>0</v>
      </c>
      <c r="D12" s="23">
        <f>D6-100</f>
        <v>0</v>
      </c>
      <c r="E12" s="23">
        <f>E6-300</f>
        <v>0</v>
      </c>
      <c r="F12" s="23">
        <v>0</v>
      </c>
    </row>
    <row r="13" spans="2:6">
      <c r="B13" s="40" t="s">
        <v>84</v>
      </c>
      <c r="C13" s="23">
        <f>C7-200</f>
        <v>1275</v>
      </c>
      <c r="D13" s="23">
        <f>D7-100</f>
        <v>620</v>
      </c>
      <c r="E13" s="23">
        <f>E7-300</f>
        <v>890</v>
      </c>
      <c r="F13" s="23">
        <v>0</v>
      </c>
    </row>
    <row r="14" spans="2:6">
      <c r="C14" s="17"/>
      <c r="D14" s="17"/>
      <c r="E14" s="17"/>
      <c r="F14" s="17"/>
    </row>
    <row r="15" spans="2:6">
      <c r="B15" s="40"/>
      <c r="C15" s="23" t="s">
        <v>64</v>
      </c>
      <c r="D15" s="23" t="s">
        <v>65</v>
      </c>
      <c r="E15" s="23" t="s">
        <v>66</v>
      </c>
      <c r="F15" s="23" t="s">
        <v>85</v>
      </c>
    </row>
    <row r="16" spans="2:6">
      <c r="B16" s="40" t="s">
        <v>81</v>
      </c>
      <c r="C16" s="23">
        <f t="shared" ref="C16:E17" si="0">C10-50</f>
        <v>0</v>
      </c>
      <c r="D16" s="23">
        <f t="shared" si="0"/>
        <v>600</v>
      </c>
      <c r="E16" s="23">
        <f t="shared" si="0"/>
        <v>650</v>
      </c>
      <c r="F16" s="23">
        <v>0</v>
      </c>
    </row>
    <row r="17" spans="2:6">
      <c r="B17" s="40" t="s">
        <v>82</v>
      </c>
      <c r="C17" s="23">
        <f t="shared" si="0"/>
        <v>500</v>
      </c>
      <c r="D17" s="23">
        <f t="shared" si="0"/>
        <v>790</v>
      </c>
      <c r="E17" s="23">
        <f t="shared" si="0"/>
        <v>1525</v>
      </c>
      <c r="F17" s="23">
        <v>0</v>
      </c>
    </row>
    <row r="18" spans="2:6">
      <c r="B18" s="40" t="s">
        <v>83</v>
      </c>
      <c r="C18" s="23">
        <v>0</v>
      </c>
      <c r="D18" s="23">
        <v>0</v>
      </c>
      <c r="E18" s="23">
        <v>0</v>
      </c>
      <c r="F18" s="23">
        <v>50</v>
      </c>
    </row>
    <row r="19" spans="2:6">
      <c r="B19" s="40" t="s">
        <v>84</v>
      </c>
      <c r="C19" s="23">
        <f>C13-50</f>
        <v>1225</v>
      </c>
      <c r="D19" s="23">
        <f>D13-50</f>
        <v>570</v>
      </c>
      <c r="E19" s="23">
        <f>E13-50</f>
        <v>840</v>
      </c>
      <c r="F19" s="23">
        <v>0</v>
      </c>
    </row>
    <row r="22" spans="2:6">
      <c r="B22" s="40"/>
      <c r="C22" s="23" t="s">
        <v>64</v>
      </c>
      <c r="D22" s="23" t="s">
        <v>65</v>
      </c>
      <c r="E22" s="23" t="s">
        <v>66</v>
      </c>
      <c r="F22" s="23" t="s">
        <v>85</v>
      </c>
    </row>
    <row r="23" spans="2:6">
      <c r="B23" s="40" t="s">
        <v>81</v>
      </c>
      <c r="C23" s="23">
        <v>0</v>
      </c>
      <c r="D23" s="23">
        <f>D16-570</f>
        <v>30</v>
      </c>
      <c r="E23" s="23">
        <f>E16-570</f>
        <v>80</v>
      </c>
      <c r="F23" s="23">
        <v>0</v>
      </c>
    </row>
    <row r="24" spans="2:6">
      <c r="B24" s="40" t="s">
        <v>82</v>
      </c>
      <c r="C24" s="23">
        <v>500</v>
      </c>
      <c r="D24" s="23">
        <f>D17-570</f>
        <v>220</v>
      </c>
      <c r="E24" s="23">
        <f>E17-570</f>
        <v>955</v>
      </c>
      <c r="F24" s="23">
        <v>0</v>
      </c>
    </row>
    <row r="25" spans="2:6">
      <c r="B25" s="40" t="s">
        <v>83</v>
      </c>
      <c r="C25" s="23">
        <v>570</v>
      </c>
      <c r="D25" s="23">
        <v>0</v>
      </c>
      <c r="E25" s="23">
        <v>0</v>
      </c>
      <c r="F25" s="23">
        <v>50</v>
      </c>
    </row>
    <row r="26" spans="2:6">
      <c r="B26" s="40" t="s">
        <v>84</v>
      </c>
      <c r="C26" s="23">
        <v>1225</v>
      </c>
      <c r="D26" s="23">
        <f>D19-570</f>
        <v>0</v>
      </c>
      <c r="E26" s="23">
        <f>E19-570</f>
        <v>270</v>
      </c>
      <c r="F26" s="23">
        <v>0</v>
      </c>
    </row>
    <row r="28" spans="2:6" ht="26">
      <c r="B28" s="40"/>
      <c r="C28" s="40" t="s">
        <v>88</v>
      </c>
      <c r="D28" s="40" t="s">
        <v>87</v>
      </c>
      <c r="E28" s="31" t="s">
        <v>92</v>
      </c>
    </row>
    <row r="29" spans="2:6">
      <c r="B29" s="40" t="s">
        <v>81</v>
      </c>
      <c r="C29" s="40" t="s">
        <v>89</v>
      </c>
      <c r="D29" s="40" t="s">
        <v>64</v>
      </c>
      <c r="E29" s="41">
        <f>(1.6*60)/100</f>
        <v>0.96</v>
      </c>
    </row>
    <row r="30" spans="2:6">
      <c r="B30" s="40" t="s">
        <v>82</v>
      </c>
      <c r="C30" s="40" t="s">
        <v>85</v>
      </c>
      <c r="D30" s="40" t="s">
        <v>12</v>
      </c>
      <c r="E30" s="40"/>
    </row>
    <row r="31" spans="2:6">
      <c r="B31" s="40" t="s">
        <v>83</v>
      </c>
      <c r="C31" s="40" t="s">
        <v>90</v>
      </c>
      <c r="D31" s="40" t="s">
        <v>66</v>
      </c>
      <c r="E31" s="41">
        <f>(1.3*60)/100</f>
        <v>0.78</v>
      </c>
    </row>
    <row r="32" spans="2:6">
      <c r="B32" s="40" t="s">
        <v>84</v>
      </c>
      <c r="C32" s="40" t="s">
        <v>91</v>
      </c>
      <c r="D32" s="40" t="s">
        <v>65</v>
      </c>
      <c r="E32" s="41">
        <f>(1.2*60)/100</f>
        <v>0.72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"/>
  <sheetViews>
    <sheetView tabSelected="1" workbookViewId="0">
      <selection activeCell="B43" sqref="B43"/>
    </sheetView>
  </sheetViews>
  <sheetFormatPr baseColWidth="10" defaultRowHeight="13" x14ac:dyDescent="0"/>
  <cols>
    <col min="1" max="1" width="26.140625" customWidth="1"/>
    <col min="2" max="2" width="11.42578125" customWidth="1"/>
    <col min="5" max="5" width="11.28515625" customWidth="1"/>
    <col min="6" max="6" width="10.85546875" customWidth="1"/>
    <col min="7" max="7" width="10.7109375" bestFit="1" customWidth="1"/>
    <col min="8" max="8" width="24.85546875" customWidth="1"/>
    <col min="9" max="9" width="12.140625" customWidth="1"/>
    <col min="10" max="10" width="12" customWidth="1"/>
    <col min="11" max="11" width="11" bestFit="1" customWidth="1"/>
    <col min="13" max="13" width="13.140625" customWidth="1"/>
    <col min="14" max="14" width="18.5703125" customWidth="1"/>
    <col min="15" max="15" width="13.140625" customWidth="1"/>
    <col min="19" max="19" width="4.7109375" customWidth="1"/>
    <col min="20" max="21" width="5.42578125" customWidth="1"/>
    <col min="22" max="22" width="5.28515625" customWidth="1"/>
  </cols>
  <sheetData>
    <row r="1" spans="1:18">
      <c r="B1" s="87" t="s">
        <v>18</v>
      </c>
      <c r="C1" s="87"/>
      <c r="D1" s="87"/>
      <c r="E1" s="87"/>
      <c r="H1" t="s">
        <v>43</v>
      </c>
      <c r="I1">
        <f>Q9*0.4</f>
        <v>1008</v>
      </c>
      <c r="K1" s="29" t="s">
        <v>55</v>
      </c>
      <c r="L1" s="29" t="s">
        <v>56</v>
      </c>
      <c r="M1" s="29" t="s">
        <v>53</v>
      </c>
    </row>
    <row r="2" spans="1:18">
      <c r="B2" s="26"/>
      <c r="C2" s="26" t="s">
        <v>16</v>
      </c>
      <c r="D2" s="26" t="s">
        <v>93</v>
      </c>
      <c r="E2" s="26" t="s">
        <v>17</v>
      </c>
      <c r="H2" s="34" t="s">
        <v>44</v>
      </c>
      <c r="I2" s="33">
        <v>2.5</v>
      </c>
      <c r="K2" s="29" t="s">
        <v>10</v>
      </c>
      <c r="L2" s="36">
        <v>650</v>
      </c>
      <c r="M2" s="29">
        <v>500</v>
      </c>
    </row>
    <row r="3" spans="1:18">
      <c r="B3" s="26" t="s">
        <v>10</v>
      </c>
      <c r="C3" s="26">
        <v>2</v>
      </c>
      <c r="D3" s="26" t="s">
        <v>12</v>
      </c>
      <c r="E3" s="26">
        <v>1</v>
      </c>
      <c r="H3" t="s">
        <v>45</v>
      </c>
      <c r="I3" s="33">
        <f>I2*1.5</f>
        <v>3.75</v>
      </c>
      <c r="K3" s="29" t="s">
        <v>11</v>
      </c>
      <c r="L3" s="36">
        <v>950</v>
      </c>
      <c r="M3" s="29">
        <v>800</v>
      </c>
    </row>
    <row r="4" spans="1:18">
      <c r="B4" s="26" t="s">
        <v>11</v>
      </c>
      <c r="C4" s="26">
        <v>2</v>
      </c>
      <c r="D4" s="26" t="s">
        <v>12</v>
      </c>
      <c r="E4" s="26">
        <v>1</v>
      </c>
      <c r="H4" t="s">
        <v>46</v>
      </c>
      <c r="I4" s="33">
        <v>0.12</v>
      </c>
    </row>
    <row r="5" spans="1:18">
      <c r="B5" s="26" t="s">
        <v>16</v>
      </c>
      <c r="C5" s="26" t="s">
        <v>12</v>
      </c>
      <c r="D5" s="26">
        <v>2</v>
      </c>
      <c r="E5" s="26">
        <v>3</v>
      </c>
      <c r="H5" s="34" t="s">
        <v>47</v>
      </c>
      <c r="I5" s="33">
        <f>(100000/10)/12</f>
        <v>833.33333333333337</v>
      </c>
    </row>
    <row r="6" spans="1:18">
      <c r="B6" s="42" t="s">
        <v>93</v>
      </c>
      <c r="C6" s="39" t="s">
        <v>12</v>
      </c>
      <c r="D6" s="39" t="s">
        <v>12</v>
      </c>
      <c r="E6" s="42">
        <v>4</v>
      </c>
      <c r="H6" t="s">
        <v>48</v>
      </c>
      <c r="I6" s="33">
        <v>100000</v>
      </c>
    </row>
    <row r="7" spans="1:18" ht="16" customHeight="1"/>
    <row r="8" spans="1:18" ht="27">
      <c r="A8" s="32" t="s">
        <v>112</v>
      </c>
      <c r="H8" s="32" t="s">
        <v>112</v>
      </c>
      <c r="O8" s="31" t="s">
        <v>34</v>
      </c>
      <c r="P8" s="31" t="s">
        <v>57</v>
      </c>
      <c r="Q8" s="31" t="s">
        <v>37</v>
      </c>
      <c r="R8" s="31" t="s">
        <v>35</v>
      </c>
    </row>
    <row r="9" spans="1:18">
      <c r="A9" s="1" t="s">
        <v>8</v>
      </c>
      <c r="H9" s="1" t="s">
        <v>9</v>
      </c>
      <c r="N9" t="s">
        <v>8</v>
      </c>
      <c r="O9" s="12">
        <f>(B13+C13+D13)-(B15+C15+D15)</f>
        <v>9300</v>
      </c>
      <c r="P9">
        <f>O9/3</f>
        <v>3100</v>
      </c>
      <c r="Q9">
        <v>2520</v>
      </c>
      <c r="R9" s="28">
        <f>Q9/(P9+P10)</f>
        <v>0.34626482847066364</v>
      </c>
    </row>
    <row r="10" spans="1:18">
      <c r="A10" s="2" t="s">
        <v>2</v>
      </c>
      <c r="B10" s="6">
        <v>1</v>
      </c>
      <c r="C10" s="6">
        <v>2</v>
      </c>
      <c r="D10" s="6">
        <v>3</v>
      </c>
      <c r="H10" s="2" t="s">
        <v>2</v>
      </c>
      <c r="I10" s="6">
        <v>1</v>
      </c>
      <c r="J10" s="6">
        <v>2</v>
      </c>
      <c r="K10" s="6">
        <v>3</v>
      </c>
      <c r="N10" t="s">
        <v>9</v>
      </c>
      <c r="O10" s="12">
        <f>(I13+J13+K13+J14)-(I15+J15+K15)</f>
        <v>12533</v>
      </c>
      <c r="P10" s="12">
        <f>O10/3</f>
        <v>4177.666666666667</v>
      </c>
      <c r="Q10">
        <f>Q9</f>
        <v>2520</v>
      </c>
      <c r="R10" s="28"/>
    </row>
    <row r="11" spans="1:18">
      <c r="A11" s="3" t="s">
        <v>3</v>
      </c>
      <c r="B11" s="27">
        <v>2500</v>
      </c>
      <c r="C11" s="27">
        <v>3000</v>
      </c>
      <c r="D11" s="27">
        <v>4000</v>
      </c>
      <c r="H11" s="3" t="s">
        <v>3</v>
      </c>
      <c r="I11" s="27">
        <v>3000</v>
      </c>
      <c r="J11" s="27">
        <v>5800</v>
      </c>
      <c r="K11" s="27">
        <v>3200</v>
      </c>
      <c r="N11" t="s">
        <v>36</v>
      </c>
      <c r="O11" s="12">
        <f>(B41+C41+D41)-(C37+D37+E37)</f>
        <v>46706.382978723406</v>
      </c>
      <c r="P11" s="12">
        <f>O11/3</f>
        <v>15568.794326241135</v>
      </c>
      <c r="Q11">
        <f>Q10</f>
        <v>2520</v>
      </c>
      <c r="R11" s="28">
        <f>Q11/P11</f>
        <v>0.16186224489795917</v>
      </c>
    </row>
    <row r="12" spans="1:18">
      <c r="A12" s="3" t="s">
        <v>4</v>
      </c>
      <c r="B12" s="27">
        <v>500</v>
      </c>
      <c r="C12" s="8">
        <f>B18</f>
        <v>1100</v>
      </c>
      <c r="D12" s="8">
        <f>C18</f>
        <v>1200</v>
      </c>
      <c r="H12" s="3" t="s">
        <v>4</v>
      </c>
      <c r="I12" s="39">
        <v>500</v>
      </c>
      <c r="J12" s="8">
        <f>I18</f>
        <v>1433.333333333333</v>
      </c>
      <c r="K12" s="8">
        <f>J18</f>
        <v>299.66666666666697</v>
      </c>
      <c r="O12" s="12"/>
      <c r="P12" s="12"/>
      <c r="R12" s="28"/>
    </row>
    <row r="13" spans="1:18">
      <c r="A13" s="3" t="s">
        <v>5</v>
      </c>
      <c r="B13" s="8">
        <f>C21</f>
        <v>3297.872340425532</v>
      </c>
      <c r="C13" s="8">
        <f>C21</f>
        <v>3297.872340425532</v>
      </c>
      <c r="D13" s="8">
        <f>C21</f>
        <v>3297.872340425532</v>
      </c>
      <c r="H13" s="3" t="s">
        <v>5</v>
      </c>
      <c r="I13" s="8">
        <f>J21</f>
        <v>4184.3971631205677</v>
      </c>
      <c r="J13" s="8">
        <f>J21</f>
        <v>4184.3971631205677</v>
      </c>
      <c r="K13" s="8">
        <f>J21</f>
        <v>4184.3971631205677</v>
      </c>
    </row>
    <row r="14" spans="1:18">
      <c r="A14" s="43" t="s">
        <v>96</v>
      </c>
      <c r="B14" s="39">
        <v>0</v>
      </c>
      <c r="C14" s="39">
        <v>0</v>
      </c>
      <c r="D14" s="39">
        <v>0</v>
      </c>
      <c r="H14" s="43" t="s">
        <v>96</v>
      </c>
      <c r="I14" s="39">
        <v>0</v>
      </c>
      <c r="J14" s="8">
        <f>K22</f>
        <v>779.78723404255322</v>
      </c>
      <c r="K14" s="39">
        <v>0</v>
      </c>
    </row>
    <row r="15" spans="1:18">
      <c r="A15" s="3" t="s">
        <v>80</v>
      </c>
      <c r="B15" s="8">
        <f>(B13+B14)*$B$27</f>
        <v>197.87234042553209</v>
      </c>
      <c r="C15" s="8">
        <f>(C13+C14)*$B$27</f>
        <v>197.87234042553209</v>
      </c>
      <c r="D15" s="8">
        <f>(D13+D14)*$B$27</f>
        <v>197.87234042553209</v>
      </c>
      <c r="H15" s="3" t="s">
        <v>76</v>
      </c>
      <c r="I15" s="8">
        <f>(I13+I14)*$C$27</f>
        <v>251.06382978723428</v>
      </c>
      <c r="J15" s="8">
        <f>(J13+J14)*$C$27</f>
        <v>297.85106382978751</v>
      </c>
      <c r="K15" s="8">
        <f>(K13+K14)*$C$27</f>
        <v>251.06382978723428</v>
      </c>
    </row>
    <row r="16" spans="1:18">
      <c r="A16" s="3" t="s">
        <v>6</v>
      </c>
      <c r="B16" s="8">
        <f>B12+B14+B13-B15</f>
        <v>3600</v>
      </c>
      <c r="C16" s="8">
        <f>C12+C14+C13-C15</f>
        <v>4200</v>
      </c>
      <c r="D16" s="8">
        <f>D12+D14+D13-D15</f>
        <v>4300</v>
      </c>
      <c r="H16" s="3" t="s">
        <v>6</v>
      </c>
      <c r="I16" s="8">
        <f>I12+I14+I13-I15</f>
        <v>4433.333333333333</v>
      </c>
      <c r="J16" s="8">
        <f>J12+J14+J13-J15</f>
        <v>6099.666666666667</v>
      </c>
      <c r="K16" s="8">
        <f>K12+K14+K13-K15</f>
        <v>4233</v>
      </c>
      <c r="N16" t="s">
        <v>52</v>
      </c>
      <c r="O16" s="37">
        <f>((B17+C17+D17)*L2)+((I17+J17+K17)*L3)</f>
        <v>17575000</v>
      </c>
    </row>
    <row r="17" spans="1:18">
      <c r="A17" s="3" t="s">
        <v>0</v>
      </c>
      <c r="B17" s="8">
        <f>B11</f>
        <v>2500</v>
      </c>
      <c r="C17" s="8">
        <f>C11</f>
        <v>3000</v>
      </c>
      <c r="D17" s="8">
        <f>D11</f>
        <v>4000</v>
      </c>
      <c r="H17" s="3" t="s">
        <v>0</v>
      </c>
      <c r="I17" s="8">
        <f>I11</f>
        <v>3000</v>
      </c>
      <c r="J17" s="8">
        <f>J11</f>
        <v>5800</v>
      </c>
      <c r="K17" s="8">
        <f>K11</f>
        <v>3200</v>
      </c>
      <c r="N17" t="s">
        <v>53</v>
      </c>
      <c r="O17" s="37">
        <f>((B13+C13+D13)*M2)+((I14+J14+K14)*M3)</f>
        <v>5570638.2978723403</v>
      </c>
    </row>
    <row r="18" spans="1:18">
      <c r="A18" s="3" t="s">
        <v>1</v>
      </c>
      <c r="B18" s="8">
        <f>B16-B17</f>
        <v>1100</v>
      </c>
      <c r="C18" s="8">
        <f>C16-C17</f>
        <v>1200</v>
      </c>
      <c r="D18" s="8">
        <f>D16-D17</f>
        <v>300</v>
      </c>
      <c r="H18" s="3" t="s">
        <v>1</v>
      </c>
      <c r="I18" s="8">
        <f>I16-I17</f>
        <v>1433.333333333333</v>
      </c>
      <c r="J18" s="8">
        <f>J16-J17</f>
        <v>299.66666666666697</v>
      </c>
      <c r="K18" s="8">
        <f>K16-K17</f>
        <v>1033</v>
      </c>
      <c r="N18" t="s">
        <v>54</v>
      </c>
      <c r="O18" s="38">
        <f>O16-O17</f>
        <v>12004361.70212766</v>
      </c>
    </row>
    <row r="19" spans="1:18">
      <c r="A19" s="4"/>
      <c r="B19" s="7"/>
      <c r="C19" s="7"/>
      <c r="D19" s="7"/>
      <c r="H19" s="4"/>
      <c r="I19" s="7"/>
      <c r="J19" s="7"/>
      <c r="K19" s="7"/>
      <c r="N19" t="s">
        <v>58</v>
      </c>
      <c r="O19" s="37">
        <f>I6*3</f>
        <v>300000</v>
      </c>
    </row>
    <row r="20" spans="1:18">
      <c r="A20" s="17"/>
      <c r="B20" s="9"/>
      <c r="C20" s="9"/>
      <c r="D20" s="9"/>
      <c r="E20" s="10"/>
      <c r="F20" s="10"/>
      <c r="G20" s="10"/>
      <c r="N20" t="s">
        <v>59</v>
      </c>
      <c r="O20" s="37">
        <f>((F77+F78+F79)*((8600/60)*I2)*3)+F87</f>
        <v>15274.820877402362</v>
      </c>
    </row>
    <row r="21" spans="1:18">
      <c r="A21" s="16" t="s">
        <v>97</v>
      </c>
      <c r="B21" s="45">
        <f>((B11+C11+D11)+B25-B12)/3</f>
        <v>3100</v>
      </c>
      <c r="C21" s="45">
        <f>B21/B26</f>
        <v>3297.872340425532</v>
      </c>
      <c r="D21" s="9"/>
      <c r="E21" s="10"/>
      <c r="F21" s="10"/>
      <c r="G21" s="10"/>
      <c r="H21" s="16" t="s">
        <v>97</v>
      </c>
      <c r="I21" s="45">
        <f>((I11+J11+K11)+C25-I12)/3</f>
        <v>3933.3333333333335</v>
      </c>
      <c r="J21" s="45">
        <f>I21/C26</f>
        <v>4184.3971631205677</v>
      </c>
      <c r="O21" s="37"/>
    </row>
    <row r="22" spans="1:18">
      <c r="A22" s="17"/>
      <c r="B22" s="9"/>
      <c r="C22" s="9"/>
      <c r="D22" s="9"/>
      <c r="E22" s="10"/>
      <c r="F22" s="10"/>
      <c r="G22" s="10"/>
      <c r="H22" s="16" t="s">
        <v>96</v>
      </c>
      <c r="I22">
        <f>J11+C25</f>
        <v>6100</v>
      </c>
      <c r="J22" s="12">
        <f>1433+4184-250</f>
        <v>5367</v>
      </c>
      <c r="K22" s="12">
        <f>(I22-J22)/C26</f>
        <v>779.78723404255322</v>
      </c>
      <c r="O22" s="37"/>
    </row>
    <row r="23" spans="1:18">
      <c r="A23" s="17"/>
      <c r="B23" s="9"/>
      <c r="C23" s="9"/>
      <c r="D23" s="9"/>
      <c r="E23" s="10"/>
      <c r="F23" s="10"/>
      <c r="G23" s="10"/>
      <c r="O23" s="37"/>
    </row>
    <row r="24" spans="1:18">
      <c r="A24" s="17"/>
      <c r="B24" s="9" t="s">
        <v>10</v>
      </c>
      <c r="C24" s="9" t="s">
        <v>11</v>
      </c>
      <c r="D24" s="9" t="s">
        <v>16</v>
      </c>
      <c r="E24" s="9" t="s">
        <v>93</v>
      </c>
      <c r="F24" s="9" t="s">
        <v>17</v>
      </c>
      <c r="G24" s="9"/>
      <c r="N24" t="s">
        <v>60</v>
      </c>
      <c r="O24" s="37">
        <f>C95</f>
        <v>35878.883411060531</v>
      </c>
    </row>
    <row r="25" spans="1:18">
      <c r="A25" s="16" t="s">
        <v>79</v>
      </c>
      <c r="B25" s="44">
        <v>300</v>
      </c>
      <c r="C25" s="44">
        <v>300</v>
      </c>
      <c r="D25" s="44">
        <v>500</v>
      </c>
      <c r="E25" s="44">
        <v>500</v>
      </c>
      <c r="F25" s="44">
        <v>500</v>
      </c>
      <c r="G25" s="44"/>
      <c r="J25" s="5"/>
      <c r="N25" t="s">
        <v>61</v>
      </c>
      <c r="O25" s="37">
        <f>(D77+D78+D79)*I5*3</f>
        <v>35000</v>
      </c>
    </row>
    <row r="26" spans="1:18">
      <c r="A26" t="s">
        <v>14</v>
      </c>
      <c r="B26" s="21">
        <f>F73</f>
        <v>0.94</v>
      </c>
      <c r="C26" s="21">
        <f>F73</f>
        <v>0.94</v>
      </c>
      <c r="D26" s="20">
        <f>F71</f>
        <v>0.92149999999999999</v>
      </c>
      <c r="E26" s="20"/>
      <c r="J26" s="5"/>
      <c r="N26" t="s">
        <v>63</v>
      </c>
      <c r="O26" s="38">
        <f>O18-O19-O20-O24-O25</f>
        <v>11618207.997839196</v>
      </c>
    </row>
    <row r="27" spans="1:18">
      <c r="A27" t="s">
        <v>15</v>
      </c>
      <c r="B27" s="22">
        <f>1-B26</f>
        <v>6.0000000000000053E-2</v>
      </c>
      <c r="C27" s="22">
        <f>B27</f>
        <v>6.0000000000000053E-2</v>
      </c>
      <c r="D27" s="22">
        <f>1-D26</f>
        <v>7.8500000000000014E-2</v>
      </c>
      <c r="E27" s="22"/>
      <c r="O27" s="37"/>
    </row>
    <row r="28" spans="1:18">
      <c r="A28" t="s">
        <v>22</v>
      </c>
      <c r="B28" s="12"/>
      <c r="C28" s="12"/>
      <c r="D28" s="12"/>
      <c r="E28" s="22">
        <v>0.05</v>
      </c>
      <c r="F28" s="22">
        <v>0.04</v>
      </c>
      <c r="G28" s="22"/>
    </row>
    <row r="29" spans="1:18">
      <c r="A29" t="s">
        <v>95</v>
      </c>
      <c r="B29" s="12">
        <v>500</v>
      </c>
      <c r="C29" s="12">
        <v>500</v>
      </c>
      <c r="D29" s="12">
        <v>700</v>
      </c>
      <c r="E29" s="12">
        <v>700</v>
      </c>
      <c r="F29" s="12">
        <v>700</v>
      </c>
      <c r="G29" s="12"/>
    </row>
    <row r="31" spans="1:18" ht="26">
      <c r="O31" s="67"/>
      <c r="P31" s="67" t="s">
        <v>88</v>
      </c>
      <c r="Q31" s="67" t="s">
        <v>87</v>
      </c>
      <c r="R31" s="31" t="s">
        <v>92</v>
      </c>
    </row>
    <row r="32" spans="1:18">
      <c r="A32" s="3"/>
      <c r="B32" s="82" t="s">
        <v>7</v>
      </c>
      <c r="C32" s="82"/>
      <c r="D32" s="82"/>
      <c r="E32" s="82"/>
      <c r="F32" s="23"/>
      <c r="G32" s="23"/>
      <c r="H32" s="79" t="s">
        <v>104</v>
      </c>
      <c r="I32" s="80"/>
      <c r="J32" s="80"/>
      <c r="K32" s="80"/>
      <c r="L32" s="80"/>
      <c r="M32" s="81"/>
      <c r="O32" s="67" t="s">
        <v>81</v>
      </c>
      <c r="P32" s="67" t="s">
        <v>89</v>
      </c>
      <c r="Q32" s="67" t="s">
        <v>64</v>
      </c>
      <c r="R32" s="41">
        <f>(1.6*60)/100</f>
        <v>0.96</v>
      </c>
    </row>
    <row r="33" spans="1:18">
      <c r="A33" s="13" t="s">
        <v>113</v>
      </c>
      <c r="B33" s="19">
        <v>0</v>
      </c>
      <c r="C33" s="19">
        <v>1</v>
      </c>
      <c r="D33" s="19">
        <v>2</v>
      </c>
      <c r="E33" s="19">
        <v>3</v>
      </c>
      <c r="F33" s="17"/>
      <c r="G33" s="17"/>
      <c r="H33" s="3"/>
      <c r="I33" s="3">
        <v>-1</v>
      </c>
      <c r="J33" s="3">
        <v>0</v>
      </c>
      <c r="K33" s="3">
        <v>1</v>
      </c>
      <c r="L33" s="3">
        <v>2</v>
      </c>
      <c r="M33" s="3">
        <v>3</v>
      </c>
      <c r="O33" s="67" t="s">
        <v>82</v>
      </c>
      <c r="P33" s="67" t="s">
        <v>85</v>
      </c>
      <c r="Q33" s="67" t="s">
        <v>12</v>
      </c>
      <c r="R33" s="67"/>
    </row>
    <row r="34" spans="1:18">
      <c r="A34" s="3" t="s">
        <v>78</v>
      </c>
      <c r="B34" s="3"/>
      <c r="C34" s="14">
        <f>D29</f>
        <v>700</v>
      </c>
      <c r="D34" s="14">
        <f>C40</f>
        <v>1153.1914893616995</v>
      </c>
      <c r="E34" s="14">
        <f>D40</f>
        <v>500</v>
      </c>
      <c r="F34" s="17"/>
      <c r="G34" s="17"/>
      <c r="H34" s="39" t="s">
        <v>105</v>
      </c>
      <c r="I34" s="3"/>
      <c r="J34" s="3"/>
      <c r="K34" s="14">
        <f>I13*E4</f>
        <v>4184.3971631205677</v>
      </c>
      <c r="L34" s="14">
        <f>(J13+J14)*E3</f>
        <v>4964.1843971631206</v>
      </c>
      <c r="M34" s="14">
        <f>K13*E3</f>
        <v>4184.3971631205677</v>
      </c>
      <c r="O34" s="67" t="s">
        <v>83</v>
      </c>
      <c r="P34" s="67" t="s">
        <v>90</v>
      </c>
      <c r="Q34" s="67" t="s">
        <v>66</v>
      </c>
      <c r="R34" s="41">
        <f>(1.3*60)/100</f>
        <v>0.78</v>
      </c>
    </row>
    <row r="35" spans="1:18">
      <c r="A35" s="3" t="s">
        <v>77</v>
      </c>
      <c r="B35" s="3"/>
      <c r="C35" s="14">
        <f>B41</f>
        <v>16731.123707492025</v>
      </c>
      <c r="D35" s="14">
        <f>C46</f>
        <v>16731.123707492025</v>
      </c>
      <c r="E35" s="14">
        <f>D41</f>
        <v>16731.123707492025</v>
      </c>
      <c r="F35" s="18"/>
      <c r="G35" s="18"/>
      <c r="H35" s="39" t="s">
        <v>106</v>
      </c>
      <c r="I35" s="3"/>
      <c r="J35" s="3"/>
      <c r="K35" s="14">
        <f>B13*$E$3</f>
        <v>3297.872340425532</v>
      </c>
      <c r="L35" s="14">
        <f>C13*$E$3</f>
        <v>3297.872340425532</v>
      </c>
      <c r="M35" s="14">
        <f>D13*$E$3</f>
        <v>3297.872340425532</v>
      </c>
      <c r="O35" s="67" t="s">
        <v>84</v>
      </c>
      <c r="P35" s="67" t="s">
        <v>91</v>
      </c>
      <c r="Q35" s="67" t="s">
        <v>65</v>
      </c>
      <c r="R35" s="41">
        <f>(1.2*60)/100</f>
        <v>0.72</v>
      </c>
    </row>
    <row r="36" spans="1:18">
      <c r="A36" t="s">
        <v>96</v>
      </c>
      <c r="B36" s="3"/>
      <c r="C36" s="3">
        <v>0</v>
      </c>
      <c r="D36" s="14">
        <f>B48</f>
        <v>491.79760104363231</v>
      </c>
      <c r="E36" s="3">
        <v>0</v>
      </c>
      <c r="H36" s="39" t="s">
        <v>108</v>
      </c>
      <c r="I36" s="14"/>
      <c r="J36" s="14">
        <f>B41*$E$5</f>
        <v>50193.371122476077</v>
      </c>
      <c r="K36" s="14">
        <f>C41*$E$5</f>
        <v>51668.763925606967</v>
      </c>
      <c r="L36" s="14">
        <f>D41*$E$5</f>
        <v>50193.371122476077</v>
      </c>
      <c r="M36" s="3"/>
    </row>
    <row r="37" spans="1:18">
      <c r="A37" s="3" t="s">
        <v>76</v>
      </c>
      <c r="B37" s="3"/>
      <c r="C37" s="14">
        <f>C35*$D$27</f>
        <v>1313.3932110381243</v>
      </c>
      <c r="D37" s="14">
        <f>(D35+D36)*$D$27</f>
        <v>1351.9993227200493</v>
      </c>
      <c r="E37" s="14">
        <f>E35*$D$27</f>
        <v>1313.3932110381243</v>
      </c>
      <c r="F37" s="18"/>
      <c r="G37" s="18"/>
      <c r="H37" s="39" t="s">
        <v>109</v>
      </c>
      <c r="I37" s="14">
        <f>B58*$E$6</f>
        <v>141993.45606602021</v>
      </c>
      <c r="J37" s="14">
        <f>C58*$E$6</f>
        <v>143093.23880579186</v>
      </c>
      <c r="K37" s="14">
        <f>D58*$E$6</f>
        <v>141993.45606602021</v>
      </c>
      <c r="L37" s="14"/>
      <c r="M37" s="14"/>
    </row>
    <row r="38" spans="1:18">
      <c r="A38" s="3" t="s">
        <v>71</v>
      </c>
      <c r="B38" s="3"/>
      <c r="C38" s="14">
        <f>C34+C35-C37</f>
        <v>16117.7304964539</v>
      </c>
      <c r="D38" s="14">
        <f>D34+D35+D36-D37</f>
        <v>17024.113475177306</v>
      </c>
      <c r="E38" s="14">
        <f>E34+E35-E37</f>
        <v>15917.7304964539</v>
      </c>
      <c r="F38" s="17"/>
      <c r="G38" s="17"/>
      <c r="H38" s="39" t="s">
        <v>107</v>
      </c>
      <c r="I38" s="14">
        <f>SUM(I34:I37)</f>
        <v>141993.45606602021</v>
      </c>
      <c r="J38" s="14">
        <f>SUM(J34:J37)</f>
        <v>193286.60992826795</v>
      </c>
      <c r="K38" s="14">
        <f>SUM(K34:K37)</f>
        <v>201144.48949517327</v>
      </c>
      <c r="L38" s="14">
        <f>SUM(L34:L37)</f>
        <v>58455.42786006473</v>
      </c>
      <c r="M38" s="14">
        <f>SUM(M34:M37)</f>
        <v>7482.2695035461002</v>
      </c>
    </row>
    <row r="39" spans="1:18">
      <c r="A39" s="3" t="s">
        <v>70</v>
      </c>
      <c r="B39" s="3"/>
      <c r="C39" s="14">
        <f>B43</f>
        <v>14964.5390070922</v>
      </c>
      <c r="D39" s="14">
        <f>B44</f>
        <v>16524.113475177306</v>
      </c>
      <c r="E39" s="14">
        <f>B45</f>
        <v>14964.5390070922</v>
      </c>
      <c r="F39" s="17"/>
      <c r="G39" s="17"/>
    </row>
    <row r="40" spans="1:18">
      <c r="A40" s="3" t="s">
        <v>75</v>
      </c>
      <c r="B40" s="3"/>
      <c r="C40" s="14">
        <f>C38-C39</f>
        <v>1153.1914893616995</v>
      </c>
      <c r="D40" s="14">
        <f>D38-D39</f>
        <v>500</v>
      </c>
      <c r="E40" s="14">
        <f>E38-E39</f>
        <v>953.1914893616995</v>
      </c>
      <c r="F40" s="17"/>
      <c r="G40" s="17"/>
      <c r="I40" s="83" t="s">
        <v>7</v>
      </c>
      <c r="J40" s="83"/>
      <c r="K40" s="83"/>
      <c r="L40" s="83"/>
      <c r="M40" s="83"/>
    </row>
    <row r="41" spans="1:18">
      <c r="A41" s="3" t="s">
        <v>68</v>
      </c>
      <c r="B41" s="14">
        <f>C46</f>
        <v>16731.123707492025</v>
      </c>
      <c r="C41" s="14">
        <f>B47</f>
        <v>17222.921308535657</v>
      </c>
      <c r="D41" s="14">
        <f>C46</f>
        <v>16731.123707492025</v>
      </c>
      <c r="E41" s="15"/>
      <c r="F41" s="24"/>
      <c r="G41" s="24"/>
      <c r="I41">
        <v>-2</v>
      </c>
      <c r="J41">
        <v>-1</v>
      </c>
      <c r="K41">
        <v>0</v>
      </c>
      <c r="L41">
        <v>1</v>
      </c>
      <c r="M41">
        <v>2</v>
      </c>
    </row>
    <row r="42" spans="1:18">
      <c r="H42" s="48" t="s">
        <v>110</v>
      </c>
      <c r="I42" s="12">
        <f>(I38-J52+$F$25)/(1-$F$28)</f>
        <v>147701.51673543773</v>
      </c>
      <c r="J42" s="12">
        <f t="shared" ref="J42:M42" si="0">(J38-K52+$F$25)/(1-$F$28)</f>
        <v>201340.21867527912</v>
      </c>
      <c r="K42" s="12">
        <f t="shared" si="0"/>
        <v>209525.50989080549</v>
      </c>
      <c r="L42" s="12">
        <f t="shared" si="0"/>
        <v>60891.07068756743</v>
      </c>
      <c r="M42" s="12">
        <f t="shared" si="0"/>
        <v>7794.0307328605213</v>
      </c>
    </row>
    <row r="43" spans="1:18" ht="15">
      <c r="A43" t="s">
        <v>19</v>
      </c>
      <c r="B43" s="11">
        <f>(B13*$C$3)+(I13*$C$4)</f>
        <v>14964.5390070922</v>
      </c>
      <c r="C43" s="29"/>
    </row>
    <row r="44" spans="1:18" ht="15">
      <c r="A44" t="s">
        <v>20</v>
      </c>
      <c r="B44" s="11">
        <f>(C13*$C$3)+((J13+J14)*$C$4)</f>
        <v>16524.113475177306</v>
      </c>
      <c r="C44" s="29"/>
    </row>
    <row r="45" spans="1:18" ht="15">
      <c r="A45" t="s">
        <v>21</v>
      </c>
      <c r="B45" s="11">
        <f>(D13*$C$3)+(K13*$C$4)</f>
        <v>14964.5390070922</v>
      </c>
      <c r="C45" s="29"/>
    </row>
    <row r="46" spans="1:18">
      <c r="A46" t="s">
        <v>67</v>
      </c>
      <c r="B46" s="11">
        <f>(B43+B44+B45+D25-D29)/3</f>
        <v>15417.730496453902</v>
      </c>
      <c r="C46" s="11">
        <f>B46/D26</f>
        <v>16731.123707492025</v>
      </c>
    </row>
    <row r="47" spans="1:18">
      <c r="A47" t="s">
        <v>99</v>
      </c>
      <c r="B47" s="11">
        <f>((B44+D25)-D34)/D26</f>
        <v>17222.921308535657</v>
      </c>
      <c r="C47" s="29"/>
    </row>
    <row r="48" spans="1:18">
      <c r="A48" t="s">
        <v>96</v>
      </c>
      <c r="B48" s="11">
        <f>B47-C46</f>
        <v>491.79760104363231</v>
      </c>
      <c r="C48" s="29"/>
    </row>
    <row r="50" spans="1:14">
      <c r="A50" s="3"/>
      <c r="B50" s="82" t="s">
        <v>7</v>
      </c>
      <c r="C50" s="82"/>
      <c r="D50" s="82"/>
      <c r="E50" s="82"/>
      <c r="F50" s="82"/>
      <c r="G50" s="46"/>
      <c r="H50" s="3"/>
      <c r="I50" s="82" t="s">
        <v>7</v>
      </c>
      <c r="J50" s="82"/>
      <c r="K50" s="82"/>
      <c r="L50" s="82"/>
      <c r="M50" s="82"/>
      <c r="N50" s="82"/>
    </row>
    <row r="51" spans="1:14">
      <c r="A51" s="13" t="s">
        <v>98</v>
      </c>
      <c r="B51" s="19">
        <v>-1</v>
      </c>
      <c r="C51" s="19">
        <v>0</v>
      </c>
      <c r="D51" s="19">
        <v>1</v>
      </c>
      <c r="E51" s="19">
        <v>2</v>
      </c>
      <c r="F51" s="25">
        <v>3</v>
      </c>
      <c r="G51" s="47"/>
      <c r="H51" s="13" t="s">
        <v>114</v>
      </c>
      <c r="I51" s="19">
        <v>-2</v>
      </c>
      <c r="J51" s="19">
        <v>-1</v>
      </c>
      <c r="K51" s="19">
        <v>0</v>
      </c>
      <c r="L51" s="19">
        <v>1</v>
      </c>
      <c r="M51" s="19">
        <v>2</v>
      </c>
      <c r="N51" s="25">
        <v>3</v>
      </c>
    </row>
    <row r="52" spans="1:14">
      <c r="A52" s="3" t="s">
        <v>74</v>
      </c>
      <c r="B52" s="3"/>
      <c r="C52" s="14">
        <f>E29</f>
        <v>700</v>
      </c>
      <c r="D52" s="14">
        <f>C57</f>
        <v>961.19840069575002</v>
      </c>
      <c r="E52" s="14">
        <f>D57</f>
        <v>500</v>
      </c>
      <c r="F52" s="14"/>
      <c r="G52" s="18"/>
      <c r="H52" s="3" t="s">
        <v>74</v>
      </c>
      <c r="I52" s="3"/>
      <c r="J52" s="3">
        <v>700</v>
      </c>
      <c r="K52" s="14">
        <f>J57</f>
        <v>500</v>
      </c>
      <c r="L52" s="14">
        <f t="shared" ref="L52:N52" si="1">K57</f>
        <v>500</v>
      </c>
      <c r="M52" s="14">
        <f t="shared" si="1"/>
        <v>500</v>
      </c>
      <c r="N52" s="14">
        <f t="shared" si="1"/>
        <v>500</v>
      </c>
    </row>
    <row r="53" spans="1:14">
      <c r="A53" s="3" t="s">
        <v>73</v>
      </c>
      <c r="B53" s="3"/>
      <c r="C53" s="14">
        <f>B58*(1-$E$28)</f>
        <v>33723.445815679799</v>
      </c>
      <c r="D53" s="14">
        <f>C53</f>
        <v>33723.445815679799</v>
      </c>
      <c r="E53" s="14">
        <f>C53</f>
        <v>33723.445815679799</v>
      </c>
      <c r="F53" s="14"/>
      <c r="G53" s="18"/>
      <c r="H53" s="3" t="s">
        <v>73</v>
      </c>
      <c r="I53" s="3"/>
      <c r="J53" s="14">
        <f>I58*(1-$F$28)</f>
        <v>141793.45606602021</v>
      </c>
      <c r="K53" s="14">
        <f t="shared" ref="K53:N53" si="2">J58*(1-$F$28)</f>
        <v>193286.60992826795</v>
      </c>
      <c r="L53" s="14">
        <f t="shared" si="2"/>
        <v>201144.48949517327</v>
      </c>
      <c r="M53" s="14">
        <f t="shared" si="2"/>
        <v>58455.42786006473</v>
      </c>
      <c r="N53" s="14">
        <f t="shared" si="2"/>
        <v>7482.2695035461002</v>
      </c>
    </row>
    <row r="54" spans="1:14">
      <c r="A54" s="3" t="s">
        <v>72</v>
      </c>
      <c r="B54" s="3"/>
      <c r="C54" s="3">
        <v>0</v>
      </c>
      <c r="D54" s="14">
        <f>(B65*(1-E28))</f>
        <v>261.198400695766</v>
      </c>
      <c r="E54" s="3">
        <v>0</v>
      </c>
      <c r="F54" s="14"/>
      <c r="G54" s="18"/>
      <c r="H54" s="3" t="s">
        <v>72</v>
      </c>
      <c r="I54" s="3"/>
      <c r="J54" s="3">
        <v>0</v>
      </c>
      <c r="K54" s="3">
        <v>0</v>
      </c>
      <c r="L54" s="3">
        <v>0</v>
      </c>
      <c r="M54" s="3">
        <v>0</v>
      </c>
      <c r="N54" s="3">
        <v>0</v>
      </c>
    </row>
    <row r="55" spans="1:14">
      <c r="A55" s="3" t="s">
        <v>71</v>
      </c>
      <c r="B55" s="3"/>
      <c r="C55" s="14">
        <f>C52+C53+C54</f>
        <v>34423.445815679799</v>
      </c>
      <c r="D55" s="14">
        <f t="shared" ref="D55:E55" si="3">D52+D53+D54</f>
        <v>34945.842617071314</v>
      </c>
      <c r="E55" s="14">
        <f t="shared" si="3"/>
        <v>34223.445815679799</v>
      </c>
      <c r="F55" s="14"/>
      <c r="G55" s="18"/>
      <c r="H55" s="3" t="s">
        <v>71</v>
      </c>
      <c r="I55" s="3"/>
      <c r="J55" s="14">
        <f>J52+J53+J54</f>
        <v>142493.45606602021</v>
      </c>
      <c r="K55" s="14">
        <f t="shared" ref="K55:N55" si="4">K52+K53+K54</f>
        <v>193786.60992826795</v>
      </c>
      <c r="L55" s="14">
        <f t="shared" si="4"/>
        <v>201644.48949517327</v>
      </c>
      <c r="M55" s="14">
        <f t="shared" si="4"/>
        <v>58955.42786006473</v>
      </c>
      <c r="N55" s="14">
        <f t="shared" si="4"/>
        <v>7982.2695035461002</v>
      </c>
    </row>
    <row r="56" spans="1:14">
      <c r="A56" s="3" t="s">
        <v>70</v>
      </c>
      <c r="B56" s="3"/>
      <c r="C56" s="14">
        <f>B60</f>
        <v>33462.247414984049</v>
      </c>
      <c r="D56" s="14">
        <f>B61</f>
        <v>34445.842617071314</v>
      </c>
      <c r="E56" s="14">
        <f>B62</f>
        <v>33462.247414984049</v>
      </c>
      <c r="F56" s="14"/>
      <c r="G56" s="18"/>
      <c r="H56" s="3" t="s">
        <v>70</v>
      </c>
      <c r="I56" s="3"/>
      <c r="J56" s="14">
        <f>I38</f>
        <v>141993.45606602021</v>
      </c>
      <c r="K56" s="14">
        <f t="shared" ref="K56:M56" si="5">J38</f>
        <v>193286.60992826795</v>
      </c>
      <c r="L56" s="14">
        <f t="shared" si="5"/>
        <v>201144.48949517327</v>
      </c>
      <c r="M56" s="14">
        <f t="shared" si="5"/>
        <v>58455.42786006473</v>
      </c>
      <c r="N56" s="14">
        <f>M38</f>
        <v>7482.2695035461002</v>
      </c>
    </row>
    <row r="57" spans="1:14">
      <c r="A57" s="3" t="s">
        <v>69</v>
      </c>
      <c r="B57" s="3"/>
      <c r="C57" s="14">
        <f>C55-C56</f>
        <v>961.19840069575002</v>
      </c>
      <c r="D57" s="14">
        <f t="shared" ref="D57:E57" si="6">D55-D56</f>
        <v>500</v>
      </c>
      <c r="E57" s="14">
        <f t="shared" si="6"/>
        <v>761.19840069575002</v>
      </c>
      <c r="F57" s="14"/>
      <c r="G57" s="18"/>
      <c r="H57" s="3" t="s">
        <v>69</v>
      </c>
      <c r="I57" s="3"/>
      <c r="J57" s="14">
        <f>J55-J56</f>
        <v>500</v>
      </c>
      <c r="K57" s="14">
        <f t="shared" ref="K57:M57" si="7">K55-K56</f>
        <v>500</v>
      </c>
      <c r="L57" s="14">
        <f t="shared" si="7"/>
        <v>500</v>
      </c>
      <c r="M57" s="14">
        <f t="shared" si="7"/>
        <v>500</v>
      </c>
      <c r="N57" s="14">
        <f>N55-N56</f>
        <v>500</v>
      </c>
    </row>
    <row r="58" spans="1:14">
      <c r="A58" s="3" t="s">
        <v>68</v>
      </c>
      <c r="B58" s="14">
        <f>C63</f>
        <v>35498.364016505053</v>
      </c>
      <c r="C58" s="14">
        <f>B64</f>
        <v>35773.309701447964</v>
      </c>
      <c r="D58" s="14">
        <f>C63</f>
        <v>35498.364016505053</v>
      </c>
      <c r="E58" s="3"/>
      <c r="F58" s="3"/>
      <c r="G58" s="17"/>
      <c r="H58" s="3" t="s">
        <v>68</v>
      </c>
      <c r="I58" s="14">
        <f>I42</f>
        <v>147701.51673543773</v>
      </c>
      <c r="J58" s="14">
        <f t="shared" ref="J58:M58" si="8">J42</f>
        <v>201340.21867527912</v>
      </c>
      <c r="K58" s="14">
        <f t="shared" si="8"/>
        <v>209525.50989080549</v>
      </c>
      <c r="L58" s="14">
        <f t="shared" si="8"/>
        <v>60891.07068756743</v>
      </c>
      <c r="M58" s="14">
        <f t="shared" si="8"/>
        <v>7794.0307328605213</v>
      </c>
      <c r="N58" s="3"/>
    </row>
    <row r="60" spans="1:14" ht="15">
      <c r="A60" t="s">
        <v>102</v>
      </c>
      <c r="B60" s="11">
        <f>B41*D5</f>
        <v>33462.247414984049</v>
      </c>
      <c r="C60" s="40"/>
    </row>
    <row r="61" spans="1:14" ht="15">
      <c r="A61" t="s">
        <v>100</v>
      </c>
      <c r="B61" s="11">
        <f>C41*D5</f>
        <v>34445.842617071314</v>
      </c>
      <c r="C61" s="40"/>
    </row>
    <row r="62" spans="1:14" ht="15">
      <c r="A62" t="s">
        <v>101</v>
      </c>
      <c r="B62" s="11">
        <f>D41*D5</f>
        <v>33462.247414984049</v>
      </c>
      <c r="C62" s="40"/>
    </row>
    <row r="63" spans="1:14">
      <c r="A63" t="s">
        <v>67</v>
      </c>
      <c r="B63" s="11">
        <f>(B60+B61+B62+E25-C52)/3</f>
        <v>33723.445815679799</v>
      </c>
      <c r="C63" s="11">
        <f>B63/(1-E28)</f>
        <v>35498.364016505053</v>
      </c>
    </row>
    <row r="64" spans="1:14">
      <c r="A64" t="s">
        <v>103</v>
      </c>
      <c r="B64" s="11">
        <f>((B61+E25)-D52)/(1-E28)</f>
        <v>35773.309701447964</v>
      </c>
      <c r="C64" s="40"/>
    </row>
    <row r="65" spans="1:8">
      <c r="A65" t="s">
        <v>96</v>
      </c>
      <c r="B65" s="11">
        <f>B64-C63</f>
        <v>274.94568494291161</v>
      </c>
      <c r="C65" s="40"/>
    </row>
    <row r="67" spans="1:8" ht="14" thickBot="1"/>
    <row r="68" spans="1:8" ht="14" thickBot="1">
      <c r="A68" s="84" t="s">
        <v>29</v>
      </c>
      <c r="B68" s="85"/>
      <c r="C68" s="85"/>
      <c r="D68" s="85"/>
      <c r="E68" s="85"/>
      <c r="F68" s="85"/>
      <c r="G68" s="85"/>
      <c r="H68" s="86"/>
    </row>
    <row r="69" spans="1:8">
      <c r="A69" s="50" t="s">
        <v>30</v>
      </c>
      <c r="B69" s="51"/>
      <c r="C69" s="51"/>
      <c r="D69" s="51"/>
      <c r="E69" s="17"/>
      <c r="F69" s="17"/>
      <c r="G69" s="17"/>
      <c r="H69" s="52"/>
    </row>
    <row r="70" spans="1:8">
      <c r="A70" s="53"/>
      <c r="B70" s="23" t="s">
        <v>23</v>
      </c>
      <c r="C70" s="23" t="s">
        <v>24</v>
      </c>
      <c r="D70" s="23" t="s">
        <v>25</v>
      </c>
      <c r="E70" s="23" t="s">
        <v>26</v>
      </c>
      <c r="F70" s="23" t="s">
        <v>94</v>
      </c>
      <c r="G70" s="23" t="s">
        <v>27</v>
      </c>
      <c r="H70" s="54" t="s">
        <v>28</v>
      </c>
    </row>
    <row r="71" spans="1:8">
      <c r="A71" s="55" t="s">
        <v>64</v>
      </c>
      <c r="B71" s="56">
        <f>Hungaro!E29</f>
        <v>0.96</v>
      </c>
      <c r="C71" s="17">
        <v>0.94</v>
      </c>
      <c r="D71" s="17">
        <v>0.98</v>
      </c>
      <c r="E71" s="17">
        <v>0.95</v>
      </c>
      <c r="F71" s="56">
        <f>F72*E71</f>
        <v>0.92149999999999999</v>
      </c>
      <c r="G71" s="56">
        <f>(B71*D71)/(2-C71)</f>
        <v>0.88754716981132065</v>
      </c>
      <c r="H71" s="66">
        <f>G71/F71</f>
        <v>0.96315482345232839</v>
      </c>
    </row>
    <row r="72" spans="1:8">
      <c r="A72" s="57" t="s">
        <v>65</v>
      </c>
      <c r="B72" s="30">
        <f>Hungaro!E32</f>
        <v>0.72</v>
      </c>
      <c r="C72" s="17">
        <v>0.93</v>
      </c>
      <c r="D72" s="17">
        <v>0.97</v>
      </c>
      <c r="E72" s="17">
        <v>0.97</v>
      </c>
      <c r="F72" s="56">
        <f>E72</f>
        <v>0.97</v>
      </c>
      <c r="G72" s="56">
        <f>(B72*D72)/(2-C72)</f>
        <v>0.65271028037383183</v>
      </c>
      <c r="H72" s="66">
        <f>G72/F72</f>
        <v>0.67289719626168232</v>
      </c>
    </row>
    <row r="73" spans="1:8">
      <c r="A73" s="55" t="s">
        <v>66</v>
      </c>
      <c r="B73" s="56">
        <f>Hungaro!E31</f>
        <v>0.78</v>
      </c>
      <c r="C73" s="17">
        <v>0.9</v>
      </c>
      <c r="D73" s="17">
        <v>0.95</v>
      </c>
      <c r="E73" s="17">
        <v>0.94</v>
      </c>
      <c r="F73" s="56">
        <f>E73</f>
        <v>0.94</v>
      </c>
      <c r="G73" s="56">
        <f>(B73*D73)/(2-C73)</f>
        <v>0.67363636363636359</v>
      </c>
      <c r="H73" s="66">
        <f>G73/F73</f>
        <v>0.7166344294003868</v>
      </c>
    </row>
    <row r="74" spans="1:8">
      <c r="A74" s="55"/>
      <c r="B74" s="17"/>
      <c r="C74" s="17"/>
      <c r="D74" s="17"/>
      <c r="E74" s="17"/>
      <c r="F74" s="17"/>
      <c r="G74" s="17"/>
      <c r="H74" s="52"/>
    </row>
    <row r="75" spans="1:8">
      <c r="A75" s="58" t="s">
        <v>31</v>
      </c>
      <c r="B75" s="59"/>
      <c r="C75" s="59"/>
      <c r="D75" s="59"/>
      <c r="E75" s="17"/>
      <c r="F75" s="17"/>
      <c r="G75" s="17"/>
      <c r="H75" s="52"/>
    </row>
    <row r="76" spans="1:8">
      <c r="A76" s="53"/>
      <c r="B76" s="23" t="s">
        <v>32</v>
      </c>
      <c r="C76" s="23" t="s">
        <v>33</v>
      </c>
      <c r="D76" s="23" t="s">
        <v>38</v>
      </c>
      <c r="E76" s="23" t="s">
        <v>39</v>
      </c>
      <c r="F76" s="23" t="s">
        <v>111</v>
      </c>
      <c r="G76" s="23"/>
      <c r="H76" s="52"/>
    </row>
    <row r="77" spans="1:8">
      <c r="A77" s="55" t="s">
        <v>64</v>
      </c>
      <c r="B77" s="60">
        <f>H71</f>
        <v>0.96315482345232839</v>
      </c>
      <c r="C77" s="56">
        <f>B77/R11</f>
        <v>5.9504600597842829</v>
      </c>
      <c r="D77" s="17">
        <v>6</v>
      </c>
      <c r="E77" s="56">
        <f>B77/D77</f>
        <v>0.1605258039087214</v>
      </c>
      <c r="F77" s="18">
        <f>D77*1</f>
        <v>6</v>
      </c>
      <c r="G77" s="56"/>
      <c r="H77" s="52"/>
    </row>
    <row r="78" spans="1:8">
      <c r="A78" s="57" t="s">
        <v>65</v>
      </c>
      <c r="B78" s="49">
        <f>H72</f>
        <v>0.67289719626168232</v>
      </c>
      <c r="C78" s="56">
        <f>B78/R11</f>
        <v>4.1572214489295432</v>
      </c>
      <c r="D78" s="17">
        <v>5</v>
      </c>
      <c r="E78" s="56">
        <f>B78/D78</f>
        <v>0.13457943925233645</v>
      </c>
      <c r="F78" s="18">
        <f>D78*1</f>
        <v>5</v>
      </c>
      <c r="G78" s="56"/>
      <c r="H78" s="52"/>
    </row>
    <row r="79" spans="1:8">
      <c r="A79" s="55" t="s">
        <v>66</v>
      </c>
      <c r="B79" s="60">
        <f>H73</f>
        <v>0.7166344294003868</v>
      </c>
      <c r="C79" s="56">
        <f>B79/R9</f>
        <v>2.0696136900924134</v>
      </c>
      <c r="D79" s="17">
        <v>3</v>
      </c>
      <c r="E79" s="56">
        <f>B79/D79</f>
        <v>0.23887814313346226</v>
      </c>
      <c r="F79" s="18">
        <f>D79*1</f>
        <v>3</v>
      </c>
      <c r="G79" s="56"/>
      <c r="H79" s="52"/>
    </row>
    <row r="80" spans="1:8">
      <c r="A80" s="55"/>
      <c r="B80" s="17"/>
      <c r="C80" s="17"/>
      <c r="D80" s="17"/>
      <c r="E80" s="17"/>
      <c r="F80" s="17"/>
      <c r="G80" s="17"/>
      <c r="H80" s="52"/>
    </row>
    <row r="81" spans="1:8">
      <c r="A81" s="50" t="s">
        <v>40</v>
      </c>
      <c r="B81" s="51"/>
      <c r="C81" s="51"/>
      <c r="D81" s="51"/>
      <c r="E81" s="17"/>
      <c r="F81" s="17"/>
      <c r="G81" s="17"/>
      <c r="H81" s="52"/>
    </row>
    <row r="82" spans="1:8">
      <c r="A82" s="55"/>
      <c r="B82" s="17"/>
      <c r="C82" s="23" t="s">
        <v>41</v>
      </c>
      <c r="D82" s="23"/>
      <c r="E82" s="23"/>
      <c r="F82" s="17"/>
      <c r="G82" s="17"/>
      <c r="H82" s="52"/>
    </row>
    <row r="83" spans="1:8">
      <c r="A83" s="53"/>
      <c r="B83" s="23" t="s">
        <v>39</v>
      </c>
      <c r="C83" s="23" t="s">
        <v>107</v>
      </c>
      <c r="D83" s="23" t="s">
        <v>6</v>
      </c>
      <c r="E83" s="23" t="s">
        <v>42</v>
      </c>
      <c r="F83" s="23" t="s">
        <v>49</v>
      </c>
      <c r="G83" s="17"/>
      <c r="H83" s="52"/>
    </row>
    <row r="84" spans="1:8">
      <c r="A84" s="55" t="s">
        <v>64</v>
      </c>
      <c r="B84" s="56">
        <f>E77</f>
        <v>0.1605258039087214</v>
      </c>
      <c r="C84" s="56">
        <f>B84*O9</f>
        <v>1492.889976351109</v>
      </c>
      <c r="D84" s="18">
        <f>Q9*3</f>
        <v>7560</v>
      </c>
      <c r="E84" s="56">
        <v>0</v>
      </c>
      <c r="F84" s="61">
        <f>(E84/60)*$I$3</f>
        <v>0</v>
      </c>
      <c r="G84" s="17"/>
      <c r="H84" s="52"/>
    </row>
    <row r="85" spans="1:8">
      <c r="A85" s="57" t="s">
        <v>65</v>
      </c>
      <c r="B85" s="30">
        <f>E78</f>
        <v>0.13457943925233645</v>
      </c>
      <c r="C85" s="56">
        <f t="shared" ref="C85:C86" si="9">B85*O10</f>
        <v>1686.6841121495327</v>
      </c>
      <c r="D85" s="18">
        <f t="shared" ref="D85:D86" si="10">Q10*3</f>
        <v>7560</v>
      </c>
      <c r="E85" s="56">
        <v>0</v>
      </c>
      <c r="F85" s="61">
        <f>(E85/60)*$I$3</f>
        <v>0</v>
      </c>
      <c r="G85" s="17"/>
      <c r="H85" s="52"/>
    </row>
    <row r="86" spans="1:8">
      <c r="A86" s="55" t="s">
        <v>66</v>
      </c>
      <c r="B86" s="56">
        <f>E79</f>
        <v>0.23887814313346226</v>
      </c>
      <c r="C86" s="56">
        <f t="shared" si="9"/>
        <v>11157.134038437795</v>
      </c>
      <c r="D86" s="18">
        <f t="shared" si="10"/>
        <v>7560</v>
      </c>
      <c r="E86" s="56">
        <f>C86-D86</f>
        <v>3597.1340384377945</v>
      </c>
      <c r="F86" s="61">
        <f>(E86/60)*$I$3</f>
        <v>224.82087740236216</v>
      </c>
      <c r="G86" s="17"/>
      <c r="H86" s="52"/>
    </row>
    <row r="87" spans="1:8" ht="14" thickBot="1">
      <c r="A87" s="62"/>
      <c r="B87" s="63"/>
      <c r="C87" s="63"/>
      <c r="D87" s="63"/>
      <c r="E87" s="63"/>
      <c r="F87" s="64">
        <f>SUM(F84:F86)</f>
        <v>224.82087740236216</v>
      </c>
      <c r="G87" s="63"/>
      <c r="H87" s="65"/>
    </row>
    <row r="88" spans="1:8">
      <c r="A88" t="s">
        <v>50</v>
      </c>
    </row>
    <row r="89" spans="1:8" ht="26">
      <c r="B89" s="31" t="s">
        <v>62</v>
      </c>
      <c r="C89" s="35" t="s">
        <v>51</v>
      </c>
    </row>
    <row r="90" spans="1:8">
      <c r="A90" t="s">
        <v>10</v>
      </c>
      <c r="B90">
        <f>(B16+C16+D16)/2</f>
        <v>6050</v>
      </c>
      <c r="C90" s="33">
        <f>B90*$I$4</f>
        <v>726</v>
      </c>
    </row>
    <row r="91" spans="1:8">
      <c r="A91" t="s">
        <v>11</v>
      </c>
      <c r="B91">
        <f>(I16+J16+K16)/2</f>
        <v>7383</v>
      </c>
      <c r="C91" s="33">
        <f>B91*$I$4</f>
        <v>885.95999999999992</v>
      </c>
    </row>
    <row r="92" spans="1:8">
      <c r="A92" t="s">
        <v>16</v>
      </c>
      <c r="B92" s="12">
        <f>(C38+D38+E38)/2</f>
        <v>24529.787234042553</v>
      </c>
      <c r="C92" s="33">
        <f>B92*$I$4</f>
        <v>2943.5744680851062</v>
      </c>
    </row>
    <row r="93" spans="1:8">
      <c r="A93" t="s">
        <v>17</v>
      </c>
      <c r="B93" s="12">
        <f>(K56+L56+M56)/2</f>
        <v>226443.26364175297</v>
      </c>
      <c r="C93" s="33">
        <f>B93*$I$4</f>
        <v>27173.191637010357</v>
      </c>
    </row>
    <row r="94" spans="1:8">
      <c r="A94" t="s">
        <v>13</v>
      </c>
      <c r="B94" s="12">
        <f>(D55+E55+F55)/2</f>
        <v>34584.644216375556</v>
      </c>
      <c r="C94" s="33">
        <f>B94*$I$4</f>
        <v>4150.1573059650664</v>
      </c>
    </row>
    <row r="95" spans="1:8">
      <c r="C95" s="33">
        <f>SUM(C90:C94)</f>
        <v>35878.883411060531</v>
      </c>
    </row>
  </sheetData>
  <mergeCells count="7">
    <mergeCell ref="H32:M32"/>
    <mergeCell ref="I50:N50"/>
    <mergeCell ref="I40:M40"/>
    <mergeCell ref="A68:H68"/>
    <mergeCell ref="B1:E1"/>
    <mergeCell ref="B32:E32"/>
    <mergeCell ref="B50:F50"/>
  </mergeCells>
  <pageMargins left="0.75" right="0.75" top="1" bottom="1" header="0.5" footer="0.5"/>
  <pageSetup paperSize="9" orientation="portrait" horizontalDpi="4294967292" verticalDpi="4294967292"/>
  <ignoredErrors>
    <ignoredError sqref="C27 D35 D37:D38" formula="1"/>
    <ignoredError sqref="B16 J14 I38:J38 L38:M38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zoomScale="125" zoomScaleNormal="125" zoomScalePageLayoutView="125" workbookViewId="0">
      <selection activeCell="E20" sqref="E20"/>
    </sheetView>
  </sheetViews>
  <sheetFormatPr baseColWidth="10" defaultRowHeight="15" x14ac:dyDescent="0"/>
  <cols>
    <col min="1" max="2" width="10.7109375" style="68"/>
    <col min="3" max="3" width="13.140625" style="68" bestFit="1" customWidth="1"/>
    <col min="4" max="7" width="10.7109375" style="68"/>
    <col min="8" max="8" width="12.5703125" style="68" bestFit="1" customWidth="1"/>
    <col min="9" max="9" width="10.7109375" style="68"/>
    <col min="10" max="10" width="6.7109375" style="68" bestFit="1" customWidth="1"/>
    <col min="11" max="15" width="10.7109375" style="68"/>
    <col min="16" max="16" width="12.5703125" style="68" bestFit="1" customWidth="1"/>
    <col min="17" max="16384" width="10.7109375" style="68"/>
  </cols>
  <sheetData>
    <row r="1" spans="2:16" ht="16" thickBot="1"/>
    <row r="2" spans="2:16" ht="16" thickBot="1">
      <c r="C2" s="77" t="s">
        <v>127</v>
      </c>
      <c r="D2" s="76">
        <v>1</v>
      </c>
      <c r="E2" s="76">
        <v>2</v>
      </c>
      <c r="F2" s="76">
        <v>3</v>
      </c>
      <c r="G2" s="76">
        <v>4</v>
      </c>
      <c r="H2" s="76">
        <v>5</v>
      </c>
      <c r="I2" s="76">
        <v>6</v>
      </c>
    </row>
    <row r="3" spans="2:16" ht="46" thickBot="1">
      <c r="C3" s="75" t="s">
        <v>131</v>
      </c>
      <c r="D3" s="74">
        <v>240</v>
      </c>
      <c r="E3" s="74">
        <v>130</v>
      </c>
      <c r="F3" s="74">
        <v>210</v>
      </c>
      <c r="G3" s="74">
        <v>90</v>
      </c>
      <c r="H3" s="74">
        <v>170</v>
      </c>
      <c r="I3" s="74">
        <v>165</v>
      </c>
    </row>
    <row r="4" spans="2:16" ht="76" thickBot="1">
      <c r="C4" s="75" t="s">
        <v>130</v>
      </c>
      <c r="D4" s="74">
        <v>240</v>
      </c>
      <c r="E4" s="74">
        <v>360</v>
      </c>
      <c r="F4" s="74">
        <v>480</v>
      </c>
      <c r="G4" s="74">
        <v>240</v>
      </c>
      <c r="H4" s="74">
        <v>720</v>
      </c>
      <c r="I4" s="74">
        <v>780</v>
      </c>
    </row>
    <row r="6" spans="2:16">
      <c r="B6" s="68" t="s">
        <v>129</v>
      </c>
      <c r="C6" s="72" t="s">
        <v>127</v>
      </c>
      <c r="D6" s="69" t="s">
        <v>126</v>
      </c>
      <c r="E6" s="69" t="s">
        <v>125</v>
      </c>
      <c r="F6" s="69" t="s">
        <v>124</v>
      </c>
      <c r="G6" s="69" t="s">
        <v>123</v>
      </c>
      <c r="H6" s="69" t="s">
        <v>122</v>
      </c>
      <c r="I6" s="69"/>
      <c r="J6" s="68" t="s">
        <v>128</v>
      </c>
      <c r="K6" s="72" t="s">
        <v>127</v>
      </c>
      <c r="L6" s="69" t="s">
        <v>126</v>
      </c>
      <c r="M6" s="69" t="s">
        <v>125</v>
      </c>
      <c r="N6" s="69" t="s">
        <v>124</v>
      </c>
      <c r="O6" s="69" t="s">
        <v>123</v>
      </c>
      <c r="P6" s="69" t="s">
        <v>122</v>
      </c>
    </row>
    <row r="7" spans="2:16">
      <c r="C7" s="69">
        <v>1</v>
      </c>
      <c r="D7" s="70">
        <v>240</v>
      </c>
      <c r="E7" s="72">
        <v>0</v>
      </c>
      <c r="F7" s="69">
        <f t="shared" ref="F7:F12" si="0">E7+D7</f>
        <v>240</v>
      </c>
      <c r="G7" s="69">
        <v>240</v>
      </c>
      <c r="H7" s="68">
        <f t="shared" ref="H7:H12" si="1">F7-G7</f>
        <v>0</v>
      </c>
      <c r="K7" s="69">
        <v>4</v>
      </c>
      <c r="L7" s="70">
        <v>90</v>
      </c>
      <c r="M7" s="72">
        <v>0</v>
      </c>
      <c r="N7" s="69">
        <f t="shared" ref="N7:N12" si="2">M7+L7</f>
        <v>90</v>
      </c>
      <c r="O7" s="69">
        <v>240</v>
      </c>
      <c r="P7" s="68">
        <v>0</v>
      </c>
    </row>
    <row r="8" spans="2:16">
      <c r="C8" s="69">
        <v>2</v>
      </c>
      <c r="D8" s="70">
        <v>130</v>
      </c>
      <c r="E8" s="69">
        <f>F7</f>
        <v>240</v>
      </c>
      <c r="F8" s="69">
        <f t="shared" si="0"/>
        <v>370</v>
      </c>
      <c r="G8" s="69">
        <v>360</v>
      </c>
      <c r="H8" s="68">
        <f t="shared" si="1"/>
        <v>10</v>
      </c>
      <c r="K8" s="69">
        <v>2</v>
      </c>
      <c r="L8" s="70">
        <v>130</v>
      </c>
      <c r="M8" s="69">
        <f>N7</f>
        <v>90</v>
      </c>
      <c r="N8" s="69">
        <f t="shared" si="2"/>
        <v>220</v>
      </c>
      <c r="O8" s="69">
        <v>360</v>
      </c>
      <c r="P8" s="68">
        <v>0</v>
      </c>
    </row>
    <row r="9" spans="2:16">
      <c r="C9" s="69">
        <v>3</v>
      </c>
      <c r="D9" s="70">
        <v>210</v>
      </c>
      <c r="E9" s="69">
        <f>F8</f>
        <v>370</v>
      </c>
      <c r="F9" s="69">
        <f t="shared" si="0"/>
        <v>580</v>
      </c>
      <c r="G9" s="69">
        <v>480</v>
      </c>
      <c r="H9" s="68">
        <f t="shared" si="1"/>
        <v>100</v>
      </c>
      <c r="K9" s="69">
        <v>6</v>
      </c>
      <c r="L9" s="70">
        <v>165</v>
      </c>
      <c r="M9" s="69">
        <f>N8</f>
        <v>220</v>
      </c>
      <c r="N9" s="69">
        <f t="shared" si="2"/>
        <v>385</v>
      </c>
      <c r="O9" s="69">
        <v>780</v>
      </c>
      <c r="P9" s="68">
        <v>0</v>
      </c>
    </row>
    <row r="10" spans="2:16">
      <c r="C10" s="69">
        <v>4</v>
      </c>
      <c r="D10" s="70">
        <v>90</v>
      </c>
      <c r="E10" s="69">
        <f>F9</f>
        <v>580</v>
      </c>
      <c r="F10" s="69">
        <f t="shared" si="0"/>
        <v>670</v>
      </c>
      <c r="G10" s="69">
        <v>240</v>
      </c>
      <c r="H10" s="68">
        <f t="shared" si="1"/>
        <v>430</v>
      </c>
      <c r="K10" s="69">
        <v>5</v>
      </c>
      <c r="L10" s="70">
        <v>170</v>
      </c>
      <c r="M10" s="69">
        <f>N9</f>
        <v>385</v>
      </c>
      <c r="N10" s="69">
        <f t="shared" si="2"/>
        <v>555</v>
      </c>
      <c r="O10" s="69">
        <v>720</v>
      </c>
      <c r="P10" s="68">
        <v>0</v>
      </c>
    </row>
    <row r="11" spans="2:16">
      <c r="C11" s="69">
        <v>5</v>
      </c>
      <c r="D11" s="70">
        <v>170</v>
      </c>
      <c r="E11" s="69">
        <f>F10</f>
        <v>670</v>
      </c>
      <c r="F11" s="69">
        <f t="shared" si="0"/>
        <v>840</v>
      </c>
      <c r="G11" s="69">
        <v>720</v>
      </c>
      <c r="H11" s="68">
        <f t="shared" si="1"/>
        <v>120</v>
      </c>
      <c r="K11" s="69">
        <v>3</v>
      </c>
      <c r="L11" s="70">
        <v>210</v>
      </c>
      <c r="M11" s="69">
        <f>N10</f>
        <v>555</v>
      </c>
      <c r="N11" s="69">
        <f t="shared" si="2"/>
        <v>765</v>
      </c>
      <c r="O11" s="69">
        <v>480</v>
      </c>
      <c r="P11" s="68">
        <f>N11-O11</f>
        <v>285</v>
      </c>
    </row>
    <row r="12" spans="2:16">
      <c r="C12" s="69">
        <v>6</v>
      </c>
      <c r="D12" s="70">
        <v>165</v>
      </c>
      <c r="E12" s="69">
        <f>F11</f>
        <v>840</v>
      </c>
      <c r="F12" s="69">
        <f t="shared" si="0"/>
        <v>1005</v>
      </c>
      <c r="G12" s="69">
        <v>780</v>
      </c>
      <c r="H12" s="68">
        <f t="shared" si="1"/>
        <v>225</v>
      </c>
      <c r="K12" s="69">
        <v>1</v>
      </c>
      <c r="L12" s="70">
        <v>240</v>
      </c>
      <c r="M12" s="69">
        <f>N11</f>
        <v>765</v>
      </c>
      <c r="N12" s="69">
        <f t="shared" si="2"/>
        <v>1005</v>
      </c>
      <c r="O12" s="69">
        <v>240</v>
      </c>
      <c r="P12" s="68">
        <f>N12-O12</f>
        <v>765</v>
      </c>
    </row>
    <row r="13" spans="2:16">
      <c r="F13" s="69"/>
    </row>
    <row r="14" spans="2:16">
      <c r="B14" s="68" t="s">
        <v>121</v>
      </c>
      <c r="C14" s="68" t="s">
        <v>119</v>
      </c>
      <c r="D14" s="71">
        <f>F12/6</f>
        <v>167.5</v>
      </c>
      <c r="K14" s="72"/>
      <c r="L14" s="69"/>
      <c r="M14" s="69"/>
      <c r="N14" s="69"/>
      <c r="O14" s="69"/>
      <c r="P14" s="69"/>
    </row>
    <row r="15" spans="2:16">
      <c r="C15" s="68" t="s">
        <v>118</v>
      </c>
      <c r="D15" s="72">
        <v>5</v>
      </c>
      <c r="K15" s="69"/>
      <c r="L15" s="70"/>
      <c r="M15" s="72"/>
      <c r="N15" s="69"/>
      <c r="O15" s="69"/>
    </row>
    <row r="16" spans="2:16">
      <c r="C16" s="68" t="s">
        <v>117</v>
      </c>
      <c r="D16" s="71">
        <f>AVERAGE(H7:H12)</f>
        <v>147.5</v>
      </c>
      <c r="E16" s="78">
        <f>D16/60</f>
        <v>2.4583333333333335</v>
      </c>
      <c r="K16" s="69"/>
      <c r="L16" s="70"/>
      <c r="M16" s="69"/>
      <c r="N16" s="69"/>
      <c r="O16" s="69"/>
    </row>
    <row r="17" spans="2:15">
      <c r="D17" s="71"/>
      <c r="K17" s="69"/>
      <c r="L17" s="70"/>
      <c r="M17" s="69"/>
      <c r="N17" s="69"/>
      <c r="O17" s="69"/>
    </row>
    <row r="18" spans="2:15">
      <c r="B18" s="68" t="s">
        <v>120</v>
      </c>
      <c r="C18" s="68" t="s">
        <v>119</v>
      </c>
      <c r="D18" s="73">
        <f>N12/6</f>
        <v>167.5</v>
      </c>
      <c r="K18" s="69"/>
      <c r="L18" s="70"/>
      <c r="M18" s="69"/>
      <c r="N18" s="69"/>
      <c r="O18" s="69"/>
    </row>
    <row r="19" spans="2:15">
      <c r="C19" s="68" t="s">
        <v>118</v>
      </c>
      <c r="D19" s="72">
        <v>2</v>
      </c>
      <c r="K19" s="69"/>
      <c r="L19" s="70"/>
      <c r="M19" s="69"/>
      <c r="N19" s="69"/>
      <c r="O19" s="69"/>
    </row>
    <row r="20" spans="2:15">
      <c r="C20" s="68" t="s">
        <v>117</v>
      </c>
      <c r="D20" s="71">
        <f>AVERAGE(P7:P12)</f>
        <v>175</v>
      </c>
      <c r="E20" s="78">
        <f>D20/60</f>
        <v>2.9166666666666665</v>
      </c>
      <c r="K20" s="69"/>
      <c r="L20" s="70"/>
      <c r="M20" s="69"/>
      <c r="N20" s="69"/>
      <c r="O20" s="69"/>
    </row>
    <row r="22" spans="2:15">
      <c r="B22" s="68" t="s">
        <v>116</v>
      </c>
      <c r="C22" s="68" t="s">
        <v>135</v>
      </c>
    </row>
    <row r="24" spans="2:15">
      <c r="B24" s="68" t="s">
        <v>115</v>
      </c>
      <c r="C24" s="68" t="s">
        <v>132</v>
      </c>
    </row>
    <row r="26" spans="2:15">
      <c r="B26" s="68" t="s">
        <v>133</v>
      </c>
      <c r="C26" s="68" t="s">
        <v>134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Hungaro</vt:lpstr>
      <vt:lpstr>Primera pregunta</vt:lpstr>
      <vt:lpstr>Segunda pregunta</vt:lpstr>
    </vt:vector>
  </TitlesOfParts>
  <Company>Leon y Parra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Leon</dc:creator>
  <cp:lastModifiedBy>Enrique Leon</cp:lastModifiedBy>
  <dcterms:created xsi:type="dcterms:W3CDTF">2008-12-11T17:27:27Z</dcterms:created>
  <dcterms:modified xsi:type="dcterms:W3CDTF">2016-10-20T21:13:04Z</dcterms:modified>
</cp:coreProperties>
</file>