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Enrique Leó/UCR/Docencia/Exámenes/Solución de Exámenes/Gerencia de Operaciones/Hasta 2019/"/>
    </mc:Choice>
  </mc:AlternateContent>
  <xr:revisionPtr revIDLastSave="0" documentId="13_ncr:1_{CF76A92C-69C8-0142-9F62-4943C8277BBF}" xr6:coauthVersionLast="47" xr6:coauthVersionMax="47" xr10:uidLastSave="{00000000-0000-0000-0000-000000000000}"/>
  <bookViews>
    <workbookView xWindow="560" yWindow="560" windowWidth="27900" windowHeight="15880" tabRatio="500" xr2:uid="{00000000-000D-0000-FFFF-FFFF00000000}"/>
  </bookViews>
  <sheets>
    <sheet name="Primera pregunta" sheetId="1" r:id="rId1"/>
    <sheet name="Segunda pregunta" sheetId="2" r:id="rId2"/>
    <sheet name="Tercera pregunta" sheetId="3" r:id="rId3"/>
    <sheet name="Tercera pregunta b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4" l="1"/>
  <c r="D15" i="4"/>
  <c r="O10" i="4"/>
  <c r="O11" i="4" s="1"/>
  <c r="N10" i="4"/>
  <c r="N11" i="4" s="1"/>
  <c r="Q5" i="4"/>
  <c r="D9" i="4" s="1"/>
  <c r="Q6" i="4"/>
  <c r="E10" i="4" s="1"/>
  <c r="Q3" i="4"/>
  <c r="E7" i="4" s="1"/>
  <c r="P5" i="4"/>
  <c r="P4" i="4"/>
  <c r="Q4" i="4" s="1"/>
  <c r="P3" i="4"/>
  <c r="I6" i="3"/>
  <c r="G12" i="3" s="1"/>
  <c r="A9" i="3"/>
  <c r="A19" i="3" s="1"/>
  <c r="I5" i="3"/>
  <c r="I16" i="3" s="1"/>
  <c r="H16" i="3"/>
  <c r="H15" i="3"/>
  <c r="C14" i="3"/>
  <c r="C15" i="3"/>
  <c r="C16" i="3"/>
  <c r="G11" i="3" s="1"/>
  <c r="I4" i="3"/>
  <c r="G10" i="3" s="1"/>
  <c r="I3" i="3"/>
  <c r="F9" i="3" s="1"/>
  <c r="B14" i="3"/>
  <c r="B15" i="3"/>
  <c r="B16" i="3"/>
  <c r="F10" i="3"/>
  <c r="F11" i="3"/>
  <c r="C29" i="2"/>
  <c r="C15" i="2"/>
  <c r="D15" i="2"/>
  <c r="E15" i="2"/>
  <c r="F15" i="2"/>
  <c r="I15" i="2"/>
  <c r="C16" i="2"/>
  <c r="D16" i="2"/>
  <c r="E16" i="2"/>
  <c r="F16" i="2"/>
  <c r="I16" i="2"/>
  <c r="C17" i="2"/>
  <c r="D17" i="2"/>
  <c r="E17" i="2"/>
  <c r="I17" i="2" s="1"/>
  <c r="I20" i="2" s="1"/>
  <c r="I23" i="2" s="1"/>
  <c r="C31" i="2" s="1"/>
  <c r="F17" i="2"/>
  <c r="C18" i="2"/>
  <c r="D18" i="2"/>
  <c r="E18" i="2"/>
  <c r="I18" i="2" s="1"/>
  <c r="F18" i="2"/>
  <c r="C19" i="2"/>
  <c r="I19" i="2" s="1"/>
  <c r="D19" i="2"/>
  <c r="E19" i="2"/>
  <c r="F19" i="2"/>
  <c r="C6" i="1"/>
  <c r="C11" i="1" s="1"/>
  <c r="C13" i="1" s="1"/>
  <c r="C16" i="1" l="1"/>
  <c r="C17" i="1"/>
  <c r="C18" i="1"/>
  <c r="N12" i="4"/>
  <c r="N13" i="4" s="1"/>
  <c r="D8" i="4"/>
  <c r="E8" i="4"/>
  <c r="H14" i="4"/>
  <c r="E9" i="4"/>
  <c r="O12" i="4" s="1"/>
  <c r="O13" i="4" s="1"/>
  <c r="G19" i="3"/>
  <c r="F12" i="3"/>
  <c r="H7" i="4"/>
  <c r="H8" i="4" s="1"/>
  <c r="H9" i="4" s="1"/>
  <c r="I15" i="3"/>
  <c r="J15" i="3" s="1"/>
  <c r="D7" i="4"/>
  <c r="G9" i="3"/>
  <c r="D10" i="4"/>
  <c r="J16" i="3"/>
  <c r="G10" i="4" l="1"/>
  <c r="F10" i="4"/>
  <c r="F19" i="3"/>
  <c r="F23" i="3" s="1"/>
  <c r="F25" i="3" s="1"/>
  <c r="F9" i="4"/>
  <c r="I9" i="4" s="1"/>
  <c r="G9" i="4"/>
  <c r="J9" i="4" s="1"/>
  <c r="G7" i="4"/>
  <c r="J7" i="4" s="1"/>
  <c r="F7" i="4"/>
  <c r="I7" i="4" s="1"/>
  <c r="H10" i="4"/>
  <c r="D14" i="4"/>
  <c r="G8" i="4"/>
  <c r="J8" i="4" s="1"/>
  <c r="F8" i="4"/>
  <c r="I8" i="4" s="1"/>
  <c r="I10" i="4" l="1"/>
  <c r="H13" i="4"/>
  <c r="H15" i="4" s="1"/>
  <c r="H17" i="4" s="1"/>
  <c r="E14" i="4"/>
  <c r="J10" i="4"/>
</calcChain>
</file>

<file path=xl/sharedStrings.xml><?xml version="1.0" encoding="utf-8"?>
<sst xmlns="http://schemas.openxmlformats.org/spreadsheetml/2006/main" count="180" uniqueCount="110">
  <si>
    <t>Del ciclo obtengo</t>
  </si>
  <si>
    <t>SM</t>
  </si>
  <si>
    <t>GC</t>
  </si>
  <si>
    <t>LT</t>
  </si>
  <si>
    <t>TOTAL</t>
  </si>
  <si>
    <t>Una máquina cada dos minutos</t>
  </si>
  <si>
    <t>Throughput</t>
  </si>
  <si>
    <t>El ciclo completo se termina en:</t>
  </si>
  <si>
    <t>A)</t>
  </si>
  <si>
    <t>B)</t>
  </si>
  <si>
    <t>Ciclos por día</t>
  </si>
  <si>
    <t>Producción Total</t>
  </si>
  <si>
    <t>Descripción del elemento</t>
  </si>
  <si>
    <t>Ciclos</t>
  </si>
  <si>
    <t>Tiempo</t>
  </si>
  <si>
    <t>F.V.</t>
  </si>
  <si>
    <t>Toma bolsa</t>
  </si>
  <si>
    <t>Abre bolsa</t>
  </si>
  <si>
    <t>Toma frascos</t>
  </si>
  <si>
    <t>Coloca frascos</t>
  </si>
  <si>
    <t>Cierra bolsa</t>
  </si>
  <si>
    <t>Promedio</t>
  </si>
  <si>
    <t>Suma</t>
  </si>
  <si>
    <t>a) Se debe aplicar 4% de suplementos por descanso, 3% de necesidades personales</t>
  </si>
  <si>
    <t>Tiempo estándar:</t>
  </si>
  <si>
    <t>Minutos</t>
  </si>
  <si>
    <t>b) La empresa trabaja de 8:00 am a 5:00 pm, con 1/2 hora de almuerzo, 15 de café en la mañana, y 15 de café en la tarde</t>
  </si>
  <si>
    <t>Cuántos empaques se realizan durante un día normal</t>
  </si>
  <si>
    <t>Horas efectivas</t>
  </si>
  <si>
    <t>Minutos efectivos</t>
  </si>
  <si>
    <t>Empaques diarios</t>
  </si>
  <si>
    <t>Tiempo disponible</t>
  </si>
  <si>
    <t>horas</t>
  </si>
  <si>
    <t>mantenimiento</t>
  </si>
  <si>
    <t>alistamientos</t>
  </si>
  <si>
    <t>compromiso</t>
  </si>
  <si>
    <t>tiempo extra</t>
  </si>
  <si>
    <t>Demanda</t>
  </si>
  <si>
    <t>A</t>
  </si>
  <si>
    <t>Z</t>
  </si>
  <si>
    <t>B</t>
  </si>
  <si>
    <t>C</t>
  </si>
  <si>
    <t>D</t>
  </si>
  <si>
    <t>Mes 1</t>
  </si>
  <si>
    <t>Mes 2</t>
  </si>
  <si>
    <t>M1</t>
  </si>
  <si>
    <t>M2</t>
  </si>
  <si>
    <t>M3</t>
  </si>
  <si>
    <t>M4</t>
  </si>
  <si>
    <t>Tiempos/maq</t>
  </si>
  <si>
    <t>TN</t>
  </si>
  <si>
    <t>E</t>
  </si>
  <si>
    <t>U</t>
  </si>
  <si>
    <t>TE</t>
  </si>
  <si>
    <t>Carga</t>
  </si>
  <si>
    <t>CB</t>
  </si>
  <si>
    <t>Mezcla</t>
  </si>
  <si>
    <t>TPT</t>
  </si>
  <si>
    <t>PV</t>
  </si>
  <si>
    <t>CMP</t>
  </si>
  <si>
    <t>MC</t>
  </si>
  <si>
    <t>TCB</t>
  </si>
  <si>
    <t>Utilidades</t>
  </si>
  <si>
    <t>Ingresos</t>
  </si>
  <si>
    <t>GO</t>
  </si>
  <si>
    <t>UN</t>
  </si>
  <si>
    <t>PL</t>
  </si>
  <si>
    <t>FO</t>
  </si>
  <si>
    <t>X1</t>
  </si>
  <si>
    <t>X2</t>
  </si>
  <si>
    <t>Unidades de A que se producen</t>
  </si>
  <si>
    <t>Unidades de Z que se producen</t>
  </si>
  <si>
    <t xml:space="preserve"> Max 4400X1 + 5000X2</t>
  </si>
  <si>
    <t>Restricciones</t>
  </si>
  <si>
    <t>No negatividad</t>
  </si>
  <si>
    <t>Demanda mes 1</t>
  </si>
  <si>
    <t>Máquina 1</t>
  </si>
  <si>
    <t>Xi ≥ 0</t>
  </si>
  <si>
    <t>X1 ≤ 2000</t>
  </si>
  <si>
    <t>X2 ≤ 3000</t>
  </si>
  <si>
    <t>Máquina 2</t>
  </si>
  <si>
    <t>Máquina 3</t>
  </si>
  <si>
    <t>Máquina 4</t>
  </si>
  <si>
    <r>
      <t>8*0.0035*</t>
    </r>
    <r>
      <rPr>
        <sz val="12"/>
        <color indexed="205"/>
        <rFont val="Calibri"/>
        <family val="2"/>
      </rPr>
      <t>X1+9*0.0035X2 ≤ 178.7</t>
    </r>
  </si>
  <si>
    <r>
      <t>8*0.0026*</t>
    </r>
    <r>
      <rPr>
        <sz val="12"/>
        <color indexed="205"/>
        <rFont val="Calibri"/>
        <family val="2"/>
      </rPr>
      <t>X1+9*0.0026X2 ≤ 178.7</t>
    </r>
  </si>
  <si>
    <r>
      <t>8*0.0054*</t>
    </r>
    <r>
      <rPr>
        <sz val="12"/>
        <color indexed="205"/>
        <rFont val="Calibri"/>
        <family val="2"/>
      </rPr>
      <t>X1+9*0.0054X2 ≤ 178.7</t>
    </r>
  </si>
  <si>
    <r>
      <t>0.0135*</t>
    </r>
    <r>
      <rPr>
        <sz val="12"/>
        <color indexed="205"/>
        <rFont val="Calibri"/>
        <family val="2"/>
      </rPr>
      <t>X1+0.0135X2 ≤ 178.7</t>
    </r>
  </si>
  <si>
    <t>horas/100 uds</t>
  </si>
  <si>
    <t>horas/ud</t>
  </si>
  <si>
    <t>15 pts</t>
  </si>
  <si>
    <t>10pts</t>
  </si>
  <si>
    <t>15pts</t>
  </si>
  <si>
    <t>Máquina</t>
  </si>
  <si>
    <t>Demanda Mes 1</t>
  </si>
  <si>
    <t>Demanda Mes 2</t>
  </si>
  <si>
    <t>Lista de materiales</t>
  </si>
  <si>
    <t>Productos</t>
  </si>
  <si>
    <t xml:space="preserve">Carga </t>
  </si>
  <si>
    <t>Disponible</t>
  </si>
  <si>
    <t>Porcentaje</t>
  </si>
  <si>
    <t>de Carga 1</t>
  </si>
  <si>
    <t>de Carga 2</t>
  </si>
  <si>
    <t>Tn</t>
  </si>
  <si>
    <t>Tstd</t>
  </si>
  <si>
    <t>Utilización</t>
  </si>
  <si>
    <t>Eficiencia</t>
  </si>
  <si>
    <t>Producto</t>
  </si>
  <si>
    <t>M Cont.</t>
  </si>
  <si>
    <t>Tcb</t>
  </si>
  <si>
    <t>G de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</si>
</sst>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5" formatCode="0.000"/>
    <numFmt numFmtId="166" formatCode="_-* #,##0_-;\-* #,##0_-;_-* &quot;-&quot;??_-;_-@_-"/>
    <numFmt numFmtId="167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color indexed="205"/>
      <name val="Calibri"/>
      <family val="2"/>
    </font>
    <font>
      <b/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8"/>
    <xf numFmtId="0" fontId="7" fillId="0" borderId="1" xfId="8" applyFont="1" applyFill="1" applyBorder="1" applyAlignment="1">
      <alignment horizontal="center"/>
    </xf>
    <xf numFmtId="0" fontId="6" fillId="0" borderId="1" xfId="8" applyBorder="1"/>
    <xf numFmtId="164" fontId="6" fillId="0" borderId="1" xfId="8" applyNumberFormat="1" applyBorder="1"/>
    <xf numFmtId="0" fontId="7" fillId="0" borderId="0" xfId="8" applyFont="1" applyFill="1" applyBorder="1" applyAlignment="1"/>
    <xf numFmtId="0" fontId="6" fillId="0" borderId="0" xfId="8" applyFill="1" applyBorder="1"/>
    <xf numFmtId="0" fontId="8" fillId="0" borderId="7" xfId="8" applyFont="1" applyFill="1" applyBorder="1" applyAlignment="1">
      <alignment horizontal="center"/>
    </xf>
    <xf numFmtId="0" fontId="8" fillId="0" borderId="1" xfId="8" applyFont="1" applyFill="1" applyBorder="1" applyAlignment="1">
      <alignment horizontal="center"/>
    </xf>
    <xf numFmtId="0" fontId="8" fillId="0" borderId="8" xfId="8" applyFont="1" applyFill="1" applyBorder="1" applyAlignment="1">
      <alignment horizontal="center"/>
    </xf>
    <xf numFmtId="0" fontId="8" fillId="0" borderId="0" xfId="8" applyFont="1" applyFill="1" applyBorder="1" applyAlignment="1">
      <alignment horizontal="center"/>
    </xf>
    <xf numFmtId="0" fontId="9" fillId="0" borderId="0" xfId="8" applyFont="1" applyFill="1"/>
    <xf numFmtId="0" fontId="6" fillId="0" borderId="0" xfId="8" applyFill="1"/>
    <xf numFmtId="0" fontId="6" fillId="0" borderId="9" xfId="8" applyFill="1" applyBorder="1"/>
    <xf numFmtId="164" fontId="6" fillId="0" borderId="7" xfId="8" applyNumberFormat="1" applyFill="1" applyBorder="1"/>
    <xf numFmtId="164" fontId="6" fillId="0" borderId="1" xfId="8" applyNumberFormat="1" applyFill="1" applyBorder="1"/>
    <xf numFmtId="164" fontId="6" fillId="0" borderId="8" xfId="8" applyNumberFormat="1" applyFill="1" applyBorder="1"/>
    <xf numFmtId="164" fontId="6" fillId="0" borderId="0" xfId="8" applyNumberFormat="1" applyFill="1" applyBorder="1"/>
    <xf numFmtId="164" fontId="6" fillId="0" borderId="0" xfId="8" applyNumberFormat="1" applyFill="1"/>
    <xf numFmtId="0" fontId="6" fillId="0" borderId="10" xfId="8" applyFill="1" applyBorder="1"/>
    <xf numFmtId="164" fontId="6" fillId="0" borderId="11" xfId="8" applyNumberFormat="1" applyFill="1" applyBorder="1"/>
    <xf numFmtId="164" fontId="6" fillId="0" borderId="12" xfId="8" applyNumberFormat="1" applyFill="1" applyBorder="1"/>
    <xf numFmtId="164" fontId="6" fillId="0" borderId="13" xfId="8" applyNumberFormat="1" applyFill="1" applyBorder="1"/>
    <xf numFmtId="0" fontId="6" fillId="0" borderId="0" xfId="8" applyBorder="1"/>
    <xf numFmtId="0" fontId="7" fillId="0" borderId="0" xfId="8" applyFont="1" applyFill="1" applyBorder="1" applyAlignment="1">
      <alignment horizontal="right"/>
    </xf>
    <xf numFmtId="164" fontId="9" fillId="0" borderId="0" xfId="8" applyNumberFormat="1" applyFont="1" applyFill="1" applyBorder="1"/>
    <xf numFmtId="0" fontId="9" fillId="0" borderId="0" xfId="8" applyFont="1" applyAlignment="1">
      <alignment horizontal="center"/>
    </xf>
    <xf numFmtId="0" fontId="9" fillId="0" borderId="0" xfId="8" applyFont="1"/>
    <xf numFmtId="0" fontId="5" fillId="0" borderId="0" xfId="0" applyFont="1"/>
    <xf numFmtId="9" fontId="0" fillId="0" borderId="0" xfId="0" applyNumberFormat="1"/>
    <xf numFmtId="2" fontId="0" fillId="0" borderId="0" xfId="0" applyNumberFormat="1"/>
    <xf numFmtId="166" fontId="0" fillId="0" borderId="0" xfId="7" applyNumberFormat="1" applyFont="1"/>
    <xf numFmtId="166" fontId="0" fillId="0" borderId="0" xfId="0" applyNumberFormat="1"/>
    <xf numFmtId="43" fontId="0" fillId="0" borderId="0" xfId="7" applyNumberFormat="1" applyFont="1"/>
    <xf numFmtId="166" fontId="5" fillId="0" borderId="0" xfId="7" applyNumberFormat="1" applyFont="1"/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165" fontId="9" fillId="2" borderId="15" xfId="8" applyNumberFormat="1" applyFont="1" applyFill="1" applyBorder="1" applyAlignment="1">
      <alignment horizontal="center"/>
    </xf>
    <xf numFmtId="0" fontId="9" fillId="2" borderId="16" xfId="8" applyFont="1" applyFill="1" applyBorder="1"/>
    <xf numFmtId="2" fontId="9" fillId="2" borderId="14" xfId="8" applyNumberFormat="1" applyFont="1" applyFill="1" applyBorder="1" applyAlignment="1">
      <alignment horizontal="center"/>
    </xf>
    <xf numFmtId="0" fontId="12" fillId="2" borderId="18" xfId="8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1" fillId="2" borderId="0" xfId="0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167" fontId="0" fillId="0" borderId="0" xfId="0" applyNumberFormat="1"/>
    <xf numFmtId="0" fontId="0" fillId="0" borderId="1" xfId="0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7" fillId="0" borderId="2" xfId="8" applyFont="1" applyFill="1" applyBorder="1" applyAlignment="1">
      <alignment horizontal="center" vertical="center"/>
    </xf>
    <xf numFmtId="0" fontId="7" fillId="0" borderId="6" xfId="8" applyFont="1" applyFill="1" applyBorder="1" applyAlignment="1">
      <alignment horizontal="center" vertical="center"/>
    </xf>
    <xf numFmtId="0" fontId="7" fillId="0" borderId="3" xfId="8" applyFont="1" applyFill="1" applyBorder="1" applyAlignment="1">
      <alignment horizontal="center"/>
    </xf>
    <xf numFmtId="0" fontId="7" fillId="0" borderId="4" xfId="8" applyFont="1" applyFill="1" applyBorder="1" applyAlignment="1">
      <alignment horizontal="center"/>
    </xf>
    <xf numFmtId="0" fontId="7" fillId="0" borderId="5" xfId="8" applyFont="1" applyFill="1" applyBorder="1" applyAlignment="1">
      <alignment horizontal="center"/>
    </xf>
    <xf numFmtId="0" fontId="9" fillId="2" borderId="14" xfId="8" applyFont="1" applyFill="1" applyBorder="1" applyAlignment="1">
      <alignment horizontal="center"/>
    </xf>
    <xf numFmtId="0" fontId="9" fillId="2" borderId="15" xfId="8" applyFont="1" applyFill="1" applyBorder="1" applyAlignment="1">
      <alignment horizontal="center"/>
    </xf>
    <xf numFmtId="0" fontId="9" fillId="2" borderId="16" xfId="8" applyFont="1" applyFill="1" applyBorder="1" applyAlignment="1">
      <alignment horizontal="center"/>
    </xf>
    <xf numFmtId="0" fontId="7" fillId="0" borderId="1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5">
    <cellStyle name="Comma" xfId="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Normal 2" xfId="8" xr:uid="{00000000-0005-0000-0000-00003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="150" zoomScaleNormal="150" zoomScalePageLayoutView="150" workbookViewId="0">
      <selection activeCell="E8" sqref="E8"/>
    </sheetView>
  </sheetViews>
  <sheetFormatPr baseColWidth="10" defaultRowHeight="16" x14ac:dyDescent="0.2"/>
  <cols>
    <col min="2" max="2" width="18.5" bestFit="1" customWidth="1"/>
    <col min="3" max="3" width="15.33203125" bestFit="1" customWidth="1"/>
  </cols>
  <sheetData>
    <row r="1" spans="1:4" ht="21" x14ac:dyDescent="0.25">
      <c r="A1" s="5" t="s">
        <v>8</v>
      </c>
    </row>
    <row r="2" spans="1:4" x14ac:dyDescent="0.2">
      <c r="B2" s="56" t="s">
        <v>0</v>
      </c>
      <c r="C2" s="56"/>
    </row>
    <row r="3" spans="1:4" x14ac:dyDescent="0.2">
      <c r="B3" s="2" t="s">
        <v>1</v>
      </c>
      <c r="C3" s="2">
        <v>4</v>
      </c>
    </row>
    <row r="4" spans="1:4" x14ac:dyDescent="0.2">
      <c r="B4" s="2" t="s">
        <v>2</v>
      </c>
      <c r="C4" s="2">
        <v>2</v>
      </c>
    </row>
    <row r="5" spans="1:4" x14ac:dyDescent="0.2">
      <c r="B5" s="2" t="s">
        <v>3</v>
      </c>
      <c r="C5" s="2">
        <v>2</v>
      </c>
    </row>
    <row r="6" spans="1:4" x14ac:dyDescent="0.2">
      <c r="B6" s="2" t="s">
        <v>4</v>
      </c>
      <c r="C6" s="2">
        <f>SUM(C3:C5)</f>
        <v>8</v>
      </c>
    </row>
    <row r="7" spans="1:4" x14ac:dyDescent="0.2">
      <c r="B7" s="1"/>
      <c r="C7" s="1"/>
    </row>
    <row r="8" spans="1:4" x14ac:dyDescent="0.2">
      <c r="B8" s="56" t="s">
        <v>6</v>
      </c>
      <c r="C8" s="56"/>
    </row>
    <row r="9" spans="1:4" ht="34" x14ac:dyDescent="0.2">
      <c r="B9" s="3" t="s">
        <v>5</v>
      </c>
      <c r="C9" s="4">
        <v>2</v>
      </c>
    </row>
    <row r="11" spans="1:4" ht="34" x14ac:dyDescent="0.2">
      <c r="B11" s="3" t="s">
        <v>7</v>
      </c>
      <c r="C11" s="4">
        <f>+C6*C9</f>
        <v>16</v>
      </c>
      <c r="D11" s="41" t="s">
        <v>89</v>
      </c>
    </row>
    <row r="12" spans="1:4" ht="21" x14ac:dyDescent="0.25">
      <c r="A12" s="5" t="s">
        <v>9</v>
      </c>
    </row>
    <row r="13" spans="1:4" x14ac:dyDescent="0.2">
      <c r="B13" s="40" t="s">
        <v>10</v>
      </c>
      <c r="C13" s="2">
        <f>+(8*60)/C11</f>
        <v>30</v>
      </c>
    </row>
    <row r="15" spans="1:4" x14ac:dyDescent="0.2">
      <c r="B15" s="56" t="s">
        <v>11</v>
      </c>
      <c r="C15" s="56"/>
      <c r="D15" s="57" t="s">
        <v>89</v>
      </c>
    </row>
    <row r="16" spans="1:4" x14ac:dyDescent="0.2">
      <c r="B16" s="2" t="s">
        <v>1</v>
      </c>
      <c r="C16" s="2">
        <f>+$C$13*C3</f>
        <v>120</v>
      </c>
      <c r="D16" s="57"/>
    </row>
    <row r="17" spans="2:4" x14ac:dyDescent="0.2">
      <c r="B17" s="2" t="s">
        <v>2</v>
      </c>
      <c r="C17" s="2">
        <f t="shared" ref="C17:C18" si="0">+$C$13*C4</f>
        <v>60</v>
      </c>
      <c r="D17" s="57"/>
    </row>
    <row r="18" spans="2:4" x14ac:dyDescent="0.2">
      <c r="B18" s="2" t="s">
        <v>3</v>
      </c>
      <c r="C18" s="2">
        <f t="shared" si="0"/>
        <v>60</v>
      </c>
      <c r="D18" s="57"/>
    </row>
  </sheetData>
  <mergeCells count="4">
    <mergeCell ref="B8:C8"/>
    <mergeCell ref="B2:C2"/>
    <mergeCell ref="B15:C15"/>
    <mergeCell ref="D15:D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31"/>
  <sheetViews>
    <sheetView zoomScale="150" zoomScaleNormal="150" zoomScalePageLayoutView="150" workbookViewId="0">
      <selection activeCell="I26" sqref="I26"/>
    </sheetView>
  </sheetViews>
  <sheetFormatPr baseColWidth="10" defaultRowHeight="13" x14ac:dyDescent="0.15"/>
  <cols>
    <col min="1" max="1" width="10.83203125" style="6"/>
    <col min="2" max="2" width="44.5" style="6" customWidth="1"/>
    <col min="3" max="16384" width="10.83203125" style="6"/>
  </cols>
  <sheetData>
    <row r="3" spans="2:11" ht="16" x14ac:dyDescent="0.2">
      <c r="B3" s="66" t="s">
        <v>12</v>
      </c>
      <c r="C3" s="67" t="s">
        <v>13</v>
      </c>
      <c r="D3" s="67"/>
      <c r="E3" s="67"/>
      <c r="F3" s="67"/>
      <c r="G3" s="67"/>
      <c r="H3" s="67"/>
      <c r="I3" s="67"/>
      <c r="J3" s="67"/>
    </row>
    <row r="4" spans="2:11" ht="16" x14ac:dyDescent="0.2">
      <c r="B4" s="66"/>
      <c r="C4" s="67">
        <v>1</v>
      </c>
      <c r="D4" s="67"/>
      <c r="E4" s="67">
        <v>2</v>
      </c>
      <c r="F4" s="67"/>
      <c r="G4" s="67">
        <v>3</v>
      </c>
      <c r="H4" s="67"/>
      <c r="I4" s="67">
        <v>4</v>
      </c>
      <c r="J4" s="67"/>
    </row>
    <row r="5" spans="2:11" ht="16" x14ac:dyDescent="0.2">
      <c r="B5" s="66"/>
      <c r="C5" s="7" t="s">
        <v>14</v>
      </c>
      <c r="D5" s="7" t="s">
        <v>15</v>
      </c>
      <c r="E5" s="7" t="s">
        <v>14</v>
      </c>
      <c r="F5" s="7" t="s">
        <v>15</v>
      </c>
      <c r="G5" s="7" t="s">
        <v>14</v>
      </c>
      <c r="H5" s="7" t="s">
        <v>15</v>
      </c>
      <c r="I5" s="7" t="s">
        <v>14</v>
      </c>
      <c r="J5" s="7" t="s">
        <v>15</v>
      </c>
    </row>
    <row r="6" spans="2:11" x14ac:dyDescent="0.15">
      <c r="B6" s="8" t="s">
        <v>16</v>
      </c>
      <c r="C6" s="9">
        <v>1.2816000000000001</v>
      </c>
      <c r="D6" s="8">
        <v>90</v>
      </c>
      <c r="E6" s="9">
        <v>0.66239999999999988</v>
      </c>
      <c r="F6" s="8">
        <v>110</v>
      </c>
      <c r="G6" s="9">
        <v>1.8288000000000011</v>
      </c>
      <c r="H6" s="8">
        <v>80</v>
      </c>
      <c r="I6" s="9">
        <v>1.1951999999999963</v>
      </c>
      <c r="J6" s="8">
        <v>95</v>
      </c>
    </row>
    <row r="7" spans="2:11" x14ac:dyDescent="0.15">
      <c r="B7" s="8" t="s">
        <v>17</v>
      </c>
      <c r="C7" s="9">
        <v>0.89279999999999982</v>
      </c>
      <c r="D7" s="8">
        <v>105</v>
      </c>
      <c r="E7" s="9">
        <v>1.6847999999999992</v>
      </c>
      <c r="F7" s="8">
        <v>85</v>
      </c>
      <c r="G7" s="9">
        <v>1.4112000000000009</v>
      </c>
      <c r="H7" s="8">
        <v>90</v>
      </c>
      <c r="I7" s="9">
        <v>1.6704000000000008</v>
      </c>
      <c r="J7" s="8">
        <v>85</v>
      </c>
    </row>
    <row r="8" spans="2:11" x14ac:dyDescent="0.15">
      <c r="B8" s="8" t="s">
        <v>18</v>
      </c>
      <c r="C8" s="9">
        <v>1.8287999999999998</v>
      </c>
      <c r="D8" s="8">
        <v>80</v>
      </c>
      <c r="E8" s="9">
        <v>0.74880000000000191</v>
      </c>
      <c r="F8" s="8">
        <v>95</v>
      </c>
      <c r="G8" s="9">
        <v>0.80640000000000001</v>
      </c>
      <c r="H8" s="8">
        <v>90</v>
      </c>
      <c r="I8" s="9">
        <v>0.64799999999999969</v>
      </c>
      <c r="J8" s="8">
        <v>105</v>
      </c>
    </row>
    <row r="9" spans="2:11" x14ac:dyDescent="0.15">
      <c r="B9" s="8" t="s">
        <v>19</v>
      </c>
      <c r="C9" s="9">
        <v>0.46079999999999988</v>
      </c>
      <c r="D9" s="8">
        <v>130</v>
      </c>
      <c r="E9" s="9">
        <v>1.8</v>
      </c>
      <c r="F9" s="8">
        <v>105</v>
      </c>
      <c r="G9" s="9">
        <v>1.3824000000000005</v>
      </c>
      <c r="H9" s="8">
        <v>110</v>
      </c>
      <c r="I9" s="9">
        <v>1.8863999999999983</v>
      </c>
      <c r="J9" s="8">
        <v>100</v>
      </c>
    </row>
    <row r="10" spans="2:11" x14ac:dyDescent="0.15">
      <c r="B10" s="8" t="s">
        <v>20</v>
      </c>
      <c r="C10" s="9">
        <v>0.18719999999999981</v>
      </c>
      <c r="D10" s="8">
        <v>130</v>
      </c>
      <c r="E10" s="9">
        <v>1.6991999999999994</v>
      </c>
      <c r="F10" s="8">
        <v>85</v>
      </c>
      <c r="G10" s="9">
        <v>1.0655999999999963</v>
      </c>
      <c r="H10" s="8">
        <v>110</v>
      </c>
      <c r="I10" s="9">
        <v>1.5263999999999953</v>
      </c>
      <c r="J10" s="8">
        <v>100</v>
      </c>
    </row>
    <row r="12" spans="2:11" ht="14" thickBot="1" x14ac:dyDescent="0.2"/>
    <row r="13" spans="2:11" ht="16" x14ac:dyDescent="0.2">
      <c r="B13" s="58" t="s">
        <v>12</v>
      </c>
      <c r="C13" s="60" t="s">
        <v>13</v>
      </c>
      <c r="D13" s="61"/>
      <c r="E13" s="61"/>
      <c r="F13" s="62"/>
      <c r="G13" s="10"/>
      <c r="H13" s="11"/>
      <c r="J13" s="10"/>
    </row>
    <row r="14" spans="2:11" ht="16" x14ac:dyDescent="0.2">
      <c r="B14" s="59"/>
      <c r="C14" s="12">
        <v>1</v>
      </c>
      <c r="D14" s="13">
        <v>2</v>
      </c>
      <c r="E14" s="13">
        <v>3</v>
      </c>
      <c r="F14" s="14">
        <v>4</v>
      </c>
      <c r="G14" s="15"/>
      <c r="H14" s="11"/>
      <c r="I14" s="10" t="s">
        <v>21</v>
      </c>
      <c r="J14" s="16"/>
      <c r="K14" s="17"/>
    </row>
    <row r="15" spans="2:11" x14ac:dyDescent="0.15">
      <c r="B15" s="18" t="s">
        <v>16</v>
      </c>
      <c r="C15" s="19">
        <f>(C6*D6)/100</f>
        <v>1.15344</v>
      </c>
      <c r="D15" s="20">
        <f>(E6*F6)/100</f>
        <v>0.72863999999999995</v>
      </c>
      <c r="E15" s="20">
        <f>(G6*H6)/100</f>
        <v>1.4630400000000008</v>
      </c>
      <c r="F15" s="21">
        <f>(I6*J6)/100</f>
        <v>1.1354399999999965</v>
      </c>
      <c r="G15" s="22"/>
      <c r="H15" s="11"/>
      <c r="I15" s="22">
        <f>AVERAGE(C15:F15)</f>
        <v>1.1201399999999992</v>
      </c>
      <c r="J15" s="16"/>
      <c r="K15" s="17"/>
    </row>
    <row r="16" spans="2:11" x14ac:dyDescent="0.15">
      <c r="B16" s="18" t="s">
        <v>17</v>
      </c>
      <c r="C16" s="19">
        <f>(C7*D7)/100</f>
        <v>0.93743999999999983</v>
      </c>
      <c r="D16" s="20">
        <f>(E7*F7)/100</f>
        <v>1.4320799999999994</v>
      </c>
      <c r="E16" s="20">
        <f>(G7*H7)/100</f>
        <v>1.2700800000000008</v>
      </c>
      <c r="F16" s="21">
        <f>(I7*J7)/100</f>
        <v>1.4198400000000007</v>
      </c>
      <c r="G16" s="22"/>
      <c r="H16" s="11"/>
      <c r="I16" s="22">
        <f>AVERAGE(C16:F16)</f>
        <v>1.2648600000000001</v>
      </c>
      <c r="J16" s="23"/>
      <c r="K16" s="17"/>
    </row>
    <row r="17" spans="2:11" x14ac:dyDescent="0.15">
      <c r="B17" s="18" t="s">
        <v>18</v>
      </c>
      <c r="C17" s="19">
        <f>(C8*D8)/100</f>
        <v>1.4630399999999997</v>
      </c>
      <c r="D17" s="20">
        <f>(E8*F8)/100</f>
        <v>0.71136000000000177</v>
      </c>
      <c r="E17" s="20">
        <f>(G8*H8)/100</f>
        <v>0.72575999999999996</v>
      </c>
      <c r="F17" s="21">
        <f>(I8*J8)/100</f>
        <v>0.68039999999999967</v>
      </c>
      <c r="G17" s="22"/>
      <c r="H17" s="11"/>
      <c r="I17" s="22">
        <f>AVERAGE(C17:F17)</f>
        <v>0.89514000000000027</v>
      </c>
      <c r="J17" s="23"/>
      <c r="K17" s="17"/>
    </row>
    <row r="18" spans="2:11" x14ac:dyDescent="0.15">
      <c r="B18" s="18" t="s">
        <v>19</v>
      </c>
      <c r="C18" s="19">
        <f>(C9*D9)/100</f>
        <v>0.59903999999999979</v>
      </c>
      <c r="D18" s="20">
        <f>(E9*F9)/100</f>
        <v>1.89</v>
      </c>
      <c r="E18" s="20">
        <f>(G9*H9)/100</f>
        <v>1.5206400000000004</v>
      </c>
      <c r="F18" s="21">
        <f>(I9*J9)/100</f>
        <v>1.8863999999999981</v>
      </c>
      <c r="G18" s="22"/>
      <c r="H18" s="11"/>
      <c r="I18" s="22">
        <f>AVERAGE(C18:F18)</f>
        <v>1.4740199999999997</v>
      </c>
      <c r="J18" s="23"/>
      <c r="K18" s="17"/>
    </row>
    <row r="19" spans="2:11" ht="14" thickBot="1" x14ac:dyDescent="0.2">
      <c r="B19" s="24" t="s">
        <v>20</v>
      </c>
      <c r="C19" s="25">
        <f>(C10*D10)/100</f>
        <v>0.24335999999999977</v>
      </c>
      <c r="D19" s="26">
        <f>(E10*F10)/100</f>
        <v>1.4443199999999996</v>
      </c>
      <c r="E19" s="26">
        <f>(G10*H10)/100</f>
        <v>1.1721599999999959</v>
      </c>
      <c r="F19" s="27">
        <f>(I10*J10)/100</f>
        <v>1.5263999999999953</v>
      </c>
      <c r="G19" s="22"/>
      <c r="H19" s="11"/>
      <c r="I19" s="22">
        <f>AVERAGE(C19:F19)</f>
        <v>1.0965599999999975</v>
      </c>
      <c r="J19" s="23"/>
      <c r="K19" s="17"/>
    </row>
    <row r="20" spans="2:11" ht="16" x14ac:dyDescent="0.2">
      <c r="B20" s="28"/>
      <c r="C20" s="28"/>
      <c r="D20" s="28"/>
      <c r="E20" s="28"/>
      <c r="F20" s="28"/>
      <c r="G20" s="28"/>
      <c r="H20" s="29" t="s">
        <v>22</v>
      </c>
      <c r="I20" s="30">
        <f>SUM(I15:I19)</f>
        <v>5.8507199999999964</v>
      </c>
      <c r="J20" s="30"/>
      <c r="K20" s="17"/>
    </row>
    <row r="21" spans="2:11" x14ac:dyDescent="0.15">
      <c r="J21" s="17"/>
      <c r="K21" s="17"/>
    </row>
    <row r="22" spans="2:11" ht="14" thickBot="1" x14ac:dyDescent="0.2"/>
    <row r="23" spans="2:11" ht="14" thickBot="1" x14ac:dyDescent="0.2">
      <c r="B23" s="6" t="s">
        <v>23</v>
      </c>
      <c r="G23" s="63" t="s">
        <v>24</v>
      </c>
      <c r="H23" s="64"/>
      <c r="I23" s="42">
        <f>I20/(1-0.07)</f>
        <v>6.2910967741935453</v>
      </c>
      <c r="J23" s="43" t="s">
        <v>25</v>
      </c>
      <c r="K23" s="45" t="s">
        <v>90</v>
      </c>
    </row>
    <row r="25" spans="2:11" x14ac:dyDescent="0.15">
      <c r="B25" s="6" t="s">
        <v>26</v>
      </c>
    </row>
    <row r="26" spans="2:11" x14ac:dyDescent="0.15">
      <c r="B26" s="6" t="s">
        <v>27</v>
      </c>
    </row>
    <row r="28" spans="2:11" x14ac:dyDescent="0.15">
      <c r="C28" s="31">
        <v>8</v>
      </c>
      <c r="D28" s="32" t="s">
        <v>28</v>
      </c>
    </row>
    <row r="29" spans="2:11" x14ac:dyDescent="0.15">
      <c r="C29" s="31">
        <f>C28*60</f>
        <v>480</v>
      </c>
      <c r="D29" s="32" t="s">
        <v>29</v>
      </c>
    </row>
    <row r="30" spans="2:11" ht="14" thickBot="1" x14ac:dyDescent="0.2">
      <c r="C30" s="31"/>
      <c r="D30" s="32"/>
    </row>
    <row r="31" spans="2:11" ht="14" thickBot="1" x14ac:dyDescent="0.2">
      <c r="C31" s="44">
        <f>C29/I23</f>
        <v>76.298301747477268</v>
      </c>
      <c r="D31" s="64" t="s">
        <v>30</v>
      </c>
      <c r="E31" s="65"/>
      <c r="F31" s="45" t="s">
        <v>91</v>
      </c>
    </row>
  </sheetData>
  <mergeCells count="10">
    <mergeCell ref="B13:B14"/>
    <mergeCell ref="C13:F13"/>
    <mergeCell ref="G23:H23"/>
    <mergeCell ref="D31:E31"/>
    <mergeCell ref="B3:B5"/>
    <mergeCell ref="C3:J3"/>
    <mergeCell ref="C4:D4"/>
    <mergeCell ref="E4:F4"/>
    <mergeCell ref="G4:H4"/>
    <mergeCell ref="I4:J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5"/>
  <sheetViews>
    <sheetView workbookViewId="0">
      <selection activeCell="F25" sqref="F25"/>
    </sheetView>
  </sheetViews>
  <sheetFormatPr baseColWidth="10" defaultRowHeight="16" x14ac:dyDescent="0.2"/>
  <cols>
    <col min="5" max="5" width="12.83203125" bestFit="1" customWidth="1"/>
    <col min="6" max="6" width="15.5" customWidth="1"/>
  </cols>
  <sheetData>
    <row r="2" spans="1:10" x14ac:dyDescent="0.2">
      <c r="A2" s="33" t="s">
        <v>31</v>
      </c>
      <c r="E2" s="54" t="s">
        <v>49</v>
      </c>
      <c r="F2" s="54" t="s">
        <v>50</v>
      </c>
      <c r="G2" s="54" t="s">
        <v>52</v>
      </c>
      <c r="H2" s="54" t="s">
        <v>51</v>
      </c>
      <c r="I2" s="54" t="s">
        <v>53</v>
      </c>
    </row>
    <row r="3" spans="1:10" x14ac:dyDescent="0.2">
      <c r="A3">
        <v>200</v>
      </c>
      <c r="B3" t="s">
        <v>32</v>
      </c>
      <c r="E3" t="s">
        <v>45</v>
      </c>
      <c r="F3">
        <v>0.4</v>
      </c>
      <c r="G3" s="34">
        <v>0.92</v>
      </c>
      <c r="H3" s="34">
        <v>0.95</v>
      </c>
      <c r="I3" s="35">
        <f>F3*G3/(2-H3)</f>
        <v>0.3504761904761905</v>
      </c>
      <c r="J3" t="s">
        <v>87</v>
      </c>
    </row>
    <row r="4" spans="1:10" x14ac:dyDescent="0.2">
      <c r="A4" s="34">
        <v>0.05</v>
      </c>
      <c r="B4" t="s">
        <v>33</v>
      </c>
      <c r="E4" t="s">
        <v>46</v>
      </c>
      <c r="F4">
        <v>0.3</v>
      </c>
      <c r="G4" s="34">
        <v>0.92</v>
      </c>
      <c r="H4" s="34">
        <v>0.95</v>
      </c>
      <c r="I4" s="35">
        <f t="shared" ref="I4:I5" si="0">F4*G4/(2-H4)</f>
        <v>0.26285714285714284</v>
      </c>
      <c r="J4" t="s">
        <v>87</v>
      </c>
    </row>
    <row r="5" spans="1:10" x14ac:dyDescent="0.2">
      <c r="A5" s="34">
        <v>0.1</v>
      </c>
      <c r="B5" t="s">
        <v>34</v>
      </c>
      <c r="E5" t="s">
        <v>47</v>
      </c>
      <c r="F5">
        <v>0.6</v>
      </c>
      <c r="G5" s="34">
        <v>0.95</v>
      </c>
      <c r="H5" s="34">
        <v>0.95</v>
      </c>
      <c r="I5" s="35">
        <f t="shared" si="0"/>
        <v>0.54285714285714282</v>
      </c>
      <c r="J5" t="s">
        <v>87</v>
      </c>
    </row>
    <row r="6" spans="1:10" x14ac:dyDescent="0.2">
      <c r="A6" s="34">
        <v>0.95</v>
      </c>
      <c r="B6" t="s">
        <v>35</v>
      </c>
      <c r="E6" t="s">
        <v>48</v>
      </c>
      <c r="F6">
        <v>1.5</v>
      </c>
      <c r="G6" s="34">
        <v>0.9</v>
      </c>
      <c r="H6" s="34">
        <v>1</v>
      </c>
      <c r="I6" s="35">
        <f>F6*G6/(2-H6)/60</f>
        <v>2.2500000000000003E-2</v>
      </c>
      <c r="J6" t="s">
        <v>88</v>
      </c>
    </row>
    <row r="7" spans="1:10" x14ac:dyDescent="0.2">
      <c r="A7" s="34">
        <v>0.1</v>
      </c>
      <c r="B7" t="s">
        <v>36</v>
      </c>
    </row>
    <row r="8" spans="1:10" x14ac:dyDescent="0.2">
      <c r="E8" s="33" t="s">
        <v>54</v>
      </c>
      <c r="F8" s="33" t="s">
        <v>43</v>
      </c>
      <c r="G8" s="33" t="s">
        <v>44</v>
      </c>
    </row>
    <row r="9" spans="1:10" x14ac:dyDescent="0.2">
      <c r="A9" s="35">
        <f>A3*(1-A4)*(1-A5)*A6*(1+A7)</f>
        <v>178.69499999999999</v>
      </c>
      <c r="B9" t="s">
        <v>32</v>
      </c>
      <c r="E9" t="s">
        <v>45</v>
      </c>
      <c r="F9" s="37">
        <f>SUM($B$14:$B$16)*I3/100</f>
        <v>150.70476190476191</v>
      </c>
      <c r="G9" s="37">
        <f>SUM($C$14:$C$16)*I3/100</f>
        <v>206.78095238095241</v>
      </c>
    </row>
    <row r="10" spans="1:10" x14ac:dyDescent="0.2">
      <c r="E10" t="s">
        <v>46</v>
      </c>
      <c r="F10" s="37">
        <f t="shared" ref="F10:F11" si="1">SUM($B$14:$B$16)*I4/100</f>
        <v>113.02857142857142</v>
      </c>
      <c r="G10" s="37">
        <f t="shared" ref="G10:G11" si="2">SUM($C$14:$C$16)*I4/100</f>
        <v>155.08571428571429</v>
      </c>
    </row>
    <row r="11" spans="1:10" x14ac:dyDescent="0.2">
      <c r="A11" s="33" t="s">
        <v>37</v>
      </c>
      <c r="B11" s="33" t="s">
        <v>43</v>
      </c>
      <c r="C11" s="33" t="s">
        <v>44</v>
      </c>
      <c r="E11" t="s">
        <v>47</v>
      </c>
      <c r="F11" s="53">
        <f t="shared" si="1"/>
        <v>233.42857142857142</v>
      </c>
      <c r="G11" s="53">
        <f t="shared" si="2"/>
        <v>320.28571428571428</v>
      </c>
      <c r="H11" s="52" t="s">
        <v>55</v>
      </c>
    </row>
    <row r="12" spans="1:10" x14ac:dyDescent="0.2">
      <c r="A12" t="s">
        <v>38</v>
      </c>
      <c r="B12" s="36">
        <v>2000</v>
      </c>
      <c r="C12" s="36">
        <v>4000</v>
      </c>
      <c r="E12" t="s">
        <v>48</v>
      </c>
      <c r="F12" s="37">
        <f>SUM($B$12:$B$13)*I6</f>
        <v>112.50000000000001</v>
      </c>
      <c r="G12" s="37">
        <f>SUM($C$12:$C$13)*I6</f>
        <v>157.50000000000003</v>
      </c>
    </row>
    <row r="13" spans="1:10" x14ac:dyDescent="0.2">
      <c r="A13" t="s">
        <v>39</v>
      </c>
      <c r="B13" s="36">
        <v>3000</v>
      </c>
      <c r="C13" s="36">
        <v>3000</v>
      </c>
    </row>
    <row r="14" spans="1:10" x14ac:dyDescent="0.2">
      <c r="A14" t="s">
        <v>40</v>
      </c>
      <c r="B14" s="36">
        <f>B12*3+B13</f>
        <v>9000</v>
      </c>
      <c r="C14" s="36">
        <f>C12*3+C13</f>
        <v>15000</v>
      </c>
      <c r="E14" s="33" t="s">
        <v>57</v>
      </c>
      <c r="F14" s="33" t="s">
        <v>58</v>
      </c>
      <c r="G14" s="33" t="s">
        <v>59</v>
      </c>
      <c r="H14" s="33" t="s">
        <v>60</v>
      </c>
      <c r="I14" s="33" t="s">
        <v>61</v>
      </c>
      <c r="J14" s="33" t="s">
        <v>57</v>
      </c>
    </row>
    <row r="15" spans="1:10" x14ac:dyDescent="0.2">
      <c r="A15" t="s">
        <v>41</v>
      </c>
      <c r="B15" s="36">
        <f>B12*2+B13*4</f>
        <v>16000</v>
      </c>
      <c r="C15" s="36">
        <f>C12*2+C13*4</f>
        <v>20000</v>
      </c>
      <c r="E15" t="s">
        <v>38</v>
      </c>
      <c r="F15" s="36">
        <v>14400</v>
      </c>
      <c r="G15" s="36">
        <v>10000</v>
      </c>
      <c r="H15" s="36">
        <f>F15-G15</f>
        <v>4400</v>
      </c>
      <c r="I15" s="38">
        <f>8*I5/100</f>
        <v>4.3428571428571427E-2</v>
      </c>
      <c r="J15" s="36">
        <f>H15/I15</f>
        <v>101315.78947368421</v>
      </c>
    </row>
    <row r="16" spans="1:10" x14ac:dyDescent="0.2">
      <c r="A16" t="s">
        <v>42</v>
      </c>
      <c r="B16" s="36">
        <f>B12*3+B13*4</f>
        <v>18000</v>
      </c>
      <c r="C16" s="36">
        <f>C12*3+C13*4</f>
        <v>24000</v>
      </c>
      <c r="E16" t="s">
        <v>39</v>
      </c>
      <c r="F16" s="36">
        <v>18000</v>
      </c>
      <c r="G16" s="36">
        <v>13000</v>
      </c>
      <c r="H16" s="36">
        <f>F16-G16</f>
        <v>5000</v>
      </c>
      <c r="I16" s="38">
        <f>9*I5/100</f>
        <v>4.8857142857142849E-2</v>
      </c>
      <c r="J16" s="36">
        <f>H16/I16</f>
        <v>102339.18128654972</v>
      </c>
    </row>
    <row r="18" spans="1:12" x14ac:dyDescent="0.2">
      <c r="E18" s="33" t="s">
        <v>56</v>
      </c>
      <c r="F18" s="33" t="s">
        <v>43</v>
      </c>
      <c r="G18" s="33" t="s">
        <v>44</v>
      </c>
    </row>
    <row r="19" spans="1:12" x14ac:dyDescent="0.2">
      <c r="A19">
        <f>A9*60</f>
        <v>10721.699999999999</v>
      </c>
      <c r="E19" t="s">
        <v>38</v>
      </c>
      <c r="F19" s="36">
        <f>TRUNC((A9-F20*I16)/I15,0)</f>
        <v>739</v>
      </c>
      <c r="G19" s="36">
        <f>TRUNC((A9-G20*I16)/I15,0)</f>
        <v>739</v>
      </c>
    </row>
    <row r="20" spans="1:12" x14ac:dyDescent="0.2">
      <c r="E20" t="s">
        <v>39</v>
      </c>
      <c r="F20" s="36">
        <v>3000</v>
      </c>
      <c r="G20" s="36">
        <v>3000</v>
      </c>
    </row>
    <row r="22" spans="1:12" x14ac:dyDescent="0.2">
      <c r="E22" s="33" t="s">
        <v>62</v>
      </c>
    </row>
    <row r="23" spans="1:12" x14ac:dyDescent="0.2">
      <c r="E23" t="s">
        <v>63</v>
      </c>
      <c r="F23" s="36">
        <f>F20*H16+F19*H15</f>
        <v>18251600</v>
      </c>
      <c r="G23" s="36"/>
    </row>
    <row r="24" spans="1:12" x14ac:dyDescent="0.2">
      <c r="E24" t="s">
        <v>64</v>
      </c>
      <c r="F24" s="36">
        <v>7500000</v>
      </c>
      <c r="G24" s="36"/>
    </row>
    <row r="25" spans="1:12" x14ac:dyDescent="0.2">
      <c r="E25" t="s">
        <v>65</v>
      </c>
      <c r="F25" s="39">
        <f>F23-F24</f>
        <v>10751600</v>
      </c>
      <c r="G25" s="36"/>
    </row>
    <row r="27" spans="1:12" x14ac:dyDescent="0.2">
      <c r="E27" s="33" t="s">
        <v>66</v>
      </c>
    </row>
    <row r="28" spans="1:12" x14ac:dyDescent="0.2">
      <c r="E28" t="s">
        <v>68</v>
      </c>
      <c r="F28" t="s">
        <v>70</v>
      </c>
      <c r="I28" s="33" t="s">
        <v>73</v>
      </c>
    </row>
    <row r="29" spans="1:12" x14ac:dyDescent="0.2">
      <c r="E29" t="s">
        <v>69</v>
      </c>
      <c r="F29" t="s">
        <v>71</v>
      </c>
      <c r="I29" t="s">
        <v>77</v>
      </c>
      <c r="L29" t="s">
        <v>74</v>
      </c>
    </row>
    <row r="30" spans="1:12" x14ac:dyDescent="0.2">
      <c r="I30" t="s">
        <v>78</v>
      </c>
      <c r="L30" t="s">
        <v>75</v>
      </c>
    </row>
    <row r="31" spans="1:12" x14ac:dyDescent="0.2">
      <c r="E31" t="s">
        <v>67</v>
      </c>
      <c r="F31" t="s">
        <v>72</v>
      </c>
      <c r="I31" t="s">
        <v>79</v>
      </c>
      <c r="L31" t="s">
        <v>75</v>
      </c>
    </row>
    <row r="32" spans="1:12" x14ac:dyDescent="0.2">
      <c r="I32" t="s">
        <v>83</v>
      </c>
      <c r="L32" t="s">
        <v>76</v>
      </c>
    </row>
    <row r="33" spans="9:12" x14ac:dyDescent="0.2">
      <c r="I33" t="s">
        <v>84</v>
      </c>
      <c r="L33" t="s">
        <v>80</v>
      </c>
    </row>
    <row r="34" spans="9:12" x14ac:dyDescent="0.2">
      <c r="I34" t="s">
        <v>85</v>
      </c>
      <c r="L34" t="s">
        <v>81</v>
      </c>
    </row>
    <row r="35" spans="9:12" x14ac:dyDescent="0.2">
      <c r="I35" t="s">
        <v>86</v>
      </c>
      <c r="L35" t="s">
        <v>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8"/>
  <sheetViews>
    <sheetView workbookViewId="0">
      <selection activeCell="Q3" sqref="Q3"/>
    </sheetView>
  </sheetViews>
  <sheetFormatPr baseColWidth="10" defaultRowHeight="16" x14ac:dyDescent="0.2"/>
  <cols>
    <col min="3" max="3" width="14.5" bestFit="1" customWidth="1"/>
    <col min="7" max="7" width="11.33203125" customWidth="1"/>
    <col min="8" max="8" width="15" bestFit="1" customWidth="1"/>
    <col min="15" max="15" width="12.83203125" bestFit="1" customWidth="1"/>
    <col min="16" max="17" width="10.83203125" style="1"/>
  </cols>
  <sheetData>
    <row r="2" spans="1:17" x14ac:dyDescent="0.2">
      <c r="K2" s="68" t="s">
        <v>95</v>
      </c>
      <c r="L2" s="68"/>
      <c r="M2" s="68"/>
      <c r="N2" s="68"/>
      <c r="O2" s="54" t="s">
        <v>49</v>
      </c>
      <c r="P2" s="54" t="s">
        <v>102</v>
      </c>
      <c r="Q2" s="54" t="s">
        <v>103</v>
      </c>
    </row>
    <row r="3" spans="1:17" x14ac:dyDescent="0.2">
      <c r="D3" s="68" t="s">
        <v>96</v>
      </c>
      <c r="E3" s="68"/>
      <c r="K3" s="1"/>
      <c r="L3" s="1" t="s">
        <v>40</v>
      </c>
      <c r="M3" s="1" t="s">
        <v>41</v>
      </c>
      <c r="N3" s="1" t="s">
        <v>42</v>
      </c>
      <c r="O3" s="1" t="s">
        <v>45</v>
      </c>
      <c r="P3" s="1">
        <f>(0.4*60)/100</f>
        <v>0.24</v>
      </c>
      <c r="Q3" s="46">
        <f>+(P3*B7)/(2-A7)</f>
        <v>0.21028571428571427</v>
      </c>
    </row>
    <row r="4" spans="1:17" x14ac:dyDescent="0.2">
      <c r="C4" s="1" t="s">
        <v>93</v>
      </c>
      <c r="D4" s="1">
        <v>2000</v>
      </c>
      <c r="E4" s="1">
        <v>3000</v>
      </c>
      <c r="F4" s="1"/>
      <c r="G4" s="1"/>
      <c r="H4" s="1"/>
      <c r="I4" s="1"/>
      <c r="J4" s="1"/>
      <c r="K4" s="1" t="s">
        <v>38</v>
      </c>
      <c r="L4" s="1">
        <v>3</v>
      </c>
      <c r="M4" s="1">
        <v>2</v>
      </c>
      <c r="N4" s="1">
        <v>3</v>
      </c>
      <c r="O4" s="1" t="s">
        <v>46</v>
      </c>
      <c r="P4" s="1">
        <f>+(0.3*60)/100</f>
        <v>0.18</v>
      </c>
      <c r="Q4" s="46">
        <f t="shared" ref="Q4:Q6" si="0">+(P4*B8)/(2-A8)</f>
        <v>0.1577142857142857</v>
      </c>
    </row>
    <row r="5" spans="1:17" x14ac:dyDescent="0.2">
      <c r="C5" s="1" t="s">
        <v>94</v>
      </c>
      <c r="D5" s="1">
        <v>4000</v>
      </c>
      <c r="E5" s="1">
        <v>3000</v>
      </c>
      <c r="F5" s="1" t="s">
        <v>54</v>
      </c>
      <c r="G5" s="1" t="s">
        <v>97</v>
      </c>
      <c r="H5" s="1" t="s">
        <v>14</v>
      </c>
      <c r="I5" s="1" t="s">
        <v>99</v>
      </c>
      <c r="J5" s="1" t="s">
        <v>99</v>
      </c>
      <c r="K5" s="1" t="s">
        <v>39</v>
      </c>
      <c r="L5" s="1">
        <v>1</v>
      </c>
      <c r="M5" s="1">
        <v>4</v>
      </c>
      <c r="N5" s="1">
        <v>4</v>
      </c>
      <c r="O5" s="1" t="s">
        <v>47</v>
      </c>
      <c r="P5" s="1">
        <f>(60*0.6)/100</f>
        <v>0.36</v>
      </c>
      <c r="Q5" s="46">
        <f t="shared" si="0"/>
        <v>0.32571428571428568</v>
      </c>
    </row>
    <row r="6" spans="1:17" x14ac:dyDescent="0.2">
      <c r="A6" s="1" t="s">
        <v>105</v>
      </c>
      <c r="B6" s="1" t="s">
        <v>104</v>
      </c>
      <c r="C6" s="1" t="s">
        <v>92</v>
      </c>
      <c r="D6" s="1" t="s">
        <v>38</v>
      </c>
      <c r="E6" s="1" t="s">
        <v>39</v>
      </c>
      <c r="F6" s="1" t="s">
        <v>43</v>
      </c>
      <c r="G6" s="1" t="s">
        <v>44</v>
      </c>
      <c r="H6" s="1" t="s">
        <v>98</v>
      </c>
      <c r="I6" s="1" t="s">
        <v>100</v>
      </c>
      <c r="J6" s="1" t="s">
        <v>101</v>
      </c>
      <c r="K6" s="1"/>
      <c r="O6" s="1" t="s">
        <v>48</v>
      </c>
      <c r="P6" s="1">
        <v>1.5</v>
      </c>
      <c r="Q6" s="1">
        <f t="shared" si="0"/>
        <v>1.35</v>
      </c>
    </row>
    <row r="7" spans="1:17" x14ac:dyDescent="0.2">
      <c r="A7" s="1">
        <v>0.95</v>
      </c>
      <c r="B7" s="1">
        <v>0.92</v>
      </c>
      <c r="C7" s="1" t="s">
        <v>45</v>
      </c>
      <c r="D7" s="46">
        <f>+($L$4+$M$4+$N$4)*Q3</f>
        <v>1.6822857142857142</v>
      </c>
      <c r="E7" s="46">
        <f>+($L$5+$M$5+$N$5)*Q3</f>
        <v>1.8925714285714283</v>
      </c>
      <c r="F7" s="47">
        <f>+($D$4*D7)+($E$4*E7)</f>
        <v>9042.2857142857138</v>
      </c>
      <c r="G7" s="47">
        <f>($D$5*D7)+($E$5*E7)</f>
        <v>12406.857142857141</v>
      </c>
      <c r="H7" s="47">
        <f>'Tercera pregunta'!A9*60</f>
        <v>10721.699999999999</v>
      </c>
      <c r="I7" s="47">
        <f>+F7/H7</f>
        <v>0.84336305942954148</v>
      </c>
      <c r="J7" s="47">
        <f>+G7/H7</f>
        <v>1.1571725699149522</v>
      </c>
      <c r="K7" s="1"/>
    </row>
    <row r="8" spans="1:17" x14ac:dyDescent="0.2">
      <c r="A8" s="1">
        <v>0.95</v>
      </c>
      <c r="B8" s="1">
        <v>0.92</v>
      </c>
      <c r="C8" s="1" t="s">
        <v>46</v>
      </c>
      <c r="D8" s="46">
        <f t="shared" ref="D8:D9" si="1">+($L$4+$M$4+$N$4)*Q4</f>
        <v>1.2617142857142856</v>
      </c>
      <c r="E8" s="46">
        <f t="shared" ref="E8:E9" si="2">+($L$5+$M$5+$N$5)*Q4</f>
        <v>1.4194285714285713</v>
      </c>
      <c r="F8" s="47">
        <f t="shared" ref="F8:F10" si="3">+($D$4*D8)+($E$4*E8)</f>
        <v>6781.7142857142844</v>
      </c>
      <c r="G8" s="47">
        <f t="shared" ref="G8:G10" si="4">($D$5*D8)+($E$5*E8)</f>
        <v>9305.1428571428551</v>
      </c>
      <c r="H8" s="47">
        <f>H7</f>
        <v>10721.699999999999</v>
      </c>
      <c r="I8" s="47">
        <f t="shared" ref="I8:I10" si="5">+F8/H8</f>
        <v>0.63252229457215603</v>
      </c>
      <c r="J8" s="47">
        <f t="shared" ref="J8:J10" si="6">+G8/H8</f>
        <v>0.86787942743621405</v>
      </c>
      <c r="K8" s="1"/>
      <c r="M8" t="s">
        <v>106</v>
      </c>
      <c r="N8" s="1" t="s">
        <v>38</v>
      </c>
      <c r="O8" s="1" t="s">
        <v>39</v>
      </c>
    </row>
    <row r="9" spans="1:17" x14ac:dyDescent="0.2">
      <c r="A9" s="1">
        <v>0.95</v>
      </c>
      <c r="B9" s="1">
        <v>0.95</v>
      </c>
      <c r="C9" s="49" t="s">
        <v>47</v>
      </c>
      <c r="D9" s="50">
        <f t="shared" si="1"/>
        <v>2.6057142857142854</v>
      </c>
      <c r="E9" s="50">
        <f t="shared" si="2"/>
        <v>2.9314285714285711</v>
      </c>
      <c r="F9" s="51">
        <f t="shared" si="3"/>
        <v>14005.714285714284</v>
      </c>
      <c r="G9" s="51">
        <f t="shared" si="4"/>
        <v>19217.142857142855</v>
      </c>
      <c r="H9" s="51">
        <f t="shared" ref="H9:H10" si="7">H8</f>
        <v>10721.699999999999</v>
      </c>
      <c r="I9" s="51">
        <f t="shared" si="5"/>
        <v>1.3062960431381485</v>
      </c>
      <c r="J9" s="51">
        <f t="shared" si="6"/>
        <v>1.7923596870965293</v>
      </c>
      <c r="K9" s="52" t="s">
        <v>55</v>
      </c>
      <c r="M9" t="s">
        <v>58</v>
      </c>
      <c r="N9" s="1">
        <v>14400</v>
      </c>
      <c r="O9" s="1">
        <v>18000</v>
      </c>
    </row>
    <row r="10" spans="1:17" x14ac:dyDescent="0.2">
      <c r="A10" s="1">
        <v>1</v>
      </c>
      <c r="B10" s="1">
        <v>0.9</v>
      </c>
      <c r="C10" s="1" t="s">
        <v>48</v>
      </c>
      <c r="D10" s="46">
        <f>Q6</f>
        <v>1.35</v>
      </c>
      <c r="E10" s="46">
        <f>Q6</f>
        <v>1.35</v>
      </c>
      <c r="F10" s="47">
        <f t="shared" si="3"/>
        <v>6750</v>
      </c>
      <c r="G10" s="47">
        <f t="shared" si="4"/>
        <v>9450</v>
      </c>
      <c r="H10" s="47">
        <f t="shared" si="7"/>
        <v>10721.699999999999</v>
      </c>
      <c r="I10" s="47">
        <f t="shared" si="5"/>
        <v>0.62956434147569884</v>
      </c>
      <c r="J10" s="47">
        <f t="shared" si="6"/>
        <v>0.88139007806597847</v>
      </c>
      <c r="K10" s="1"/>
      <c r="M10" t="s">
        <v>59</v>
      </c>
      <c r="N10" s="1">
        <f>+(1000*L4)+(2000*M4)+(1000*N4)</f>
        <v>10000</v>
      </c>
      <c r="O10" s="1">
        <f>+(1000*L5)+(2000*M5)+(1000*N5)</f>
        <v>13000</v>
      </c>
    </row>
    <row r="11" spans="1:17" x14ac:dyDescent="0.2">
      <c r="D11" s="1"/>
      <c r="E11" s="1"/>
      <c r="F11" s="1"/>
      <c r="G11" s="1"/>
      <c r="H11" s="1"/>
      <c r="I11" s="1"/>
      <c r="J11" s="1"/>
      <c r="K11" s="1"/>
      <c r="M11" t="s">
        <v>107</v>
      </c>
      <c r="N11" s="1">
        <f>+N9-N10</f>
        <v>4400</v>
      </c>
      <c r="O11" s="1">
        <f>+O9-O10</f>
        <v>5000</v>
      </c>
    </row>
    <row r="12" spans="1:17" x14ac:dyDescent="0.2">
      <c r="D12" s="1"/>
      <c r="E12" s="1"/>
      <c r="F12" s="1"/>
      <c r="G12" s="1"/>
      <c r="H12" s="1"/>
      <c r="I12" s="1"/>
      <c r="J12" s="1"/>
      <c r="K12" s="1"/>
      <c r="M12" t="s">
        <v>108</v>
      </c>
      <c r="N12" s="46">
        <f>D9</f>
        <v>2.6057142857142854</v>
      </c>
      <c r="O12" s="46">
        <f>E9</f>
        <v>2.9314285714285711</v>
      </c>
    </row>
    <row r="13" spans="1:17" x14ac:dyDescent="0.2">
      <c r="C13" s="1" t="s">
        <v>56</v>
      </c>
      <c r="D13" s="1" t="s">
        <v>43</v>
      </c>
      <c r="E13" s="1" t="s">
        <v>44</v>
      </c>
      <c r="G13" s="1" t="s">
        <v>38</v>
      </c>
      <c r="H13">
        <f>+D14*N11</f>
        <v>3251600</v>
      </c>
      <c r="M13" t="s">
        <v>6</v>
      </c>
      <c r="N13" s="47">
        <f>+N11/N12</f>
        <v>1688.5964912280704</v>
      </c>
      <c r="O13" s="47">
        <f>+O11/O12</f>
        <v>1705.6530214424954</v>
      </c>
    </row>
    <row r="14" spans="1:17" x14ac:dyDescent="0.2">
      <c r="C14" s="1" t="s">
        <v>38</v>
      </c>
      <c r="D14" s="48">
        <f>ROUNDDOWN((H9-(D15*E9))/D9,0)</f>
        <v>739</v>
      </c>
      <c r="E14" s="48">
        <f>D14</f>
        <v>739</v>
      </c>
      <c r="G14" s="1" t="s">
        <v>39</v>
      </c>
      <c r="H14">
        <f>+D15*O11</f>
        <v>15000000</v>
      </c>
      <c r="N14" s="1"/>
      <c r="O14" s="1"/>
    </row>
    <row r="15" spans="1:17" x14ac:dyDescent="0.2">
      <c r="C15" s="1" t="s">
        <v>39</v>
      </c>
      <c r="D15" s="1">
        <f>E4</f>
        <v>3000</v>
      </c>
      <c r="E15" s="1">
        <f>E5</f>
        <v>3000</v>
      </c>
      <c r="G15" s="1" t="s">
        <v>63</v>
      </c>
      <c r="H15">
        <f>+H13+H14</f>
        <v>18251600</v>
      </c>
    </row>
    <row r="16" spans="1:17" x14ac:dyDescent="0.2">
      <c r="G16" s="1" t="s">
        <v>109</v>
      </c>
      <c r="H16">
        <v>7500000</v>
      </c>
    </row>
    <row r="17" spans="7:8" x14ac:dyDescent="0.2">
      <c r="G17" s="1" t="s">
        <v>65</v>
      </c>
      <c r="H17" s="55">
        <f>+H15-H16</f>
        <v>10751600</v>
      </c>
    </row>
    <row r="18" spans="7:8" x14ac:dyDescent="0.2">
      <c r="G18" s="1"/>
    </row>
  </sheetData>
  <mergeCells count="2">
    <mergeCell ref="D3:E3"/>
    <mergeCell ref="K2:N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Primera pregunta</vt:lpstr>
      <vt:lpstr>Segunda pregunta</vt:lpstr>
      <vt:lpstr>Tercera pregunta</vt:lpstr>
      <vt:lpstr>Tercera pregunta b</vt:lpstr>
    </vt:vector>
  </TitlesOfParts>
  <Company>Leon y Parra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Edgar Hernandez</cp:lastModifiedBy>
  <dcterms:created xsi:type="dcterms:W3CDTF">2015-09-17T23:11:51Z</dcterms:created>
  <dcterms:modified xsi:type="dcterms:W3CDTF">2021-10-30T00:52:36Z</dcterms:modified>
</cp:coreProperties>
</file>