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Enrique Leó/UCR/Docencia/Exámenes/Solución de Exámenes/Gerencia de Operaciones/Hasta 2019/"/>
    </mc:Choice>
  </mc:AlternateContent>
  <xr:revisionPtr revIDLastSave="0" documentId="13_ncr:1_{46A6DDBF-356D-A74A-95E1-BCD83AB9B3E0}" xr6:coauthVersionLast="47" xr6:coauthVersionMax="47" xr10:uidLastSave="{00000000-0000-0000-0000-000000000000}"/>
  <bookViews>
    <workbookView xWindow="1920" yWindow="500" windowWidth="25040" windowHeight="15500" tabRatio="500" xr2:uid="{00000000-000D-0000-FFFF-FFFF00000000}"/>
  </bookViews>
  <sheets>
    <sheet name="Pregunta 1" sheetId="1" r:id="rId1"/>
    <sheet name="Pregunta 2" sheetId="5" r:id="rId2"/>
    <sheet name="Pregunta 3" sheetId="4" r:id="rId3"/>
  </sheets>
  <externalReferences>
    <externalReference r:id="rId4"/>
  </externalReferences>
  <definedNames>
    <definedName name="MinimizeCosts">FALSE</definedName>
    <definedName name="TreeDiagBase">'[1]Pregunta 1'!#REF!</definedName>
    <definedName name="TreeDiagram">'[1]Pregunta 1'!#REF!</definedName>
    <definedName name="UseExpUtility">FALSE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7" i="1"/>
  <c r="C10" i="1" s="1"/>
  <c r="C5" i="1"/>
  <c r="C4" i="1"/>
  <c r="C3" i="1"/>
  <c r="E3" i="1" s="1"/>
  <c r="C15" i="5"/>
  <c r="C29" i="5"/>
  <c r="D15" i="5"/>
  <c r="E15" i="5"/>
  <c r="F15" i="5"/>
  <c r="I15" i="5"/>
  <c r="C16" i="5"/>
  <c r="I16" i="5" s="1"/>
  <c r="D16" i="5"/>
  <c r="E16" i="5"/>
  <c r="F16" i="5"/>
  <c r="C17" i="5"/>
  <c r="D17" i="5"/>
  <c r="E17" i="5"/>
  <c r="F17" i="5"/>
  <c r="I17" i="5"/>
  <c r="C18" i="5"/>
  <c r="D18" i="5"/>
  <c r="E18" i="5"/>
  <c r="I18" i="5" s="1"/>
  <c r="F18" i="5"/>
  <c r="C19" i="5"/>
  <c r="I19" i="5" s="1"/>
  <c r="D19" i="5"/>
  <c r="E19" i="5"/>
  <c r="F19" i="5"/>
  <c r="L18" i="4"/>
  <c r="M18" i="4"/>
  <c r="F40" i="4"/>
  <c r="K36" i="4" s="1"/>
  <c r="G40" i="4"/>
  <c r="F39" i="4"/>
  <c r="G39" i="4"/>
  <c r="J36" i="4"/>
  <c r="J37" i="4" s="1"/>
  <c r="C24" i="4"/>
  <c r="Q20" i="4" s="1"/>
  <c r="H13" i="4"/>
  <c r="G13" i="4"/>
  <c r="B41" i="4" s="1"/>
  <c r="G11" i="4"/>
  <c r="C39" i="4" s="1"/>
  <c r="G16" i="4"/>
  <c r="H16" i="4"/>
  <c r="C44" i="4" s="1"/>
  <c r="G15" i="4"/>
  <c r="H15" i="4"/>
  <c r="C43" i="4"/>
  <c r="B43" i="4"/>
  <c r="G14" i="4"/>
  <c r="C42" i="4" s="1"/>
  <c r="H14" i="4"/>
  <c r="G41" i="4"/>
  <c r="G12" i="4"/>
  <c r="H12" i="4"/>
  <c r="C40" i="4"/>
  <c r="B40" i="4"/>
  <c r="H11" i="4"/>
  <c r="G10" i="4"/>
  <c r="C38" i="4" s="1"/>
  <c r="H10" i="4"/>
  <c r="B38" i="4"/>
  <c r="G9" i="4"/>
  <c r="C37" i="4" s="1"/>
  <c r="H9" i="4"/>
  <c r="G8" i="4"/>
  <c r="C36" i="4" s="1"/>
  <c r="H8" i="4"/>
  <c r="B36" i="4"/>
  <c r="P20" i="4"/>
  <c r="P21" i="4"/>
  <c r="P22" i="4"/>
  <c r="P23" i="4"/>
  <c r="P24" i="4"/>
  <c r="P25" i="4"/>
  <c r="P26" i="4"/>
  <c r="P27" i="4"/>
  <c r="P28" i="4"/>
  <c r="I20" i="5" l="1"/>
  <c r="I23" i="5" s="1"/>
  <c r="C31" i="5" s="1"/>
  <c r="K37" i="4"/>
  <c r="K38" i="4"/>
  <c r="B44" i="4"/>
  <c r="C25" i="4"/>
  <c r="C26" i="4" s="1"/>
  <c r="C28" i="4" s="1"/>
  <c r="F41" i="4"/>
  <c r="B37" i="4"/>
  <c r="B39" i="4"/>
  <c r="B42" i="4"/>
  <c r="C41" i="4"/>
  <c r="J38" i="4"/>
  <c r="J40" i="4" s="1"/>
  <c r="J42" i="4" s="1"/>
  <c r="K40" i="4" l="1"/>
  <c r="K42" i="4" s="1"/>
</calcChain>
</file>

<file path=xl/sharedStrings.xml><?xml version="1.0" encoding="utf-8"?>
<sst xmlns="http://schemas.openxmlformats.org/spreadsheetml/2006/main" count="133" uniqueCount="84">
  <si>
    <t>a.</t>
  </si>
  <si>
    <t>b.</t>
  </si>
  <si>
    <t>min/parte</t>
  </si>
  <si>
    <t>unidades</t>
  </si>
  <si>
    <t>c.</t>
  </si>
  <si>
    <t>d.</t>
  </si>
  <si>
    <t>1. Análisis de cargas</t>
  </si>
  <si>
    <t>En este caso al no haber demanda, debemos buscar cuál es la relación buscada. El ejercicio NO pide relación, solo pide usar el precio</t>
  </si>
  <si>
    <t>de venta como factor de decisión. Por lo tanto, solamente se utiliza a Q como único producto que se va a fabricar. Es decir no ocupamos</t>
  </si>
  <si>
    <t>hacer nada con P. Por ende, calculamos la capacidad de la planta solamente produciendo Q.</t>
  </si>
  <si>
    <t>3X + 2Y</t>
  </si>
  <si>
    <t>1X + 2Y</t>
  </si>
  <si>
    <t>Máquina</t>
  </si>
  <si>
    <t>Y</t>
  </si>
  <si>
    <t>X</t>
  </si>
  <si>
    <t>P</t>
  </si>
  <si>
    <t>Q</t>
  </si>
  <si>
    <t>Carga P</t>
  </si>
  <si>
    <t>Carga Q</t>
  </si>
  <si>
    <t>A1</t>
  </si>
  <si>
    <t>PV</t>
  </si>
  <si>
    <t>A2</t>
  </si>
  <si>
    <t>CMP</t>
  </si>
  <si>
    <t>A3</t>
  </si>
  <si>
    <t>MC</t>
  </si>
  <si>
    <t>B1</t>
  </si>
  <si>
    <t>CB para P</t>
  </si>
  <si>
    <t>B2</t>
  </si>
  <si>
    <t>B3</t>
  </si>
  <si>
    <t>CB para Q</t>
  </si>
  <si>
    <t>C1</t>
  </si>
  <si>
    <t>C2</t>
  </si>
  <si>
    <t>C3</t>
  </si>
  <si>
    <t>2. Cálculo de ventas y utilidad usando el precio</t>
  </si>
  <si>
    <t>El de mayor precio de venta es Q, por ende decido producir todo lo que pueda de Q.</t>
  </si>
  <si>
    <t>TD</t>
  </si>
  <si>
    <t>minutos</t>
  </si>
  <si>
    <t>Capacidad</t>
  </si>
  <si>
    <t>kilos</t>
  </si>
  <si>
    <t>UBO</t>
  </si>
  <si>
    <t>Gastos</t>
  </si>
  <si>
    <t>UN</t>
  </si>
  <si>
    <t>3. Cálculo de ventas y utilidad usando relación 3:1</t>
  </si>
  <si>
    <t>En este caso, el diferente a la parte a. Como no sabemos el CB dada la relación 3 a 1, debemos probar todas las posibles relaciones.</t>
  </si>
  <si>
    <t>Por esto, debemos usar 3P:1Q y 1P:3Q. Es importante notar que al darse de PREVIO la relación, NO hace falta hacer un análisis de TPT.</t>
  </si>
  <si>
    <t>El resultado viene dado por aquella mezcla que genera mayor utiiidad.</t>
  </si>
  <si>
    <t>3P:1Q</t>
  </si>
  <si>
    <t>1P:3Q</t>
  </si>
  <si>
    <t>TCB</t>
  </si>
  <si>
    <t>CB</t>
  </si>
  <si>
    <t>TPT</t>
  </si>
  <si>
    <t>4. Respuestas</t>
  </si>
  <si>
    <t>Como se puede ver, si solo se produjera P el CB sería B1. Pero al producirse solamente Q, el CB es B3.</t>
  </si>
  <si>
    <t>Prueba Carga</t>
  </si>
  <si>
    <t>Carga</t>
  </si>
  <si>
    <t>a. La capacidad de la planta es de 84.728 kilos de Q y da una utilidad de 551.703.</t>
  </si>
  <si>
    <t>b. La capacidad de la planta es de 38.816 kilos de Q y 12.939 kilos de P y da una utilidad de 255.156.</t>
  </si>
  <si>
    <t>Descripción del elemento</t>
  </si>
  <si>
    <t>Ciclos</t>
  </si>
  <si>
    <t>Tiempo</t>
  </si>
  <si>
    <t>F.V.</t>
  </si>
  <si>
    <t>Toma bolsa</t>
  </si>
  <si>
    <t>Abre bolsa</t>
  </si>
  <si>
    <t>Toma frascos</t>
  </si>
  <si>
    <t>Coloca frascos</t>
  </si>
  <si>
    <t>Cierra bolsa</t>
  </si>
  <si>
    <t>Promedio</t>
  </si>
  <si>
    <t>Suma</t>
  </si>
  <si>
    <t>a) Se debe aplicar 4% de suplementos por descanso, 3% de necesidades personales</t>
  </si>
  <si>
    <t>Tiempo estándar:</t>
  </si>
  <si>
    <t>Minutos</t>
  </si>
  <si>
    <t>b) La empresa trabaja de 8:00 am a 5:00 pm, con 1/2 hora de almuerzo, 15 de café en la mañana, y 15 de café en la tarde</t>
  </si>
  <si>
    <t>Cuántos empaques se realizan durante un día normal</t>
  </si>
  <si>
    <t>Horas efectivas</t>
  </si>
  <si>
    <t>Minutos efectivos</t>
  </si>
  <si>
    <t>Empaques diarios</t>
  </si>
  <si>
    <t>segundos</t>
  </si>
  <si>
    <t>e.</t>
  </si>
  <si>
    <t>días en corte</t>
  </si>
  <si>
    <t>tiempo de proceso en doblado</t>
  </si>
  <si>
    <t>tiempo de alisto en doblado</t>
  </si>
  <si>
    <t>minutos disponibles</t>
  </si>
  <si>
    <t>unidades por día</t>
  </si>
  <si>
    <t>días en doblado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</si>
</sst>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sz val="10"/>
      <name val="Arial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3" fillId="0" borderId="0" xfId="2" applyFont="1"/>
    <xf numFmtId="0" fontId="2" fillId="0" borderId="0" xfId="2"/>
    <xf numFmtId="0" fontId="2" fillId="0" borderId="0" xfId="2" applyFont="1"/>
    <xf numFmtId="0" fontId="2" fillId="0" borderId="0" xfId="2" applyAlignment="1">
      <alignment horizontal="center"/>
    </xf>
    <xf numFmtId="0" fontId="3" fillId="0" borderId="0" xfId="2" applyFont="1" applyAlignment="1">
      <alignment horizontal="center"/>
    </xf>
    <xf numFmtId="2" fontId="2" fillId="0" borderId="0" xfId="2" applyNumberFormat="1" applyAlignment="1">
      <alignment horizontal="center"/>
    </xf>
    <xf numFmtId="0" fontId="2" fillId="0" borderId="1" xfId="2" applyBorder="1" applyAlignment="1">
      <alignment horizontal="center"/>
    </xf>
    <xf numFmtId="2" fontId="3" fillId="0" borderId="0" xfId="2" applyNumberFormat="1" applyFont="1" applyAlignment="1">
      <alignment horizontal="center"/>
    </xf>
    <xf numFmtId="1" fontId="2" fillId="0" borderId="0" xfId="2" applyNumberFormat="1"/>
    <xf numFmtId="1" fontId="3" fillId="0" borderId="0" xfId="2" applyNumberFormat="1" applyFont="1"/>
    <xf numFmtId="0" fontId="3" fillId="0" borderId="0" xfId="2" applyFont="1" applyAlignment="1">
      <alignment horizontal="left"/>
    </xf>
    <xf numFmtId="0" fontId="2" fillId="0" borderId="0" xfId="2" applyAlignment="1">
      <alignment horizontal="left"/>
    </xf>
    <xf numFmtId="0" fontId="2" fillId="0" borderId="0" xfId="2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0" fontId="4" fillId="0" borderId="0" xfId="3"/>
    <xf numFmtId="0" fontId="5" fillId="0" borderId="2" xfId="3" applyFont="1" applyFill="1" applyBorder="1" applyAlignment="1">
      <alignment horizontal="center"/>
    </xf>
    <xf numFmtId="0" fontId="4" fillId="0" borderId="2" xfId="3" applyBorder="1"/>
    <xf numFmtId="166" fontId="4" fillId="0" borderId="2" xfId="3" applyNumberFormat="1" applyBorder="1"/>
    <xf numFmtId="0" fontId="5" fillId="0" borderId="0" xfId="3" applyFont="1" applyFill="1" applyBorder="1" applyAlignment="1"/>
    <xf numFmtId="0" fontId="4" fillId="0" borderId="0" xfId="3" applyFill="1" applyBorder="1"/>
    <xf numFmtId="0" fontId="6" fillId="0" borderId="8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0" borderId="9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7" fillId="0" borderId="0" xfId="3" applyFont="1" applyFill="1"/>
    <xf numFmtId="0" fontId="4" fillId="0" borderId="0" xfId="3" applyFill="1"/>
    <xf numFmtId="0" fontId="4" fillId="0" borderId="10" xfId="3" applyFill="1" applyBorder="1"/>
    <xf numFmtId="166" fontId="4" fillId="0" borderId="8" xfId="3" applyNumberFormat="1" applyFill="1" applyBorder="1"/>
    <xf numFmtId="166" fontId="4" fillId="0" borderId="2" xfId="3" applyNumberFormat="1" applyFill="1" applyBorder="1"/>
    <xf numFmtId="166" fontId="4" fillId="0" borderId="9" xfId="3" applyNumberFormat="1" applyFill="1" applyBorder="1"/>
    <xf numFmtId="166" fontId="4" fillId="0" borderId="0" xfId="3" applyNumberFormat="1" applyFill="1" applyBorder="1"/>
    <xf numFmtId="166" fontId="4" fillId="0" borderId="0" xfId="3" applyNumberFormat="1" applyFill="1"/>
    <xf numFmtId="0" fontId="4" fillId="0" borderId="11" xfId="3" applyFill="1" applyBorder="1"/>
    <xf numFmtId="166" fontId="4" fillId="0" borderId="12" xfId="3" applyNumberFormat="1" applyFill="1" applyBorder="1"/>
    <xf numFmtId="166" fontId="4" fillId="0" borderId="13" xfId="3" applyNumberFormat="1" applyFill="1" applyBorder="1"/>
    <xf numFmtId="166" fontId="4" fillId="0" borderId="14" xfId="3" applyNumberFormat="1" applyFill="1" applyBorder="1"/>
    <xf numFmtId="0" fontId="4" fillId="0" borderId="0" xfId="3" applyBorder="1"/>
    <xf numFmtId="0" fontId="5" fillId="0" borderId="0" xfId="3" applyFont="1" applyFill="1" applyBorder="1" applyAlignment="1">
      <alignment horizontal="right"/>
    </xf>
    <xf numFmtId="166" fontId="7" fillId="0" borderId="0" xfId="3" applyNumberFormat="1" applyFont="1" applyFill="1" applyBorder="1"/>
    <xf numFmtId="167" fontId="7" fillId="0" borderId="16" xfId="3" applyNumberFormat="1" applyFont="1" applyBorder="1" applyAlignment="1">
      <alignment horizontal="center"/>
    </xf>
    <xf numFmtId="0" fontId="7" fillId="0" borderId="17" xfId="3" applyFont="1" applyBorder="1"/>
    <xf numFmtId="0" fontId="7" fillId="0" borderId="0" xfId="3" applyFont="1" applyAlignment="1">
      <alignment horizontal="center"/>
    </xf>
    <xf numFmtId="0" fontId="7" fillId="0" borderId="0" xfId="3" applyFont="1"/>
    <xf numFmtId="2" fontId="7" fillId="0" borderId="15" xfId="3" applyNumberFormat="1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5" fillId="0" borderId="3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5" fillId="0" borderId="2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Soluci&#243;n%20de%20Ex&#225;menes/Gerencia%20de%20Operaciones/1p-I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 1"/>
      <sheetName val="Pregunta 2"/>
      <sheetName val="Pregunta 3"/>
      <sheetName val="Pregunta 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0"/>
  <sheetViews>
    <sheetView tabSelected="1" zoomScale="200" zoomScaleNormal="200" zoomScalePageLayoutView="200" workbookViewId="0">
      <selection activeCell="F5" sqref="F5"/>
    </sheetView>
  </sheetViews>
  <sheetFormatPr baseColWidth="10" defaultRowHeight="16" x14ac:dyDescent="0.2"/>
  <sheetData>
    <row r="2" spans="2:5" x14ac:dyDescent="0.2">
      <c r="B2" t="s">
        <v>0</v>
      </c>
      <c r="C2" s="2">
        <v>2100</v>
      </c>
      <c r="D2" t="s">
        <v>3</v>
      </c>
    </row>
    <row r="3" spans="2:5" x14ac:dyDescent="0.2">
      <c r="B3" t="s">
        <v>1</v>
      </c>
      <c r="C3" s="1">
        <f>3*435/550</f>
        <v>2.3727272727272726</v>
      </c>
      <c r="D3" t="s">
        <v>2</v>
      </c>
      <c r="E3">
        <f>C3*60</f>
        <v>142.36363636363635</v>
      </c>
    </row>
    <row r="4" spans="2:5" x14ac:dyDescent="0.2">
      <c r="B4" t="s">
        <v>4</v>
      </c>
      <c r="C4" s="48">
        <f>600/550</f>
        <v>1.0909090909090908</v>
      </c>
      <c r="D4" t="s">
        <v>78</v>
      </c>
    </row>
    <row r="5" spans="2:5" x14ac:dyDescent="0.2">
      <c r="C5" s="48">
        <f>1500/550</f>
        <v>2.7272727272727271</v>
      </c>
      <c r="D5" t="s">
        <v>83</v>
      </c>
    </row>
    <row r="6" spans="2:5" x14ac:dyDescent="0.2">
      <c r="B6" t="s">
        <v>5</v>
      </c>
      <c r="C6">
        <v>510</v>
      </c>
      <c r="D6" t="s">
        <v>76</v>
      </c>
    </row>
    <row r="7" spans="2:5" x14ac:dyDescent="0.2">
      <c r="B7" t="s">
        <v>77</v>
      </c>
      <c r="C7">
        <f>(435*3*0.99)</f>
        <v>1291.95</v>
      </c>
      <c r="D7" t="s">
        <v>81</v>
      </c>
    </row>
    <row r="8" spans="2:5" x14ac:dyDescent="0.2">
      <c r="C8">
        <v>125</v>
      </c>
      <c r="D8" t="s">
        <v>79</v>
      </c>
    </row>
    <row r="9" spans="2:5" x14ac:dyDescent="0.2">
      <c r="C9">
        <f>300/20</f>
        <v>15</v>
      </c>
      <c r="D9" t="s">
        <v>80</v>
      </c>
    </row>
    <row r="10" spans="2:5" x14ac:dyDescent="0.2">
      <c r="C10" s="49">
        <f>C7/(C8+C9)*60</f>
        <v>553.69285714285718</v>
      </c>
      <c r="D10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31"/>
  <sheetViews>
    <sheetView zoomScale="120" zoomScaleNormal="120" zoomScalePageLayoutView="150" workbookViewId="0">
      <selection activeCell="H16" sqref="H16"/>
    </sheetView>
  </sheetViews>
  <sheetFormatPr baseColWidth="10" defaultRowHeight="13" x14ac:dyDescent="0.15"/>
  <cols>
    <col min="1" max="1" width="10.83203125" style="18"/>
    <col min="2" max="2" width="44.5" style="18" customWidth="1"/>
    <col min="3" max="16384" width="10.83203125" style="18"/>
  </cols>
  <sheetData>
    <row r="3" spans="2:11" ht="16" x14ac:dyDescent="0.2">
      <c r="B3" s="58" t="s">
        <v>57</v>
      </c>
      <c r="C3" s="59" t="s">
        <v>58</v>
      </c>
      <c r="D3" s="59"/>
      <c r="E3" s="59"/>
      <c r="F3" s="59"/>
      <c r="G3" s="59"/>
      <c r="H3" s="59"/>
      <c r="I3" s="59"/>
      <c r="J3" s="59"/>
    </row>
    <row r="4" spans="2:11" ht="16" x14ac:dyDescent="0.2">
      <c r="B4" s="58"/>
      <c r="C4" s="59">
        <v>1</v>
      </c>
      <c r="D4" s="59"/>
      <c r="E4" s="59">
        <v>2</v>
      </c>
      <c r="F4" s="59"/>
      <c r="G4" s="59">
        <v>3</v>
      </c>
      <c r="H4" s="59"/>
      <c r="I4" s="59">
        <v>4</v>
      </c>
      <c r="J4" s="59"/>
    </row>
    <row r="5" spans="2:11" ht="16" x14ac:dyDescent="0.2">
      <c r="B5" s="58"/>
      <c r="C5" s="19" t="s">
        <v>59</v>
      </c>
      <c r="D5" s="19" t="s">
        <v>60</v>
      </c>
      <c r="E5" s="19" t="s">
        <v>59</v>
      </c>
      <c r="F5" s="19" t="s">
        <v>60</v>
      </c>
      <c r="G5" s="19" t="s">
        <v>59</v>
      </c>
      <c r="H5" s="19" t="s">
        <v>60</v>
      </c>
      <c r="I5" s="19" t="s">
        <v>59</v>
      </c>
      <c r="J5" s="19" t="s">
        <v>60</v>
      </c>
    </row>
    <row r="6" spans="2:11" x14ac:dyDescent="0.15">
      <c r="B6" s="20" t="s">
        <v>61</v>
      </c>
      <c r="C6" s="21">
        <v>1.2816000000000001</v>
      </c>
      <c r="D6" s="20">
        <v>90</v>
      </c>
      <c r="E6" s="21">
        <v>0.66239999999999988</v>
      </c>
      <c r="F6" s="20">
        <v>110</v>
      </c>
      <c r="G6" s="21">
        <v>1.8288000000000011</v>
      </c>
      <c r="H6" s="20">
        <v>80</v>
      </c>
      <c r="I6" s="21">
        <v>1.1951999999999963</v>
      </c>
      <c r="J6" s="20">
        <v>95</v>
      </c>
    </row>
    <row r="7" spans="2:11" x14ac:dyDescent="0.15">
      <c r="B7" s="20" t="s">
        <v>62</v>
      </c>
      <c r="C7" s="21">
        <v>0.89279999999999982</v>
      </c>
      <c r="D7" s="20">
        <v>105</v>
      </c>
      <c r="E7" s="21">
        <v>1.6847999999999992</v>
      </c>
      <c r="F7" s="20">
        <v>85</v>
      </c>
      <c r="G7" s="21">
        <v>1.4112000000000009</v>
      </c>
      <c r="H7" s="20">
        <v>90</v>
      </c>
      <c r="I7" s="21">
        <v>1.6704000000000008</v>
      </c>
      <c r="J7" s="20">
        <v>85</v>
      </c>
    </row>
    <row r="8" spans="2:11" x14ac:dyDescent="0.15">
      <c r="B8" s="20" t="s">
        <v>63</v>
      </c>
      <c r="C8" s="21">
        <v>1.8287999999999998</v>
      </c>
      <c r="D8" s="20">
        <v>80</v>
      </c>
      <c r="E8" s="21">
        <v>0.74880000000000191</v>
      </c>
      <c r="F8" s="20">
        <v>95</v>
      </c>
      <c r="G8" s="21">
        <v>0.80640000000000001</v>
      </c>
      <c r="H8" s="20">
        <v>90</v>
      </c>
      <c r="I8" s="21">
        <v>0.64799999999999969</v>
      </c>
      <c r="J8" s="20">
        <v>105</v>
      </c>
    </row>
    <row r="9" spans="2:11" x14ac:dyDescent="0.15">
      <c r="B9" s="20" t="s">
        <v>64</v>
      </c>
      <c r="C9" s="21">
        <v>0.46079999999999988</v>
      </c>
      <c r="D9" s="20">
        <v>130</v>
      </c>
      <c r="E9" s="21">
        <v>1.8</v>
      </c>
      <c r="F9" s="20">
        <v>105</v>
      </c>
      <c r="G9" s="21">
        <v>1.3824000000000005</v>
      </c>
      <c r="H9" s="20">
        <v>110</v>
      </c>
      <c r="I9" s="21">
        <v>1.8863999999999983</v>
      </c>
      <c r="J9" s="20">
        <v>100</v>
      </c>
    </row>
    <row r="10" spans="2:11" x14ac:dyDescent="0.15">
      <c r="B10" s="20" t="s">
        <v>65</v>
      </c>
      <c r="C10" s="21">
        <v>0.18719999999999981</v>
      </c>
      <c r="D10" s="20">
        <v>130</v>
      </c>
      <c r="E10" s="21">
        <v>1.6991999999999994</v>
      </c>
      <c r="F10" s="20">
        <v>85</v>
      </c>
      <c r="G10" s="21">
        <v>1.0655999999999963</v>
      </c>
      <c r="H10" s="20">
        <v>110</v>
      </c>
      <c r="I10" s="21">
        <v>1.5263999999999953</v>
      </c>
      <c r="J10" s="20">
        <v>100</v>
      </c>
    </row>
    <row r="12" spans="2:11" ht="14" thickBot="1" x14ac:dyDescent="0.2"/>
    <row r="13" spans="2:11" ht="16" x14ac:dyDescent="0.2">
      <c r="B13" s="50" t="s">
        <v>57</v>
      </c>
      <c r="C13" s="52" t="s">
        <v>58</v>
      </c>
      <c r="D13" s="53"/>
      <c r="E13" s="53"/>
      <c r="F13" s="54"/>
      <c r="G13" s="22"/>
      <c r="H13" s="23"/>
      <c r="J13" s="22"/>
    </row>
    <row r="14" spans="2:11" ht="16" x14ac:dyDescent="0.2">
      <c r="B14" s="51"/>
      <c r="C14" s="24">
        <v>1</v>
      </c>
      <c r="D14" s="25">
        <v>2</v>
      </c>
      <c r="E14" s="25">
        <v>3</v>
      </c>
      <c r="F14" s="26">
        <v>4</v>
      </c>
      <c r="G14" s="27"/>
      <c r="H14" s="23"/>
      <c r="I14" s="22" t="s">
        <v>66</v>
      </c>
      <c r="J14" s="28"/>
      <c r="K14" s="29"/>
    </row>
    <row r="15" spans="2:11" x14ac:dyDescent="0.15">
      <c r="B15" s="30" t="s">
        <v>61</v>
      </c>
      <c r="C15" s="31">
        <f>(C6*D6)/100</f>
        <v>1.15344</v>
      </c>
      <c r="D15" s="32">
        <f>(E6*F6)/100</f>
        <v>0.72863999999999995</v>
      </c>
      <c r="E15" s="32">
        <f>(G6*H6)/100</f>
        <v>1.4630400000000008</v>
      </c>
      <c r="F15" s="33">
        <f>(I6*J6)/100</f>
        <v>1.1354399999999965</v>
      </c>
      <c r="G15" s="34"/>
      <c r="H15" s="23"/>
      <c r="I15" s="34">
        <f>AVERAGE(C15:F15)</f>
        <v>1.1201399999999992</v>
      </c>
      <c r="J15" s="28"/>
      <c r="K15" s="29"/>
    </row>
    <row r="16" spans="2:11" x14ac:dyDescent="0.15">
      <c r="B16" s="30" t="s">
        <v>62</v>
      </c>
      <c r="C16" s="31">
        <f>(C7*D7)/100</f>
        <v>0.93743999999999983</v>
      </c>
      <c r="D16" s="32">
        <f>(E7*F7)/100</f>
        <v>1.4320799999999994</v>
      </c>
      <c r="E16" s="32">
        <f>(G7*H7)/100</f>
        <v>1.2700800000000008</v>
      </c>
      <c r="F16" s="33">
        <f>(I7*J7)/100</f>
        <v>1.4198400000000007</v>
      </c>
      <c r="G16" s="34"/>
      <c r="H16" s="23"/>
      <c r="I16" s="34">
        <f>AVERAGE(C16:F16)</f>
        <v>1.2648600000000001</v>
      </c>
      <c r="J16" s="35"/>
      <c r="K16" s="29"/>
    </row>
    <row r="17" spans="2:11" x14ac:dyDescent="0.15">
      <c r="B17" s="30" t="s">
        <v>63</v>
      </c>
      <c r="C17" s="31">
        <f>(C8*D8)/100</f>
        <v>1.4630399999999997</v>
      </c>
      <c r="D17" s="32">
        <f>(E8*F8)/100</f>
        <v>0.71136000000000177</v>
      </c>
      <c r="E17" s="32">
        <f>(G8*H8)/100</f>
        <v>0.72575999999999996</v>
      </c>
      <c r="F17" s="33">
        <f>(I8*J8)/100</f>
        <v>0.68039999999999967</v>
      </c>
      <c r="G17" s="34"/>
      <c r="H17" s="23"/>
      <c r="I17" s="34">
        <f>AVERAGE(C17:F17)</f>
        <v>0.89514000000000027</v>
      </c>
      <c r="J17" s="35"/>
      <c r="K17" s="29"/>
    </row>
    <row r="18" spans="2:11" x14ac:dyDescent="0.15">
      <c r="B18" s="30" t="s">
        <v>64</v>
      </c>
      <c r="C18" s="31">
        <f>(C9*D9)/100</f>
        <v>0.59903999999999979</v>
      </c>
      <c r="D18" s="32">
        <f>(E9*F9)/100</f>
        <v>1.89</v>
      </c>
      <c r="E18" s="32">
        <f>(G9*H9)/100</f>
        <v>1.5206400000000004</v>
      </c>
      <c r="F18" s="33">
        <f>(I9*J9)/100</f>
        <v>1.8863999999999981</v>
      </c>
      <c r="G18" s="34"/>
      <c r="H18" s="23"/>
      <c r="I18" s="34">
        <f>AVERAGE(C18:F18)</f>
        <v>1.4740199999999997</v>
      </c>
      <c r="J18" s="35"/>
      <c r="K18" s="29"/>
    </row>
    <row r="19" spans="2:11" ht="14" thickBot="1" x14ac:dyDescent="0.2">
      <c r="B19" s="36" t="s">
        <v>65</v>
      </c>
      <c r="C19" s="37">
        <f>(C10*D10)/100</f>
        <v>0.24335999999999977</v>
      </c>
      <c r="D19" s="38">
        <f>(E10*F10)/100</f>
        <v>1.4443199999999996</v>
      </c>
      <c r="E19" s="38">
        <f>(G10*H10)/100</f>
        <v>1.1721599999999959</v>
      </c>
      <c r="F19" s="39">
        <f>(I10*J10)/100</f>
        <v>1.5263999999999953</v>
      </c>
      <c r="G19" s="34"/>
      <c r="H19" s="23"/>
      <c r="I19" s="34">
        <f>AVERAGE(C19:F19)</f>
        <v>1.0965599999999975</v>
      </c>
      <c r="J19" s="35"/>
      <c r="K19" s="29"/>
    </row>
    <row r="20" spans="2:11" ht="16" x14ac:dyDescent="0.2">
      <c r="B20" s="40"/>
      <c r="C20" s="40"/>
      <c r="D20" s="40"/>
      <c r="E20" s="40"/>
      <c r="F20" s="40"/>
      <c r="G20" s="40"/>
      <c r="H20" s="41" t="s">
        <v>67</v>
      </c>
      <c r="I20" s="42">
        <f>SUM(I15:I19)</f>
        <v>5.8507199999999964</v>
      </c>
      <c r="J20" s="42"/>
      <c r="K20" s="29"/>
    </row>
    <row r="21" spans="2:11" x14ac:dyDescent="0.15">
      <c r="J21" s="29"/>
      <c r="K21" s="29"/>
    </row>
    <row r="22" spans="2:11" ht="14" thickBot="1" x14ac:dyDescent="0.2"/>
    <row r="23" spans="2:11" ht="14" thickBot="1" x14ac:dyDescent="0.2">
      <c r="B23" s="18" t="s">
        <v>68</v>
      </c>
      <c r="G23" s="55" t="s">
        <v>69</v>
      </c>
      <c r="H23" s="56"/>
      <c r="I23" s="43">
        <f>I20/(1-0.07)</f>
        <v>6.2910967741935453</v>
      </c>
      <c r="J23" s="44" t="s">
        <v>70</v>
      </c>
    </row>
    <row r="25" spans="2:11" x14ac:dyDescent="0.15">
      <c r="B25" s="18" t="s">
        <v>71</v>
      </c>
    </row>
    <row r="26" spans="2:11" x14ac:dyDescent="0.15">
      <c r="B26" s="18" t="s">
        <v>72</v>
      </c>
    </row>
    <row r="28" spans="2:11" x14ac:dyDescent="0.15">
      <c r="C28" s="45">
        <v>8</v>
      </c>
      <c r="D28" s="46" t="s">
        <v>73</v>
      </c>
    </row>
    <row r="29" spans="2:11" x14ac:dyDescent="0.15">
      <c r="C29" s="45">
        <f>C28*60</f>
        <v>480</v>
      </c>
      <c r="D29" s="46" t="s">
        <v>74</v>
      </c>
    </row>
    <row r="30" spans="2:11" ht="14" thickBot="1" x14ac:dyDescent="0.2">
      <c r="C30" s="45"/>
      <c r="D30" s="46"/>
    </row>
    <row r="31" spans="2:11" ht="14" thickBot="1" x14ac:dyDescent="0.2">
      <c r="C31" s="47">
        <f>C29/I23</f>
        <v>76.298301747477268</v>
      </c>
      <c r="D31" s="56" t="s">
        <v>75</v>
      </c>
      <c r="E31" s="57"/>
    </row>
  </sheetData>
  <mergeCells count="10">
    <mergeCell ref="B13:B14"/>
    <mergeCell ref="C13:F13"/>
    <mergeCell ref="G23:H23"/>
    <mergeCell ref="D31:E31"/>
    <mergeCell ref="B3:B5"/>
    <mergeCell ref="C3:J3"/>
    <mergeCell ref="C4:D4"/>
    <mergeCell ref="E4:F4"/>
    <mergeCell ref="G4:H4"/>
    <mergeCell ref="I4:J4"/>
  </mergeCells>
  <pageMargins left="0.7" right="0.7" top="0.75" bottom="0.75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1"/>
  <sheetViews>
    <sheetView zoomScale="125" zoomScaleNormal="125" zoomScaleSheetLayoutView="125" zoomScalePageLayoutView="125" workbookViewId="0">
      <selection activeCell="N18" sqref="N18"/>
    </sheetView>
  </sheetViews>
  <sheetFormatPr baseColWidth="10" defaultRowHeight="13" x14ac:dyDescent="0.15"/>
  <cols>
    <col min="1" max="2" width="10.83203125" style="4"/>
    <col min="3" max="6" width="6.6640625" style="4" customWidth="1"/>
    <col min="7" max="13" width="10.83203125" style="4"/>
    <col min="14" max="14" width="11" style="4" customWidth="1"/>
    <col min="15" max="15" width="11" style="4" bestFit="1" customWidth="1"/>
    <col min="16" max="16" width="11.1640625" style="4" bestFit="1" customWidth="1"/>
    <col min="17" max="16384" width="10.83203125" style="4"/>
  </cols>
  <sheetData>
    <row r="1" spans="1:12" x14ac:dyDescent="0.15">
      <c r="A1" s="3" t="s">
        <v>6</v>
      </c>
    </row>
    <row r="2" spans="1:12" x14ac:dyDescent="0.15">
      <c r="A2" s="5" t="s">
        <v>7</v>
      </c>
    </row>
    <row r="3" spans="1:12" x14ac:dyDescent="0.15">
      <c r="A3" s="5" t="s">
        <v>8</v>
      </c>
    </row>
    <row r="4" spans="1:12" x14ac:dyDescent="0.15">
      <c r="A4" s="5" t="s">
        <v>9</v>
      </c>
    </row>
    <row r="5" spans="1:12" x14ac:dyDescent="0.15">
      <c r="A5" s="3"/>
    </row>
    <row r="6" spans="1:12" x14ac:dyDescent="0.15">
      <c r="G6" s="6" t="s">
        <v>10</v>
      </c>
      <c r="H6" s="6" t="s">
        <v>11</v>
      </c>
    </row>
    <row r="7" spans="1:12" ht="16" x14ac:dyDescent="0.2">
      <c r="B7" s="7" t="s">
        <v>12</v>
      </c>
      <c r="C7" s="7" t="s">
        <v>13</v>
      </c>
      <c r="D7" s="7" t="s">
        <v>14</v>
      </c>
      <c r="E7" s="7" t="s">
        <v>15</v>
      </c>
      <c r="F7" s="7" t="s">
        <v>16</v>
      </c>
      <c r="G7" s="7" t="s">
        <v>17</v>
      </c>
      <c r="H7" s="7" t="s">
        <v>18</v>
      </c>
      <c r="J7"/>
      <c r="K7"/>
      <c r="L7"/>
    </row>
    <row r="8" spans="1:12" ht="16" x14ac:dyDescent="0.2">
      <c r="B8" s="6" t="s">
        <v>19</v>
      </c>
      <c r="C8" s="6">
        <v>1.5</v>
      </c>
      <c r="D8" s="6">
        <v>0</v>
      </c>
      <c r="E8" s="6">
        <v>0</v>
      </c>
      <c r="F8" s="6">
        <v>0</v>
      </c>
      <c r="G8" s="8">
        <f>C8*2+D8*3+E8</f>
        <v>3</v>
      </c>
      <c r="H8" s="8">
        <f>C8*2+D8*1+F8</f>
        <v>3</v>
      </c>
      <c r="J8"/>
      <c r="K8"/>
      <c r="L8"/>
    </row>
    <row r="9" spans="1:12" ht="16" x14ac:dyDescent="0.2">
      <c r="B9" s="6" t="s">
        <v>21</v>
      </c>
      <c r="C9" s="6">
        <v>0</v>
      </c>
      <c r="D9" s="6">
        <v>0</v>
      </c>
      <c r="E9" s="6">
        <v>3.5</v>
      </c>
      <c r="F9" s="6">
        <v>3.5</v>
      </c>
      <c r="G9" s="8">
        <f t="shared" ref="G9:G16" si="0">C9*2+D9*3+E9</f>
        <v>3.5</v>
      </c>
      <c r="H9" s="8">
        <f t="shared" ref="H9:H16" si="1">C9*2+D9*1+F9</f>
        <v>3.5</v>
      </c>
      <c r="J9"/>
      <c r="K9"/>
      <c r="L9"/>
    </row>
    <row r="10" spans="1:12" ht="16" x14ac:dyDescent="0.2">
      <c r="B10" s="6" t="s">
        <v>23</v>
      </c>
      <c r="C10" s="6">
        <v>0</v>
      </c>
      <c r="D10" s="6">
        <v>2.5</v>
      </c>
      <c r="E10" s="6">
        <v>0</v>
      </c>
      <c r="F10" s="6">
        <v>0</v>
      </c>
      <c r="G10" s="8">
        <f t="shared" si="0"/>
        <v>7.5</v>
      </c>
      <c r="H10" s="8">
        <f t="shared" si="1"/>
        <v>2.5</v>
      </c>
      <c r="J10"/>
      <c r="K10"/>
      <c r="L10"/>
    </row>
    <row r="11" spans="1:12" ht="16" x14ac:dyDescent="0.2">
      <c r="B11" s="6" t="s">
        <v>25</v>
      </c>
      <c r="C11" s="6">
        <v>0</v>
      </c>
      <c r="D11" s="6">
        <v>7.25</v>
      </c>
      <c r="E11" s="6">
        <v>7.25</v>
      </c>
      <c r="F11" s="6">
        <v>0</v>
      </c>
      <c r="G11" s="10">
        <f>C11*2+D11*3+E11</f>
        <v>29</v>
      </c>
      <c r="H11" s="8">
        <f t="shared" si="1"/>
        <v>7.25</v>
      </c>
      <c r="I11" s="3" t="s">
        <v>26</v>
      </c>
      <c r="J11"/>
      <c r="K11"/>
      <c r="L11"/>
    </row>
    <row r="12" spans="1:12" x14ac:dyDescent="0.15">
      <c r="B12" s="6" t="s">
        <v>27</v>
      </c>
      <c r="C12" s="6">
        <v>0</v>
      </c>
      <c r="D12" s="6">
        <v>0</v>
      </c>
      <c r="E12" s="6">
        <v>0</v>
      </c>
      <c r="F12" s="6">
        <v>3.5</v>
      </c>
      <c r="G12" s="8">
        <f t="shared" si="0"/>
        <v>0</v>
      </c>
      <c r="H12" s="8">
        <f t="shared" si="1"/>
        <v>3.5</v>
      </c>
    </row>
    <row r="13" spans="1:12" x14ac:dyDescent="0.15">
      <c r="B13" s="6" t="s">
        <v>28</v>
      </c>
      <c r="C13" s="6">
        <v>0</v>
      </c>
      <c r="D13" s="6">
        <v>0</v>
      </c>
      <c r="E13" s="6">
        <v>7.75</v>
      </c>
      <c r="F13" s="6">
        <v>7.75</v>
      </c>
      <c r="G13" s="8">
        <f t="shared" si="0"/>
        <v>7.75</v>
      </c>
      <c r="H13" s="10">
        <f t="shared" si="1"/>
        <v>7.75</v>
      </c>
      <c r="I13" s="3" t="s">
        <v>29</v>
      </c>
    </row>
    <row r="14" spans="1:12" x14ac:dyDescent="0.15">
      <c r="B14" s="6" t="s">
        <v>30</v>
      </c>
      <c r="C14" s="6">
        <v>0</v>
      </c>
      <c r="D14" s="6">
        <v>3.5</v>
      </c>
      <c r="E14" s="6">
        <v>0</v>
      </c>
      <c r="F14" s="6">
        <v>0</v>
      </c>
      <c r="G14" s="8">
        <f t="shared" si="0"/>
        <v>10.5</v>
      </c>
      <c r="H14" s="8">
        <f t="shared" si="1"/>
        <v>3.5</v>
      </c>
    </row>
    <row r="15" spans="1:12" x14ac:dyDescent="0.15">
      <c r="B15" s="6" t="s">
        <v>31</v>
      </c>
      <c r="C15" s="6">
        <v>0</v>
      </c>
      <c r="D15" s="6">
        <v>3</v>
      </c>
      <c r="E15" s="6">
        <v>0</v>
      </c>
      <c r="F15" s="6">
        <v>0</v>
      </c>
      <c r="G15" s="8">
        <f t="shared" si="0"/>
        <v>9</v>
      </c>
      <c r="H15" s="8">
        <f t="shared" si="1"/>
        <v>3</v>
      </c>
    </row>
    <row r="16" spans="1:12" x14ac:dyDescent="0.15">
      <c r="B16" s="6" t="s">
        <v>32</v>
      </c>
      <c r="C16" s="6">
        <v>0</v>
      </c>
      <c r="D16" s="6">
        <v>3.25</v>
      </c>
      <c r="E16" s="6">
        <v>0</v>
      </c>
      <c r="F16" s="6">
        <v>0</v>
      </c>
      <c r="G16" s="8">
        <f t="shared" si="0"/>
        <v>9.75</v>
      </c>
      <c r="H16" s="8">
        <f t="shared" si="1"/>
        <v>3.25</v>
      </c>
    </row>
    <row r="17" spans="1:17" x14ac:dyDescent="0.15">
      <c r="B17" s="6"/>
      <c r="C17" s="6"/>
      <c r="D17" s="6"/>
      <c r="E17" s="6"/>
      <c r="F17" s="6"/>
      <c r="G17" s="8"/>
      <c r="H17" s="8"/>
    </row>
    <row r="18" spans="1:17" x14ac:dyDescent="0.15">
      <c r="A18" s="4" t="s">
        <v>52</v>
      </c>
      <c r="B18" s="6"/>
      <c r="C18" s="6"/>
      <c r="D18" s="6"/>
      <c r="E18" s="6"/>
      <c r="F18" s="6"/>
      <c r="G18" s="8"/>
      <c r="H18" s="8"/>
      <c r="K18" s="3" t="s">
        <v>53</v>
      </c>
      <c r="L18" s="16">
        <f>N18*2+O18*2</f>
        <v>103510</v>
      </c>
      <c r="M18" s="16">
        <f>N18*3+O18</f>
        <v>77633</v>
      </c>
      <c r="N18" s="16">
        <v>12939</v>
      </c>
      <c r="O18" s="16">
        <v>38816</v>
      </c>
    </row>
    <row r="19" spans="1:17" x14ac:dyDescent="0.15">
      <c r="B19" s="6"/>
      <c r="C19" s="6"/>
      <c r="D19" s="6"/>
      <c r="E19" s="6"/>
      <c r="F19" s="6"/>
      <c r="G19" s="8"/>
      <c r="H19" s="8"/>
      <c r="K19" s="7" t="s">
        <v>12</v>
      </c>
      <c r="L19" s="7" t="s">
        <v>13</v>
      </c>
      <c r="M19" s="7" t="s">
        <v>14</v>
      </c>
      <c r="N19" s="7" t="s">
        <v>15</v>
      </c>
      <c r="O19" s="7" t="s">
        <v>16</v>
      </c>
      <c r="P19" s="7" t="s">
        <v>54</v>
      </c>
      <c r="Q19" s="3" t="s">
        <v>35</v>
      </c>
    </row>
    <row r="20" spans="1:17" x14ac:dyDescent="0.15">
      <c r="K20" s="6" t="s">
        <v>19</v>
      </c>
      <c r="L20" s="6">
        <v>1.5</v>
      </c>
      <c r="M20" s="6">
        <v>0</v>
      </c>
      <c r="N20" s="6">
        <v>0</v>
      </c>
      <c r="O20" s="6">
        <v>0</v>
      </c>
      <c r="P20" s="16">
        <f t="shared" ref="P20:P28" si="2">SUMPRODUCT($L$18:$O$18,L20:O20)/60</f>
        <v>2587.75</v>
      </c>
      <c r="Q20" s="17">
        <f>C24</f>
        <v>10944</v>
      </c>
    </row>
    <row r="21" spans="1:17" x14ac:dyDescent="0.15">
      <c r="A21" s="3" t="s">
        <v>33</v>
      </c>
      <c r="K21" s="6" t="s">
        <v>21</v>
      </c>
      <c r="L21" s="6">
        <v>0</v>
      </c>
      <c r="M21" s="6">
        <v>0</v>
      </c>
      <c r="N21" s="6">
        <v>3.5</v>
      </c>
      <c r="O21" s="6">
        <v>3.5</v>
      </c>
      <c r="P21" s="16">
        <f t="shared" si="2"/>
        <v>3019.0416666666665</v>
      </c>
      <c r="Q21" s="17"/>
    </row>
    <row r="22" spans="1:17" x14ac:dyDescent="0.15">
      <c r="A22" s="4" t="s">
        <v>34</v>
      </c>
      <c r="K22" s="6" t="s">
        <v>23</v>
      </c>
      <c r="L22" s="6">
        <v>0</v>
      </c>
      <c r="M22" s="6">
        <v>2.5</v>
      </c>
      <c r="N22" s="6">
        <v>0</v>
      </c>
      <c r="O22" s="6">
        <v>0</v>
      </c>
      <c r="P22" s="16">
        <f t="shared" si="2"/>
        <v>3234.7083333333335</v>
      </c>
      <c r="Q22" s="17"/>
    </row>
    <row r="23" spans="1:17" x14ac:dyDescent="0.15">
      <c r="K23" s="6" t="s">
        <v>25</v>
      </c>
      <c r="L23" s="6">
        <v>0</v>
      </c>
      <c r="M23" s="6">
        <v>7.25</v>
      </c>
      <c r="N23" s="6">
        <v>7.25</v>
      </c>
      <c r="O23" s="6">
        <v>0</v>
      </c>
      <c r="P23" s="16">
        <f t="shared" si="2"/>
        <v>10944.116666666667</v>
      </c>
      <c r="Q23" s="17"/>
    </row>
    <row r="24" spans="1:17" x14ac:dyDescent="0.15">
      <c r="B24" s="4" t="s">
        <v>35</v>
      </c>
      <c r="C24" s="4">
        <f>240*60*0.95*0.8</f>
        <v>10944</v>
      </c>
      <c r="D24" s="4" t="s">
        <v>36</v>
      </c>
      <c r="K24" s="6" t="s">
        <v>27</v>
      </c>
      <c r="L24" s="6">
        <v>0</v>
      </c>
      <c r="M24" s="6">
        <v>0</v>
      </c>
      <c r="N24" s="6">
        <v>0</v>
      </c>
      <c r="O24" s="6">
        <v>3.5</v>
      </c>
      <c r="P24" s="16">
        <f t="shared" si="2"/>
        <v>2264.2666666666669</v>
      </c>
      <c r="Q24" s="17"/>
    </row>
    <row r="25" spans="1:17" x14ac:dyDescent="0.15">
      <c r="B25" s="4" t="s">
        <v>37</v>
      </c>
      <c r="C25" s="4">
        <f>C24*60/H13</f>
        <v>84727.741935483864</v>
      </c>
      <c r="D25" s="4" t="s">
        <v>38</v>
      </c>
      <c r="K25" s="6" t="s">
        <v>28</v>
      </c>
      <c r="L25" s="6">
        <v>0</v>
      </c>
      <c r="M25" s="6">
        <v>0</v>
      </c>
      <c r="N25" s="6">
        <v>7.75</v>
      </c>
      <c r="O25" s="6">
        <v>7.75</v>
      </c>
      <c r="P25" s="16">
        <f t="shared" si="2"/>
        <v>6685.020833333333</v>
      </c>
      <c r="Q25" s="17"/>
    </row>
    <row r="26" spans="1:17" x14ac:dyDescent="0.15">
      <c r="B26" s="4" t="s">
        <v>39</v>
      </c>
      <c r="C26" s="61">
        <f>C25*G39</f>
        <v>559203.09677419346</v>
      </c>
      <c r="D26" s="61"/>
      <c r="K26" s="6" t="s">
        <v>30</v>
      </c>
      <c r="L26" s="6">
        <v>0</v>
      </c>
      <c r="M26" s="6">
        <v>3.5</v>
      </c>
      <c r="N26" s="6">
        <v>0</v>
      </c>
      <c r="O26" s="6">
        <v>0</v>
      </c>
      <c r="P26" s="16">
        <f t="shared" si="2"/>
        <v>4528.5916666666662</v>
      </c>
      <c r="Q26" s="17"/>
    </row>
    <row r="27" spans="1:17" x14ac:dyDescent="0.15">
      <c r="B27" s="4" t="s">
        <v>40</v>
      </c>
      <c r="C27" s="61">
        <v>7500</v>
      </c>
      <c r="D27" s="61"/>
      <c r="K27" s="6" t="s">
        <v>31</v>
      </c>
      <c r="L27" s="6">
        <v>0</v>
      </c>
      <c r="M27" s="6">
        <v>3</v>
      </c>
      <c r="N27" s="6">
        <v>0</v>
      </c>
      <c r="O27" s="6">
        <v>0</v>
      </c>
      <c r="P27" s="16">
        <f t="shared" si="2"/>
        <v>3881.65</v>
      </c>
      <c r="Q27" s="17"/>
    </row>
    <row r="28" spans="1:17" x14ac:dyDescent="0.15">
      <c r="B28" s="3" t="s">
        <v>41</v>
      </c>
      <c r="C28" s="60">
        <f>C26-C27</f>
        <v>551703.09677419346</v>
      </c>
      <c r="D28" s="60"/>
      <c r="H28" s="3"/>
      <c r="K28" s="6" t="s">
        <v>32</v>
      </c>
      <c r="L28" s="6">
        <v>0</v>
      </c>
      <c r="M28" s="6">
        <v>3.25</v>
      </c>
      <c r="N28" s="6">
        <v>0</v>
      </c>
      <c r="O28" s="6">
        <v>0</v>
      </c>
      <c r="P28" s="16">
        <f t="shared" si="2"/>
        <v>4205.1208333333334</v>
      </c>
      <c r="Q28" s="17"/>
    </row>
    <row r="30" spans="1:17" x14ac:dyDescent="0.15">
      <c r="A30" s="3" t="s">
        <v>42</v>
      </c>
    </row>
    <row r="31" spans="1:17" x14ac:dyDescent="0.15">
      <c r="A31" s="5" t="s">
        <v>43</v>
      </c>
    </row>
    <row r="32" spans="1:17" x14ac:dyDescent="0.15">
      <c r="A32" s="5" t="s">
        <v>44</v>
      </c>
    </row>
    <row r="33" spans="1:11" x14ac:dyDescent="0.15">
      <c r="A33" s="5" t="s">
        <v>45</v>
      </c>
    </row>
    <row r="34" spans="1:11" x14ac:dyDescent="0.15">
      <c r="J34" s="7" t="s">
        <v>46</v>
      </c>
      <c r="K34" s="7" t="s">
        <v>47</v>
      </c>
    </row>
    <row r="35" spans="1:11" x14ac:dyDescent="0.15">
      <c r="A35" s="7" t="s">
        <v>12</v>
      </c>
      <c r="B35" s="7" t="s">
        <v>46</v>
      </c>
      <c r="C35" s="7" t="s">
        <v>47</v>
      </c>
      <c r="I35" s="4" t="s">
        <v>35</v>
      </c>
      <c r="J35" s="4">
        <v>10944</v>
      </c>
      <c r="K35" s="4">
        <v>10944</v>
      </c>
    </row>
    <row r="36" spans="1:11" x14ac:dyDescent="0.15">
      <c r="A36" s="6" t="s">
        <v>19</v>
      </c>
      <c r="B36" s="6">
        <f>3*G8+1*H8</f>
        <v>12</v>
      </c>
      <c r="C36" s="6">
        <f>1*G8+3*H8</f>
        <v>12</v>
      </c>
      <c r="E36" s="6"/>
      <c r="F36" s="7" t="s">
        <v>15</v>
      </c>
      <c r="G36" s="7" t="s">
        <v>16</v>
      </c>
      <c r="I36" s="4" t="s">
        <v>14</v>
      </c>
      <c r="J36" s="11">
        <f>J35*60/(3*F40+G40)</f>
        <v>6967.0026525198937</v>
      </c>
      <c r="K36" s="11">
        <f>K35*60/(F40+3*G40)</f>
        <v>12938.719211822659</v>
      </c>
    </row>
    <row r="37" spans="1:11" x14ac:dyDescent="0.15">
      <c r="A37" s="6" t="s">
        <v>21</v>
      </c>
      <c r="B37" s="6">
        <f t="shared" ref="B37:B44" si="3">3*G9+1*H9</f>
        <v>14</v>
      </c>
      <c r="C37" s="6">
        <f t="shared" ref="C37:C44" si="4">1*G9+3*H9</f>
        <v>14</v>
      </c>
      <c r="E37" s="7" t="s">
        <v>20</v>
      </c>
      <c r="F37" s="6">
        <v>12.5</v>
      </c>
      <c r="G37" s="6">
        <v>14.6</v>
      </c>
      <c r="I37" s="4" t="s">
        <v>15</v>
      </c>
      <c r="J37" s="11">
        <f>J36*3</f>
        <v>20901.007957559683</v>
      </c>
      <c r="K37" s="11">
        <f>K36</f>
        <v>12938.719211822659</v>
      </c>
    </row>
    <row r="38" spans="1:11" x14ac:dyDescent="0.15">
      <c r="A38" s="6" t="s">
        <v>23</v>
      </c>
      <c r="B38" s="6">
        <f t="shared" si="3"/>
        <v>25</v>
      </c>
      <c r="C38" s="6">
        <f t="shared" si="4"/>
        <v>15</v>
      </c>
      <c r="E38" s="7" t="s">
        <v>22</v>
      </c>
      <c r="F38" s="9">
        <v>12</v>
      </c>
      <c r="G38" s="9">
        <v>8</v>
      </c>
      <c r="I38" s="4" t="s">
        <v>16</v>
      </c>
      <c r="J38" s="11">
        <f>J36</f>
        <v>6967.0026525198937</v>
      </c>
      <c r="K38" s="11">
        <f>K36*3</f>
        <v>38816.157635467978</v>
      </c>
    </row>
    <row r="39" spans="1:11" x14ac:dyDescent="0.15">
      <c r="A39" s="7" t="s">
        <v>25</v>
      </c>
      <c r="B39" s="7">
        <f t="shared" si="3"/>
        <v>94.25</v>
      </c>
      <c r="C39" s="7">
        <f t="shared" si="4"/>
        <v>50.75</v>
      </c>
      <c r="D39" s="3" t="s">
        <v>49</v>
      </c>
      <c r="E39" s="7" t="s">
        <v>24</v>
      </c>
      <c r="F39" s="6">
        <f>F37-F38</f>
        <v>0.5</v>
      </c>
      <c r="G39" s="6">
        <f>G37-G38</f>
        <v>6.6</v>
      </c>
    </row>
    <row r="40" spans="1:11" x14ac:dyDescent="0.15">
      <c r="A40" s="6" t="s">
        <v>27</v>
      </c>
      <c r="B40" s="6">
        <f t="shared" si="3"/>
        <v>3.5</v>
      </c>
      <c r="C40" s="6">
        <f t="shared" si="4"/>
        <v>10.5</v>
      </c>
      <c r="E40" s="7" t="s">
        <v>48</v>
      </c>
      <c r="F40" s="8">
        <f>3*D11+E11</f>
        <v>29</v>
      </c>
      <c r="G40" s="8">
        <f>D11</f>
        <v>7.25</v>
      </c>
      <c r="I40" s="4" t="s">
        <v>39</v>
      </c>
      <c r="J40" s="11">
        <f>J37*F39+J38*G39</f>
        <v>56432.721485411137</v>
      </c>
      <c r="K40" s="11">
        <f>K37*F39+K38*G39</f>
        <v>262655.99999999994</v>
      </c>
    </row>
    <row r="41" spans="1:11" x14ac:dyDescent="0.15">
      <c r="A41" s="6" t="s">
        <v>28</v>
      </c>
      <c r="B41" s="15">
        <f t="shared" si="3"/>
        <v>31</v>
      </c>
      <c r="C41" s="15">
        <f t="shared" si="4"/>
        <v>31</v>
      </c>
      <c r="D41" s="3"/>
      <c r="E41" s="7" t="s">
        <v>50</v>
      </c>
      <c r="F41" s="8">
        <f>F39/F40</f>
        <v>1.7241379310344827E-2</v>
      </c>
      <c r="G41" s="8">
        <f>G39/G40</f>
        <v>0.91034482758620683</v>
      </c>
      <c r="I41" s="4" t="s">
        <v>40</v>
      </c>
      <c r="J41" s="11">
        <v>7500</v>
      </c>
      <c r="K41" s="11">
        <v>7500</v>
      </c>
    </row>
    <row r="42" spans="1:11" x14ac:dyDescent="0.15">
      <c r="A42" s="6" t="s">
        <v>30</v>
      </c>
      <c r="B42" s="6">
        <f t="shared" si="3"/>
        <v>35</v>
      </c>
      <c r="C42" s="6">
        <f t="shared" si="4"/>
        <v>21</v>
      </c>
      <c r="I42" s="3" t="s">
        <v>41</v>
      </c>
      <c r="J42" s="12">
        <f>J40-J41</f>
        <v>48932.721485411137</v>
      </c>
      <c r="K42" s="12">
        <f>K40-K41</f>
        <v>255155.99999999994</v>
      </c>
    </row>
    <row r="43" spans="1:11" x14ac:dyDescent="0.15">
      <c r="A43" s="6" t="s">
        <v>31</v>
      </c>
      <c r="B43" s="6">
        <f t="shared" si="3"/>
        <v>30</v>
      </c>
      <c r="C43" s="6">
        <f t="shared" si="4"/>
        <v>18</v>
      </c>
      <c r="E43" s="13"/>
    </row>
    <row r="44" spans="1:11" x14ac:dyDescent="0.15">
      <c r="A44" s="6" t="s">
        <v>32</v>
      </c>
      <c r="B44" s="6">
        <f t="shared" si="3"/>
        <v>32.5</v>
      </c>
      <c r="C44" s="6">
        <f t="shared" si="4"/>
        <v>19.5</v>
      </c>
    </row>
    <row r="46" spans="1:11" x14ac:dyDescent="0.15">
      <c r="A46" s="14"/>
    </row>
    <row r="47" spans="1:11" x14ac:dyDescent="0.15">
      <c r="A47" s="14"/>
    </row>
    <row r="49" spans="1:1" x14ac:dyDescent="0.15">
      <c r="A49" s="13" t="s">
        <v>51</v>
      </c>
    </row>
    <row r="50" spans="1:1" x14ac:dyDescent="0.15">
      <c r="A50" s="4" t="s">
        <v>55</v>
      </c>
    </row>
    <row r="51" spans="1:1" x14ac:dyDescent="0.15">
      <c r="A51" s="4" t="s">
        <v>56</v>
      </c>
    </row>
  </sheetData>
  <mergeCells count="3">
    <mergeCell ref="C28:D28"/>
    <mergeCell ref="C26:D26"/>
    <mergeCell ref="C27:D27"/>
  </mergeCells>
  <pageMargins left="0.65" right="0.56000000000000005" top="0.65" bottom="0.62" header="0.5" footer="0.5"/>
  <pageSetup paperSize="0" scale="7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Pregunta 1</vt:lpstr>
      <vt:lpstr>Pregunta 2</vt:lpstr>
      <vt:lpstr>Pregunta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 Cañas</dc:creator>
  <cp:lastModifiedBy>Edgar Hernandez</cp:lastModifiedBy>
  <dcterms:created xsi:type="dcterms:W3CDTF">2017-05-06T14:14:19Z</dcterms:created>
  <dcterms:modified xsi:type="dcterms:W3CDTF">2021-09-10T17:02:47Z</dcterms:modified>
</cp:coreProperties>
</file>