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nrique/Documents/UCR/Operaciones/Ejercicios de Clases/Prácticas/Nuevas/Gerencia de Operaciones/"/>
    </mc:Choice>
  </mc:AlternateContent>
  <xr:revisionPtr revIDLastSave="0" documentId="13_ncr:1_{7D0D9A41-4B36-B648-8283-EFF4F88529B6}" xr6:coauthVersionLast="45" xr6:coauthVersionMax="45" xr10:uidLastSave="{00000000-0000-0000-0000-000000000000}"/>
  <bookViews>
    <workbookView xWindow="1160" yWindow="460" windowWidth="27640" windowHeight="16680" xr2:uid="{DA15F5C7-B13D-1340-8279-D6A41DC6D258}"/>
  </bookViews>
  <sheets>
    <sheet name="1" sheetId="2" r:id="rId1"/>
    <sheet name="2" sheetId="3" r:id="rId2"/>
    <sheet name="3" sheetId="4" r:id="rId3"/>
    <sheet name="4" sheetId="5" r:id="rId4"/>
    <sheet name="5" sheetId="6" r:id="rId5"/>
    <sheet name="6" sheetId="7" r:id="rId6"/>
    <sheet name="7" sheetId="8" r:id="rId7"/>
    <sheet name="8" sheetId="9" r:id="rId8"/>
    <sheet name="9" sheetId="10" r:id="rId9"/>
    <sheet name="10" sheetId="11" r:id="rId10"/>
    <sheet name="11" sheetId="12" r:id="rId11"/>
    <sheet name="12" sheetId="13" r:id="rId12"/>
    <sheet name="13" sheetId="14" r:id="rId13"/>
    <sheet name="14" sheetId="15" r:id="rId14"/>
    <sheet name="14-b" sheetId="16" r:id="rId15"/>
    <sheet name="15-a" sheetId="17" r:id="rId16"/>
    <sheet name="15-b" sheetId="18" r:id="rId17"/>
    <sheet name="16" sheetId="19" r:id="rId18"/>
    <sheet name="17" sheetId="20" r:id="rId19"/>
    <sheet name="18" sheetId="21" r:id="rId20"/>
    <sheet name="19" sheetId="22" r:id="rId21"/>
    <sheet name="20" sheetId="23" r:id="rId22"/>
    <sheet name="21" sheetId="24" r:id="rId23"/>
    <sheet name="22" sheetId="25" r:id="rId24"/>
    <sheet name="23" sheetId="26" r:id="rId25"/>
    <sheet name="24-Hungaro" sheetId="27" r:id="rId26"/>
    <sheet name="24-Piso" sheetId="28" r:id="rId27"/>
  </sheets>
  <externalReferences>
    <externalReference r:id="rId28"/>
  </externalReferences>
  <definedNames>
    <definedName name="_xlnm.Print_Area" localSheetId="12">'13'!$L$63:$X$109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J38" i="28" l="1"/>
  <c r="D35" i="28"/>
  <c r="D37" i="28" s="1"/>
  <c r="AJ34" i="28"/>
  <c r="D33" i="28"/>
  <c r="D34" i="28" s="1"/>
  <c r="AJ32" i="28"/>
  <c r="D31" i="28"/>
  <c r="D32" i="28" s="1"/>
  <c r="AI30" i="28"/>
  <c r="AK30" i="28" s="1"/>
  <c r="D30" i="28"/>
  <c r="D29" i="28"/>
  <c r="AJ28" i="28"/>
  <c r="D27" i="28"/>
  <c r="D28" i="28" s="1"/>
  <c r="AF24" i="28"/>
  <c r="AE24" i="28"/>
  <c r="Z24" i="28"/>
  <c r="Y24" i="28"/>
  <c r="T24" i="28"/>
  <c r="S24" i="28"/>
  <c r="N24" i="28"/>
  <c r="M24" i="28"/>
  <c r="AH23" i="28"/>
  <c r="AG23" i="28"/>
  <c r="AF23" i="28"/>
  <c r="AE23" i="28"/>
  <c r="AB23" i="28"/>
  <c r="AA23" i="28"/>
  <c r="Z23" i="28"/>
  <c r="Y23" i="28"/>
  <c r="V23" i="28"/>
  <c r="U23" i="28"/>
  <c r="T23" i="28"/>
  <c r="S23" i="28"/>
  <c r="P23" i="28"/>
  <c r="O23" i="28"/>
  <c r="N23" i="28"/>
  <c r="M23" i="28"/>
  <c r="J23" i="28"/>
  <c r="I23" i="28"/>
  <c r="D14" i="28"/>
  <c r="AI32" i="28" s="1"/>
  <c r="F11" i="28"/>
  <c r="I11" i="28" s="1"/>
  <c r="D11" i="28"/>
  <c r="D10" i="28"/>
  <c r="AD9" i="28"/>
  <c r="AG9" i="28" s="1"/>
  <c r="D9" i="28"/>
  <c r="U7" i="28"/>
  <c r="R7" i="28"/>
  <c r="D7" i="28"/>
  <c r="X6" i="28"/>
  <c r="L6" i="28"/>
  <c r="O6" i="28" s="1"/>
  <c r="D6" i="28"/>
  <c r="AH24" i="28"/>
  <c r="AG27" i="28" s="1"/>
  <c r="AD27" i="28" s="1"/>
  <c r="AC27" i="28" s="1"/>
  <c r="AG24" i="28"/>
  <c r="AB24" i="28"/>
  <c r="AA24" i="28"/>
  <c r="V24" i="28"/>
  <c r="U24" i="28"/>
  <c r="P24" i="28"/>
  <c r="O24" i="28"/>
  <c r="J24" i="28"/>
  <c r="I24" i="28"/>
  <c r="G16" i="27"/>
  <c r="F16" i="27"/>
  <c r="F24" i="27" s="1"/>
  <c r="E16" i="27"/>
  <c r="E24" i="27" s="1"/>
  <c r="D16" i="27"/>
  <c r="D24" i="27" s="1"/>
  <c r="C16" i="27"/>
  <c r="C24" i="27" s="1"/>
  <c r="G15" i="27"/>
  <c r="F15" i="27"/>
  <c r="E15" i="27"/>
  <c r="E23" i="27" s="1"/>
  <c r="D15" i="27"/>
  <c r="D23" i="27" s="1"/>
  <c r="C15" i="27"/>
  <c r="C23" i="27" s="1"/>
  <c r="G14" i="27"/>
  <c r="F14" i="27"/>
  <c r="F22" i="27" s="1"/>
  <c r="E14" i="27"/>
  <c r="D14" i="27"/>
  <c r="D22" i="27" s="1"/>
  <c r="C14" i="27"/>
  <c r="G13" i="27"/>
  <c r="G21" i="27" s="1"/>
  <c r="F13" i="27"/>
  <c r="E13" i="27"/>
  <c r="D13" i="27"/>
  <c r="D21" i="27" s="1"/>
  <c r="C13" i="27"/>
  <c r="G12" i="27"/>
  <c r="F12" i="27"/>
  <c r="F20" i="27" s="1"/>
  <c r="E12" i="27"/>
  <c r="G20" i="27" s="1"/>
  <c r="D12" i="27"/>
  <c r="C12" i="27"/>
  <c r="C20" i="27" s="1"/>
  <c r="N8" i="27"/>
  <c r="L8" i="27"/>
  <c r="J8" i="27"/>
  <c r="M7" i="27"/>
  <c r="K7" i="27"/>
  <c r="J7" i="27"/>
  <c r="K6" i="27"/>
  <c r="K9" i="27" s="1"/>
  <c r="K10" i="27" s="1"/>
  <c r="N5" i="27"/>
  <c r="M5" i="27"/>
  <c r="L5" i="27"/>
  <c r="J5" i="27"/>
  <c r="J9" i="27" s="1"/>
  <c r="J10" i="27" s="1"/>
  <c r="N4" i="27"/>
  <c r="N9" i="27" s="1"/>
  <c r="N10" i="27" s="1"/>
  <c r="M4" i="27"/>
  <c r="L4" i="27"/>
  <c r="J11" i="28" l="1"/>
  <c r="AG11" i="28" s="1"/>
  <c r="AH11" i="28" s="1"/>
  <c r="AC6" i="28" s="1"/>
  <c r="AD6" i="28" s="1"/>
  <c r="AG6" i="28" s="1"/>
  <c r="AH6" i="28" s="1"/>
  <c r="AI6" i="28" s="1"/>
  <c r="AH9" i="28"/>
  <c r="AC11" i="28" s="1"/>
  <c r="AD11" i="28" s="1"/>
  <c r="E21" i="27"/>
  <c r="C21" i="27"/>
  <c r="V7" i="28"/>
  <c r="AA7" i="28" s="1"/>
  <c r="AB7" i="28" s="1"/>
  <c r="W10" i="28" s="1"/>
  <c r="X10" i="28" s="1"/>
  <c r="AA10" i="28" s="1"/>
  <c r="AB10" i="28" s="1"/>
  <c r="AI10" i="28" s="1"/>
  <c r="F21" i="27"/>
  <c r="G24" i="27"/>
  <c r="P6" i="28"/>
  <c r="K10" i="28" s="1"/>
  <c r="L10" i="28" s="1"/>
  <c r="O10" i="28" s="1"/>
  <c r="P10" i="28" s="1"/>
  <c r="K11" i="28" s="1"/>
  <c r="L11" i="28" s="1"/>
  <c r="O11" i="28" s="1"/>
  <c r="P11" i="28" s="1"/>
  <c r="L9" i="27"/>
  <c r="L10" i="27" s="1"/>
  <c r="G22" i="27"/>
  <c r="F23" i="27"/>
  <c r="M9" i="27"/>
  <c r="M10" i="27" s="1"/>
  <c r="G23" i="27"/>
  <c r="AK32" i="28"/>
  <c r="P32" i="28"/>
  <c r="O29" i="28"/>
  <c r="L29" i="28" s="1"/>
  <c r="K29" i="28" s="1"/>
  <c r="AI28" i="28"/>
  <c r="P30" i="28"/>
  <c r="O30" i="28" s="1"/>
  <c r="J30" i="28" s="1"/>
  <c r="I30" i="28" s="1"/>
  <c r="E20" i="27"/>
  <c r="C22" i="27"/>
  <c r="D20" i="27"/>
  <c r="E22" i="27"/>
  <c r="Q8" i="28" l="1"/>
  <c r="R8" i="28" s="1"/>
  <c r="U8" i="28" s="1"/>
  <c r="V8" i="28" s="1"/>
  <c r="AI7" i="28" s="1"/>
  <c r="E9" i="28"/>
  <c r="F9" i="28" s="1"/>
  <c r="I9" i="28" s="1"/>
  <c r="J9" i="28" s="1"/>
  <c r="E10" i="28" s="1"/>
  <c r="F10" i="28" s="1"/>
  <c r="I10" i="28" s="1"/>
  <c r="J10" i="28" s="1"/>
  <c r="AA6" i="28"/>
  <c r="AB6" i="28" s="1"/>
  <c r="W7" i="28" s="1"/>
  <c r="X7" i="28" s="1"/>
  <c r="K9" i="28"/>
  <c r="L9" i="28" s="1"/>
  <c r="O9" i="28" s="1"/>
  <c r="P9" i="28" s="1"/>
  <c r="AI9" i="28" s="1"/>
  <c r="AI11" i="28"/>
  <c r="AJ12" i="28" s="1"/>
  <c r="AH30" i="28"/>
  <c r="AG30" i="28" s="1"/>
  <c r="J29" i="28"/>
  <c r="I29" i="28" s="1"/>
  <c r="K33" i="28"/>
  <c r="L33" i="28" s="1"/>
  <c r="O33" i="28" s="1"/>
  <c r="P33" i="28" s="1"/>
  <c r="O32" i="28"/>
  <c r="AH28" i="28"/>
  <c r="AG28" i="28" s="1"/>
  <c r="AB28" i="28" s="1"/>
  <c r="AK28" i="28"/>
  <c r="E34" i="26"/>
  <c r="F34" i="26" s="1"/>
  <c r="E25" i="26"/>
  <c r="F25" i="26" s="1"/>
  <c r="S9" i="26"/>
  <c r="S8" i="26"/>
  <c r="S7" i="26"/>
  <c r="S6" i="26"/>
  <c r="S5" i="26"/>
  <c r="J35" i="25"/>
  <c r="P34" i="25"/>
  <c r="O35" i="25" s="1"/>
  <c r="K34" i="25"/>
  <c r="M34" i="25" s="1"/>
  <c r="O31" i="25"/>
  <c r="N31" i="25" s="1"/>
  <c r="J31" i="25"/>
  <c r="E32" i="25" s="1"/>
  <c r="F31" i="25"/>
  <c r="H31" i="25" s="1"/>
  <c r="E31" i="25"/>
  <c r="D31" i="25" s="1"/>
  <c r="P30" i="25"/>
  <c r="K30" i="25"/>
  <c r="M30" i="25" s="1"/>
  <c r="J30" i="25"/>
  <c r="F30" i="25" s="1"/>
  <c r="H30" i="25" s="1"/>
  <c r="P29" i="25"/>
  <c r="N30" i="25" s="1"/>
  <c r="K29" i="25"/>
  <c r="M29" i="25" s="1"/>
  <c r="F28" i="25"/>
  <c r="J28" i="25" s="1"/>
  <c r="K28" i="25" s="1"/>
  <c r="O28" i="25" s="1"/>
  <c r="J29" i="25" s="1"/>
  <c r="S19" i="25"/>
  <c r="O19" i="25"/>
  <c r="N19" i="25"/>
  <c r="I19" i="25"/>
  <c r="H19" i="25"/>
  <c r="R20" i="25" s="1"/>
  <c r="D19" i="25"/>
  <c r="S18" i="25"/>
  <c r="R22" i="25" s="1"/>
  <c r="O18" i="25"/>
  <c r="N18" i="25"/>
  <c r="I18" i="25"/>
  <c r="H18" i="25"/>
  <c r="D18" i="25"/>
  <c r="S17" i="25"/>
  <c r="O17" i="25"/>
  <c r="N17" i="25"/>
  <c r="I17" i="25"/>
  <c r="H17" i="25"/>
  <c r="D17" i="25"/>
  <c r="S16" i="25"/>
  <c r="R8" i="25"/>
  <c r="N8" i="25"/>
  <c r="M8" i="25"/>
  <c r="I8" i="25"/>
  <c r="H8" i="25"/>
  <c r="D8" i="25"/>
  <c r="R7" i="25"/>
  <c r="N7" i="25"/>
  <c r="M7" i="25"/>
  <c r="I7" i="25"/>
  <c r="H7" i="25"/>
  <c r="D7" i="25"/>
  <c r="R6" i="25"/>
  <c r="N6" i="25"/>
  <c r="M6" i="25"/>
  <c r="I6" i="25"/>
  <c r="H6" i="25"/>
  <c r="Q9" i="25" s="1"/>
  <c r="D6" i="25"/>
  <c r="Q10" i="25" s="1"/>
  <c r="R5" i="25"/>
  <c r="Q11" i="25" s="1"/>
  <c r="D60" i="24"/>
  <c r="D59" i="24"/>
  <c r="D58" i="24"/>
  <c r="D57" i="24"/>
  <c r="L55" i="24"/>
  <c r="O55" i="24" s="1"/>
  <c r="Q53" i="24"/>
  <c r="O53" i="24"/>
  <c r="P53" i="24" s="1"/>
  <c r="U53" i="24" s="1"/>
  <c r="V53" i="24" s="1"/>
  <c r="W48" i="24"/>
  <c r="X47" i="24"/>
  <c r="W47" i="24"/>
  <c r="I44" i="24"/>
  <c r="E44" i="24"/>
  <c r="O43" i="24"/>
  <c r="P43" i="24" s="1"/>
  <c r="U43" i="24" s="1"/>
  <c r="V43" i="24" s="1"/>
  <c r="F43" i="24"/>
  <c r="I43" i="24" s="1"/>
  <c r="J43" i="24" s="1"/>
  <c r="C40" i="24"/>
  <c r="E40" i="24" s="1"/>
  <c r="E39" i="24"/>
  <c r="C39" i="24"/>
  <c r="C38" i="24"/>
  <c r="E38" i="24" s="1"/>
  <c r="AC27" i="24"/>
  <c r="AB27" i="24" s="1"/>
  <c r="AD26" i="24"/>
  <c r="AB26" i="24"/>
  <c r="V32" i="24" s="1"/>
  <c r="U32" i="24" s="1"/>
  <c r="Y26" i="24"/>
  <c r="X26" i="24" s="1"/>
  <c r="V22" i="24"/>
  <c r="U22" i="24" s="1"/>
  <c r="O21" i="24"/>
  <c r="P21" i="24" s="1"/>
  <c r="U21" i="24" s="1"/>
  <c r="V21" i="24" s="1"/>
  <c r="F21" i="24"/>
  <c r="I21" i="24" s="1"/>
  <c r="J21" i="24" s="1"/>
  <c r="P14" i="24"/>
  <c r="K15" i="24" s="1"/>
  <c r="L15" i="24" s="1"/>
  <c r="O15" i="24" s="1"/>
  <c r="O14" i="24"/>
  <c r="F4" i="24"/>
  <c r="I4" i="24" s="1"/>
  <c r="J4" i="24" s="1"/>
  <c r="D55" i="23"/>
  <c r="C55" i="23"/>
  <c r="B55" i="23"/>
  <c r="D54" i="23"/>
  <c r="C54" i="23"/>
  <c r="B54" i="23"/>
  <c r="G54" i="23" s="1"/>
  <c r="D53" i="23"/>
  <c r="I53" i="23" s="1"/>
  <c r="C53" i="23"/>
  <c r="H53" i="23" s="1"/>
  <c r="B53" i="23"/>
  <c r="G53" i="23" s="1"/>
  <c r="O45" i="23"/>
  <c r="J45" i="23"/>
  <c r="M45" i="23" s="1"/>
  <c r="N45" i="23" s="1"/>
  <c r="Q45" i="23" s="1"/>
  <c r="H45" i="23"/>
  <c r="H33" i="23"/>
  <c r="M33" i="23" s="1"/>
  <c r="N33" i="23" s="1"/>
  <c r="H32" i="23"/>
  <c r="M32" i="23" s="1"/>
  <c r="D32" i="23"/>
  <c r="C32" i="23" s="1"/>
  <c r="H31" i="23"/>
  <c r="F32" i="23" s="1"/>
  <c r="U28" i="23"/>
  <c r="T29" i="23" s="1"/>
  <c r="T28" i="23"/>
  <c r="O28" i="23"/>
  <c r="M28" i="23"/>
  <c r="N28" i="23" s="1"/>
  <c r="H28" i="23"/>
  <c r="S24" i="23"/>
  <c r="G22" i="23"/>
  <c r="H22" i="23" s="1"/>
  <c r="C23" i="23" s="1"/>
  <c r="D23" i="23" s="1"/>
  <c r="G23" i="23" s="1"/>
  <c r="H23" i="23" s="1"/>
  <c r="D22" i="23"/>
  <c r="H21" i="23"/>
  <c r="M21" i="23" s="1"/>
  <c r="N21" i="23" s="1"/>
  <c r="G21" i="23"/>
  <c r="E11" i="23"/>
  <c r="D11" i="23"/>
  <c r="C11" i="23"/>
  <c r="E10" i="23"/>
  <c r="D10" i="23"/>
  <c r="C10" i="23"/>
  <c r="E9" i="23"/>
  <c r="D9" i="23"/>
  <c r="C9" i="23"/>
  <c r="I32" i="22"/>
  <c r="D31" i="22"/>
  <c r="D30" i="22"/>
  <c r="D29" i="22"/>
  <c r="D28" i="22"/>
  <c r="F27" i="22"/>
  <c r="D27" i="22"/>
  <c r="F26" i="22"/>
  <c r="D26" i="22"/>
  <c r="F25" i="22"/>
  <c r="I20" i="22"/>
  <c r="D19" i="22"/>
  <c r="D18" i="22"/>
  <c r="D17" i="22"/>
  <c r="D16" i="22"/>
  <c r="F15" i="22"/>
  <c r="D15" i="22"/>
  <c r="F14" i="22"/>
  <c r="D14" i="22"/>
  <c r="F13" i="22"/>
  <c r="I9" i="22"/>
  <c r="G9" i="22"/>
  <c r="I8" i="22"/>
  <c r="G8" i="22"/>
  <c r="I7" i="22"/>
  <c r="G7" i="22"/>
  <c r="I6" i="22"/>
  <c r="G6" i="22"/>
  <c r="I5" i="22"/>
  <c r="G5" i="22"/>
  <c r="I4" i="22"/>
  <c r="G4" i="22"/>
  <c r="I3" i="22"/>
  <c r="G3" i="22"/>
  <c r="H30" i="21"/>
  <c r="H29" i="21"/>
  <c r="H28" i="21"/>
  <c r="H27" i="21"/>
  <c r="H26" i="21"/>
  <c r="D26" i="21"/>
  <c r="E26" i="21" s="1"/>
  <c r="H25" i="21"/>
  <c r="J25" i="21" s="1"/>
  <c r="F25" i="21"/>
  <c r="H18" i="21"/>
  <c r="H17" i="21"/>
  <c r="H16" i="21"/>
  <c r="H15" i="21"/>
  <c r="H14" i="21"/>
  <c r="D14" i="21"/>
  <c r="E14" i="21" s="1"/>
  <c r="D15" i="21" s="1"/>
  <c r="E15" i="21" s="1"/>
  <c r="H13" i="21"/>
  <c r="J13" i="21" s="1"/>
  <c r="F13" i="21"/>
  <c r="G9" i="21"/>
  <c r="G8" i="21"/>
  <c r="G7" i="21"/>
  <c r="G6" i="21"/>
  <c r="G5" i="21"/>
  <c r="G4" i="21"/>
  <c r="D55" i="20"/>
  <c r="C47" i="20"/>
  <c r="D42" i="20"/>
  <c r="F42" i="20" s="1"/>
  <c r="C38" i="20"/>
  <c r="D33" i="20"/>
  <c r="D34" i="20" s="1"/>
  <c r="C28" i="20"/>
  <c r="D23" i="20"/>
  <c r="D24" i="20" s="1"/>
  <c r="G16" i="20"/>
  <c r="G15" i="20"/>
  <c r="G14" i="20"/>
  <c r="G13" i="20"/>
  <c r="G12" i="20"/>
  <c r="F9" i="20"/>
  <c r="R46" i="20" s="1"/>
  <c r="E9" i="20"/>
  <c r="Q46" i="20" s="1"/>
  <c r="D9" i="20"/>
  <c r="P46" i="20" s="1"/>
  <c r="F8" i="20"/>
  <c r="R45" i="20" s="1"/>
  <c r="E8" i="20"/>
  <c r="Q45" i="20" s="1"/>
  <c r="D8" i="20"/>
  <c r="P45" i="20" s="1"/>
  <c r="F7" i="20"/>
  <c r="R44" i="20" s="1"/>
  <c r="E7" i="20"/>
  <c r="Q44" i="20" s="1"/>
  <c r="D7" i="20"/>
  <c r="P44" i="20" s="1"/>
  <c r="G6" i="20"/>
  <c r="D13" i="20" s="1"/>
  <c r="F6" i="20"/>
  <c r="R43" i="20" s="1"/>
  <c r="E6" i="20"/>
  <c r="Q43" i="20" s="1"/>
  <c r="D6" i="20"/>
  <c r="P43" i="20" s="1"/>
  <c r="P50" i="20" s="1"/>
  <c r="F5" i="20"/>
  <c r="R42" i="20" s="1"/>
  <c r="E5" i="20"/>
  <c r="Q42" i="20" s="1"/>
  <c r="D5" i="20"/>
  <c r="P42" i="20" s="1"/>
  <c r="P49" i="20" s="1"/>
  <c r="N7" i="19"/>
  <c r="M8" i="19" s="1"/>
  <c r="N8" i="19" s="1"/>
  <c r="M9" i="19" s="1"/>
  <c r="N9" i="19" s="1"/>
  <c r="M10" i="19" s="1"/>
  <c r="N10" i="19" s="1"/>
  <c r="M11" i="19" s="1"/>
  <c r="N11" i="19" s="1"/>
  <c r="F7" i="19"/>
  <c r="E8" i="19" s="1"/>
  <c r="F8" i="19" s="1"/>
  <c r="B28" i="18"/>
  <c r="K27" i="18"/>
  <c r="K26" i="18"/>
  <c r="K25" i="18"/>
  <c r="K24" i="18"/>
  <c r="L24" i="18" s="1"/>
  <c r="L25" i="18" s="1"/>
  <c r="L26" i="18" s="1"/>
  <c r="L27" i="18" s="1"/>
  <c r="K23" i="18"/>
  <c r="D23" i="18"/>
  <c r="D22" i="18"/>
  <c r="D21" i="18"/>
  <c r="I20" i="18"/>
  <c r="D20" i="18"/>
  <c r="D19" i="18"/>
  <c r="D18" i="18"/>
  <c r="D17" i="18"/>
  <c r="D12" i="18"/>
  <c r="D13" i="18" s="1"/>
  <c r="D11" i="18"/>
  <c r="D10" i="18"/>
  <c r="I7" i="18"/>
  <c r="D5" i="18"/>
  <c r="I4" i="18"/>
  <c r="I11" i="18" s="1"/>
  <c r="G17" i="18" s="1"/>
  <c r="D4" i="18"/>
  <c r="I3" i="18"/>
  <c r="I10" i="18" s="1"/>
  <c r="D3" i="18"/>
  <c r="D6" i="18" s="1"/>
  <c r="I2" i="18"/>
  <c r="I9" i="18" s="1"/>
  <c r="M71" i="17"/>
  <c r="M66" i="17"/>
  <c r="N71" i="17" s="1"/>
  <c r="R10" i="17" s="1"/>
  <c r="L65" i="17"/>
  <c r="O45" i="17"/>
  <c r="P40" i="17" s="1"/>
  <c r="N45" i="17"/>
  <c r="O40" i="17" s="1"/>
  <c r="M45" i="17"/>
  <c r="N40" i="17"/>
  <c r="O29" i="17"/>
  <c r="N29" i="17"/>
  <c r="O25" i="17" s="1"/>
  <c r="M29" i="17"/>
  <c r="N25" i="17" s="1"/>
  <c r="N26" i="17" s="1"/>
  <c r="B28" i="17"/>
  <c r="H65" i="17" s="1"/>
  <c r="P25" i="17"/>
  <c r="D23" i="17"/>
  <c r="D22" i="17"/>
  <c r="D21" i="17"/>
  <c r="D20" i="17"/>
  <c r="D19" i="17"/>
  <c r="D18" i="17"/>
  <c r="O17" i="17"/>
  <c r="N17" i="17"/>
  <c r="M17" i="17"/>
  <c r="L17" i="17"/>
  <c r="K17" i="17"/>
  <c r="J17" i="17"/>
  <c r="I17" i="17"/>
  <c r="H17" i="17"/>
  <c r="G17" i="17"/>
  <c r="D17" i="17"/>
  <c r="M15" i="17"/>
  <c r="M16" i="17" s="1"/>
  <c r="M18" i="17" s="1"/>
  <c r="J15" i="17"/>
  <c r="G15" i="17"/>
  <c r="N47" i="17" s="1"/>
  <c r="D12" i="17"/>
  <c r="D11" i="17"/>
  <c r="D10" i="17"/>
  <c r="H6" i="17"/>
  <c r="J69" i="17" s="1"/>
  <c r="D5" i="17"/>
  <c r="I4" i="17"/>
  <c r="R4" i="17" s="1"/>
  <c r="D4" i="17"/>
  <c r="I3" i="17"/>
  <c r="R3" i="17" s="1"/>
  <c r="D3" i="17"/>
  <c r="Y2" i="17"/>
  <c r="R7" i="17" s="1"/>
  <c r="X2" i="17"/>
  <c r="R6" i="17" s="1"/>
  <c r="W2" i="17"/>
  <c r="R5" i="17" s="1"/>
  <c r="I2" i="17"/>
  <c r="R2" i="17" s="1"/>
  <c r="E44" i="16"/>
  <c r="D28" i="16"/>
  <c r="C30" i="16" s="1"/>
  <c r="C31" i="16" s="1"/>
  <c r="C19" i="16"/>
  <c r="O14" i="16"/>
  <c r="I10" i="16"/>
  <c r="K9" i="16"/>
  <c r="J9" i="16"/>
  <c r="I9" i="16"/>
  <c r="L9" i="16" s="1"/>
  <c r="L8" i="16"/>
  <c r="D7" i="16"/>
  <c r="C11" i="16" s="1"/>
  <c r="K6" i="16"/>
  <c r="J6" i="16"/>
  <c r="I6" i="16"/>
  <c r="E5" i="16"/>
  <c r="K4" i="16"/>
  <c r="K5" i="16" s="1"/>
  <c r="K7" i="16" s="1"/>
  <c r="J4" i="16"/>
  <c r="J5" i="16" s="1"/>
  <c r="J7" i="16" s="1"/>
  <c r="I4" i="16"/>
  <c r="I5" i="16" s="1"/>
  <c r="I7" i="16" s="1"/>
  <c r="E4" i="16"/>
  <c r="E3" i="16"/>
  <c r="G73" i="15"/>
  <c r="F73" i="15"/>
  <c r="E73" i="15"/>
  <c r="D73" i="15"/>
  <c r="C73" i="15"/>
  <c r="C60" i="15"/>
  <c r="O16" i="15"/>
  <c r="N16" i="15"/>
  <c r="M16" i="15"/>
  <c r="J16" i="15"/>
  <c r="I16" i="15"/>
  <c r="H16" i="15"/>
  <c r="E16" i="15"/>
  <c r="D16" i="15"/>
  <c r="C16" i="15"/>
  <c r="M13" i="15"/>
  <c r="M14" i="15" s="1"/>
  <c r="H13" i="15"/>
  <c r="H14" i="15" s="1"/>
  <c r="H15" i="15" s="1"/>
  <c r="C13" i="15"/>
  <c r="C31" i="15" s="1"/>
  <c r="G27" i="15" s="1"/>
  <c r="J5" i="15"/>
  <c r="H5" i="15"/>
  <c r="J4" i="15"/>
  <c r="H4" i="15"/>
  <c r="J3" i="15"/>
  <c r="H3" i="15"/>
  <c r="E3" i="15"/>
  <c r="P109" i="14"/>
  <c r="W108" i="14"/>
  <c r="O108" i="14"/>
  <c r="O107" i="14"/>
  <c r="O106" i="14"/>
  <c r="O105" i="14"/>
  <c r="S104" i="14"/>
  <c r="R104" i="14"/>
  <c r="Q104" i="14"/>
  <c r="T104" i="14" s="1"/>
  <c r="O104" i="14"/>
  <c r="S100" i="14"/>
  <c r="O100" i="14"/>
  <c r="O99" i="14"/>
  <c r="O98" i="14"/>
  <c r="S98" i="14" s="1"/>
  <c r="O97" i="14"/>
  <c r="O96" i="14"/>
  <c r="S96" i="14" s="1"/>
  <c r="O95" i="14"/>
  <c r="T94" i="14"/>
  <c r="M87" i="14"/>
  <c r="S84" i="14"/>
  <c r="P88" i="14" s="1"/>
  <c r="R84" i="14"/>
  <c r="S83" i="14"/>
  <c r="N87" i="14" s="1"/>
  <c r="R83" i="14"/>
  <c r="S82" i="14"/>
  <c r="Q86" i="14" s="1"/>
  <c r="R82" i="14"/>
  <c r="M78" i="14"/>
  <c r="N64" i="14"/>
  <c r="R90" i="14" s="1"/>
  <c r="D63" i="14"/>
  <c r="D62" i="14"/>
  <c r="D61" i="14"/>
  <c r="D64" i="14" s="1"/>
  <c r="V52" i="14"/>
  <c r="W46" i="14" s="1"/>
  <c r="U52" i="14"/>
  <c r="V46" i="14"/>
  <c r="U46" i="14"/>
  <c r="D44" i="14"/>
  <c r="C44" i="14"/>
  <c r="B44" i="14"/>
  <c r="G38" i="14"/>
  <c r="F38" i="14"/>
  <c r="E38" i="14"/>
  <c r="D38" i="14"/>
  <c r="C38" i="14"/>
  <c r="E50" i="14" s="1"/>
  <c r="B38" i="14"/>
  <c r="S33" i="14"/>
  <c r="AB32" i="14"/>
  <c r="Z32" i="14"/>
  <c r="AB27" i="14" s="1"/>
  <c r="Y32" i="14"/>
  <c r="X32" i="14"/>
  <c r="X33" i="14" s="1"/>
  <c r="U32" i="14"/>
  <c r="T32" i="14"/>
  <c r="S32" i="14"/>
  <c r="O32" i="14"/>
  <c r="N32" i="14"/>
  <c r="P27" i="14" s="1"/>
  <c r="M32" i="14"/>
  <c r="M33" i="14" s="1"/>
  <c r="D30" i="14"/>
  <c r="C30" i="14"/>
  <c r="B30" i="14"/>
  <c r="AA27" i="14"/>
  <c r="Z27" i="14"/>
  <c r="T27" i="14"/>
  <c r="Q27" i="14"/>
  <c r="D21" i="14"/>
  <c r="D20" i="14" s="1"/>
  <c r="X15" i="14"/>
  <c r="X16" i="14" s="1"/>
  <c r="S15" i="14"/>
  <c r="S16" i="14" s="1"/>
  <c r="Q105" i="14" s="1"/>
  <c r="M15" i="14"/>
  <c r="E14" i="14"/>
  <c r="F24" i="14" s="1"/>
  <c r="F34" i="14" s="1"/>
  <c r="D14" i="14"/>
  <c r="D11" i="14"/>
  <c r="D10" i="14" s="1"/>
  <c r="E10" i="14" s="1"/>
  <c r="E7" i="14"/>
  <c r="D7" i="14"/>
  <c r="D6" i="14"/>
  <c r="E6" i="14" s="1"/>
  <c r="D3" i="14"/>
  <c r="D2" i="14" s="1"/>
  <c r="E2" i="14" s="1"/>
  <c r="D84" i="13"/>
  <c r="F79" i="13"/>
  <c r="F78" i="13"/>
  <c r="F77" i="13"/>
  <c r="G73" i="13"/>
  <c r="H73" i="13" s="1"/>
  <c r="B79" i="13" s="1"/>
  <c r="F73" i="13"/>
  <c r="C26" i="13" s="1"/>
  <c r="G72" i="13"/>
  <c r="H72" i="13" s="1"/>
  <c r="B78" i="13" s="1"/>
  <c r="F72" i="13"/>
  <c r="G71" i="13"/>
  <c r="F71" i="13"/>
  <c r="D26" i="13" s="1"/>
  <c r="D27" i="13" s="1"/>
  <c r="C52" i="13"/>
  <c r="R35" i="13"/>
  <c r="R34" i="13"/>
  <c r="C34" i="13"/>
  <c r="R32" i="13"/>
  <c r="J22" i="13"/>
  <c r="I22" i="13"/>
  <c r="I21" i="13"/>
  <c r="B21" i="13"/>
  <c r="O19" i="13"/>
  <c r="K17" i="13"/>
  <c r="J17" i="13"/>
  <c r="I17" i="13"/>
  <c r="D17" i="13"/>
  <c r="C17" i="13"/>
  <c r="B17" i="13"/>
  <c r="O16" i="13" s="1"/>
  <c r="Q10" i="13"/>
  <c r="D85" i="13" s="1"/>
  <c r="I5" i="13"/>
  <c r="O25" i="13" s="1"/>
  <c r="I3" i="13"/>
  <c r="F85" i="13" s="1"/>
  <c r="I1" i="13"/>
  <c r="P16" i="12"/>
  <c r="J16" i="12"/>
  <c r="P15" i="12"/>
  <c r="J15" i="12"/>
  <c r="F14" i="12"/>
  <c r="F13" i="12"/>
  <c r="F12" i="12"/>
  <c r="R11" i="12"/>
  <c r="Q11" i="12"/>
  <c r="P11" i="12"/>
  <c r="L11" i="12"/>
  <c r="K11" i="12"/>
  <c r="J11" i="12"/>
  <c r="F11" i="12"/>
  <c r="D7" i="12"/>
  <c r="D6" i="12" s="1"/>
  <c r="D27" i="11"/>
  <c r="D32" i="11" s="1"/>
  <c r="C27" i="11"/>
  <c r="B27" i="11"/>
  <c r="B32" i="11" s="1"/>
  <c r="S13" i="11"/>
  <c r="N13" i="11"/>
  <c r="L13" i="11"/>
  <c r="R13" i="11" s="1"/>
  <c r="G13" i="11"/>
  <c r="F13" i="11"/>
  <c r="S12" i="11"/>
  <c r="N12" i="11"/>
  <c r="L12" i="11"/>
  <c r="R12" i="11" s="1"/>
  <c r="G12" i="11"/>
  <c r="F12" i="11"/>
  <c r="F11" i="11" s="1"/>
  <c r="F10" i="11" s="1"/>
  <c r="S11" i="11"/>
  <c r="N11" i="11"/>
  <c r="L11" i="11"/>
  <c r="R11" i="11" s="1"/>
  <c r="G11" i="11"/>
  <c r="S10" i="11"/>
  <c r="N10" i="11"/>
  <c r="G10" i="11"/>
  <c r="S9" i="11"/>
  <c r="N9" i="11"/>
  <c r="G9" i="11"/>
  <c r="S8" i="11"/>
  <c r="N8" i="11"/>
  <c r="G8" i="11"/>
  <c r="S7" i="11"/>
  <c r="N7" i="11"/>
  <c r="G7" i="11"/>
  <c r="S6" i="11"/>
  <c r="N6" i="11"/>
  <c r="G6" i="11"/>
  <c r="S5" i="11"/>
  <c r="N5" i="11"/>
  <c r="G5" i="11"/>
  <c r="S4" i="11"/>
  <c r="N4" i="11"/>
  <c r="L4" i="11"/>
  <c r="R4" i="11" s="1"/>
  <c r="G4" i="11"/>
  <c r="S3" i="11"/>
  <c r="N3" i="11"/>
  <c r="G3" i="11"/>
  <c r="S2" i="11"/>
  <c r="N2" i="11"/>
  <c r="L2" i="11"/>
  <c r="R2" i="11" s="1"/>
  <c r="G2" i="11"/>
  <c r="H62" i="10"/>
  <c r="L54" i="10"/>
  <c r="K54" i="10"/>
  <c r="L53" i="10"/>
  <c r="M54" i="10" s="1"/>
  <c r="L52" i="10"/>
  <c r="K52" i="10"/>
  <c r="L51" i="10"/>
  <c r="M52" i="10" s="1"/>
  <c r="L50" i="10"/>
  <c r="K50" i="10"/>
  <c r="L49" i="10"/>
  <c r="L48" i="10"/>
  <c r="K48" i="10"/>
  <c r="L47" i="10"/>
  <c r="M48" i="10" s="1"/>
  <c r="L46" i="10"/>
  <c r="K46" i="10"/>
  <c r="L45" i="10"/>
  <c r="C23" i="10"/>
  <c r="C22" i="10"/>
  <c r="I59" i="10" s="1"/>
  <c r="E19" i="10"/>
  <c r="C31" i="10" s="1"/>
  <c r="D19" i="10"/>
  <c r="D18" i="10" s="1"/>
  <c r="E18" i="10" s="1"/>
  <c r="D14" i="10"/>
  <c r="D13" i="10" s="1"/>
  <c r="E13" i="10" s="1"/>
  <c r="N9" i="10"/>
  <c r="M9" i="10"/>
  <c r="L9" i="10"/>
  <c r="K9" i="10"/>
  <c r="J9" i="10"/>
  <c r="I9" i="10"/>
  <c r="D9" i="10"/>
  <c r="E9" i="10" s="1"/>
  <c r="C34" i="10" s="1"/>
  <c r="P4" i="10"/>
  <c r="O4" i="10"/>
  <c r="D4" i="10"/>
  <c r="D3" i="10" s="1"/>
  <c r="D49" i="9"/>
  <c r="E44" i="9" s="1"/>
  <c r="C49" i="9"/>
  <c r="D44" i="9" s="1"/>
  <c r="B49" i="9"/>
  <c r="C44" i="9" s="1"/>
  <c r="H21" i="9"/>
  <c r="F21" i="9"/>
  <c r="F17" i="9"/>
  <c r="B17" i="9"/>
  <c r="H16" i="9"/>
  <c r="G16" i="9"/>
  <c r="G21" i="9" s="1"/>
  <c r="F16" i="9"/>
  <c r="C37" i="9" s="1"/>
  <c r="D16" i="9"/>
  <c r="D21" i="9" s="1"/>
  <c r="C16" i="9"/>
  <c r="B16" i="9"/>
  <c r="H15" i="9"/>
  <c r="G15" i="9"/>
  <c r="F15" i="9"/>
  <c r="D15" i="9"/>
  <c r="C15" i="9"/>
  <c r="B15" i="9"/>
  <c r="H7" i="9"/>
  <c r="I37" i="8"/>
  <c r="D23" i="8"/>
  <c r="E19" i="8" s="1"/>
  <c r="C23" i="8"/>
  <c r="B23" i="8"/>
  <c r="C19" i="8" s="1"/>
  <c r="J22" i="8"/>
  <c r="I22" i="8"/>
  <c r="J18" i="8" s="1"/>
  <c r="H22" i="8"/>
  <c r="D19" i="8"/>
  <c r="K18" i="8"/>
  <c r="H27" i="7"/>
  <c r="B27" i="7"/>
  <c r="E19" i="7" s="1"/>
  <c r="H25" i="7"/>
  <c r="B25" i="7"/>
  <c r="D19" i="7" s="1"/>
  <c r="H23" i="7"/>
  <c r="H24" i="7" s="1"/>
  <c r="I24" i="7" s="1"/>
  <c r="H21" i="7" s="1"/>
  <c r="B23" i="7"/>
  <c r="B24" i="7" s="1"/>
  <c r="C24" i="7" s="1"/>
  <c r="D24" i="7" s="1"/>
  <c r="B21" i="7" s="1"/>
  <c r="C15" i="7" s="1"/>
  <c r="H26" i="6"/>
  <c r="B26" i="6"/>
  <c r="H24" i="6"/>
  <c r="B24" i="6"/>
  <c r="D18" i="6" s="1"/>
  <c r="H22" i="6"/>
  <c r="H23" i="6" s="1"/>
  <c r="B22" i="6"/>
  <c r="B23" i="6" s="1"/>
  <c r="B20" i="6" s="1"/>
  <c r="J20" i="6"/>
  <c r="I20" i="6"/>
  <c r="J15" i="6" s="1"/>
  <c r="J16" i="6" s="1"/>
  <c r="H20" i="6"/>
  <c r="I15" i="6" s="1"/>
  <c r="I16" i="6" s="1"/>
  <c r="J18" i="6"/>
  <c r="E18" i="6"/>
  <c r="C18" i="6"/>
  <c r="K15" i="6"/>
  <c r="K16" i="6" s="1"/>
  <c r="M35" i="5"/>
  <c r="L35" i="5"/>
  <c r="K35" i="5"/>
  <c r="J35" i="5"/>
  <c r="K30" i="5" s="1"/>
  <c r="K31" i="5" s="1"/>
  <c r="K32" i="5" s="1"/>
  <c r="E35" i="5"/>
  <c r="D35" i="5"/>
  <c r="C35" i="5"/>
  <c r="D30" i="5" s="1"/>
  <c r="B35" i="5"/>
  <c r="C30" i="5" s="1"/>
  <c r="N30" i="5"/>
  <c r="M30" i="5"/>
  <c r="L30" i="5"/>
  <c r="F30" i="5"/>
  <c r="E30" i="5"/>
  <c r="E14" i="5"/>
  <c r="E16" i="5" s="1"/>
  <c r="D14" i="5"/>
  <c r="D16" i="5" s="1"/>
  <c r="C14" i="5"/>
  <c r="C16" i="5" s="1"/>
  <c r="B14" i="5"/>
  <c r="K13" i="5"/>
  <c r="J13" i="5"/>
  <c r="K12" i="5"/>
  <c r="J12" i="5"/>
  <c r="K11" i="5"/>
  <c r="D5" i="5" s="1"/>
  <c r="J11" i="5"/>
  <c r="K10" i="5"/>
  <c r="J10" i="5"/>
  <c r="E7" i="5"/>
  <c r="D7" i="5"/>
  <c r="C7" i="5"/>
  <c r="B7" i="5"/>
  <c r="E6" i="5"/>
  <c r="B10" i="5" s="1"/>
  <c r="D6" i="5"/>
  <c r="C6" i="5"/>
  <c r="B6" i="5"/>
  <c r="B23" i="5" s="1"/>
  <c r="C5" i="5"/>
  <c r="K37" i="5" s="1"/>
  <c r="B5" i="5"/>
  <c r="J37" i="5" s="1"/>
  <c r="J38" i="5" s="1"/>
  <c r="J39" i="5" s="1"/>
  <c r="F3" i="5"/>
  <c r="E3" i="5"/>
  <c r="D3" i="5"/>
  <c r="C3" i="5"/>
  <c r="B3" i="5"/>
  <c r="D60" i="4"/>
  <c r="C60" i="4"/>
  <c r="B60" i="4"/>
  <c r="B46" i="4" s="1"/>
  <c r="D49" i="4"/>
  <c r="C49" i="4"/>
  <c r="B49" i="4"/>
  <c r="B27" i="4"/>
  <c r="C27" i="4" s="1"/>
  <c r="C25" i="4"/>
  <c r="D25" i="4" s="1"/>
  <c r="D21" i="4"/>
  <c r="C21" i="4"/>
  <c r="B21" i="4"/>
  <c r="D14" i="4"/>
  <c r="C14" i="4"/>
  <c r="C22" i="4" s="1"/>
  <c r="B14" i="4"/>
  <c r="B28" i="3"/>
  <c r="C28" i="3" s="1"/>
  <c r="B25" i="3"/>
  <c r="G21" i="3"/>
  <c r="F21" i="3"/>
  <c r="E21" i="3"/>
  <c r="D21" i="3"/>
  <c r="C21" i="3"/>
  <c r="B21" i="3"/>
  <c r="B19" i="3"/>
  <c r="G14" i="3"/>
  <c r="F14" i="3"/>
  <c r="E14" i="3"/>
  <c r="D14" i="3"/>
  <c r="C14" i="3"/>
  <c r="B14" i="3"/>
  <c r="D50" i="2"/>
  <c r="C50" i="2"/>
  <c r="B50" i="2"/>
  <c r="B47" i="2"/>
  <c r="B48" i="2" s="1"/>
  <c r="B49" i="2" s="1"/>
  <c r="B28" i="2"/>
  <c r="C28" i="2" s="1"/>
  <c r="B27" i="2"/>
  <c r="C22" i="2"/>
  <c r="D14" i="2"/>
  <c r="C14" i="2"/>
  <c r="B14" i="2"/>
  <c r="G6" i="2"/>
  <c r="B10" i="3" l="1"/>
  <c r="B12" i="3" s="1"/>
  <c r="F10" i="3"/>
  <c r="F12" i="3" s="1"/>
  <c r="C10" i="3"/>
  <c r="C12" i="3" s="1"/>
  <c r="D10" i="3"/>
  <c r="D12" i="3" s="1"/>
  <c r="L7" i="16"/>
  <c r="I18" i="6"/>
  <c r="H23" i="8"/>
  <c r="D8" i="10"/>
  <c r="E8" i="10" s="1"/>
  <c r="C33" i="10" s="1"/>
  <c r="K55" i="10"/>
  <c r="X9" i="10" s="1"/>
  <c r="X10" i="10" s="1"/>
  <c r="J21" i="13"/>
  <c r="E3" i="14"/>
  <c r="R87" i="14"/>
  <c r="O87" i="14"/>
  <c r="D24" i="18"/>
  <c r="P51" i="20"/>
  <c r="F33" i="23"/>
  <c r="D32" i="25"/>
  <c r="S34" i="14"/>
  <c r="S29" i="14" s="1"/>
  <c r="T23" i="14" s="1"/>
  <c r="P87" i="14"/>
  <c r="I5" i="18"/>
  <c r="M46" i="10"/>
  <c r="H12" i="11"/>
  <c r="R88" i="14"/>
  <c r="Q87" i="14"/>
  <c r="Q89" i="14" s="1"/>
  <c r="H17" i="15"/>
  <c r="I12" i="15" s="1"/>
  <c r="D6" i="17"/>
  <c r="H62" i="17" s="1"/>
  <c r="G16" i="17"/>
  <c r="G18" i="17" s="1"/>
  <c r="F33" i="20"/>
  <c r="J32" i="25"/>
  <c r="E33" i="25" s="1"/>
  <c r="S14" i="11"/>
  <c r="O88" i="14"/>
  <c r="U104" i="14"/>
  <c r="G15" i="18"/>
  <c r="H54" i="23"/>
  <c r="B26" i="13"/>
  <c r="B27" i="13" s="1"/>
  <c r="C27" i="13" s="1"/>
  <c r="M86" i="14"/>
  <c r="Q88" i="14"/>
  <c r="D13" i="17"/>
  <c r="H63" i="17" s="1"/>
  <c r="D24" i="17"/>
  <c r="H64" i="17" s="1"/>
  <c r="I54" i="23"/>
  <c r="R21" i="25"/>
  <c r="G25" i="26"/>
  <c r="I19" i="7"/>
  <c r="E4" i="10"/>
  <c r="B34" i="10" s="1"/>
  <c r="D22" i="10"/>
  <c r="E22" i="10" s="1"/>
  <c r="M50" i="10"/>
  <c r="H71" i="13"/>
  <c r="B77" i="13" s="1"/>
  <c r="E11" i="14"/>
  <c r="E24" i="14" s="1"/>
  <c r="E34" i="14" s="1"/>
  <c r="O27" i="14"/>
  <c r="N86" i="14"/>
  <c r="N90" i="14"/>
  <c r="R11" i="17"/>
  <c r="G16" i="18"/>
  <c r="D43" i="20"/>
  <c r="F43" i="20" s="1"/>
  <c r="G34" i="26"/>
  <c r="E5" i="5"/>
  <c r="B37" i="9"/>
  <c r="D37" i="9" s="1"/>
  <c r="B38" i="9" s="1"/>
  <c r="B18" i="9"/>
  <c r="T9" i="10"/>
  <c r="H13" i="11"/>
  <c r="R86" i="14"/>
  <c r="O86" i="14"/>
  <c r="O90" i="14"/>
  <c r="B19" i="16"/>
  <c r="B20" i="16" s="1"/>
  <c r="C20" i="16" s="1"/>
  <c r="C21" i="16" s="1"/>
  <c r="S4" i="17"/>
  <c r="G8" i="20"/>
  <c r="D15" i="20" s="1"/>
  <c r="E58" i="24"/>
  <c r="AA28" i="28"/>
  <c r="W35" i="28"/>
  <c r="X35" i="28" s="1"/>
  <c r="AA35" i="28" s="1"/>
  <c r="AH32" i="28"/>
  <c r="AG32" i="28" s="1"/>
  <c r="J32" i="28" s="1"/>
  <c r="I32" i="28" s="1"/>
  <c r="J31" i="28" s="1"/>
  <c r="I31" i="28" s="1"/>
  <c r="F31" i="28" s="1"/>
  <c r="E31" i="28" s="1"/>
  <c r="P31" i="28"/>
  <c r="O31" i="28" s="1"/>
  <c r="AA33" i="28"/>
  <c r="I33" i="28"/>
  <c r="F29" i="28"/>
  <c r="E29" i="28" s="1"/>
  <c r="AH29" i="28"/>
  <c r="AG29" i="28" s="1"/>
  <c r="AD29" i="28" s="1"/>
  <c r="AC29" i="28" s="1"/>
  <c r="F26" i="26"/>
  <c r="G26" i="26" s="1"/>
  <c r="D27" i="26" s="1"/>
  <c r="E27" i="26" s="1"/>
  <c r="F27" i="26" s="1"/>
  <c r="G27" i="26" s="1"/>
  <c r="F28" i="26" s="1"/>
  <c r="G28" i="26" s="1"/>
  <c r="D29" i="26" s="1"/>
  <c r="E29" i="26" s="1"/>
  <c r="F29" i="26" s="1"/>
  <c r="G29" i="26" s="1"/>
  <c r="F30" i="26" s="1"/>
  <c r="G30" i="26" s="1"/>
  <c r="H25" i="26"/>
  <c r="I25" i="26" s="1"/>
  <c r="J25" i="26" s="1"/>
  <c r="K25" i="26" s="1"/>
  <c r="J26" i="26" s="1"/>
  <c r="K26" i="26" s="1"/>
  <c r="H27" i="26" s="1"/>
  <c r="I27" i="26" s="1"/>
  <c r="J27" i="26" s="1"/>
  <c r="K27" i="26" s="1"/>
  <c r="H34" i="26"/>
  <c r="I34" i="26" s="1"/>
  <c r="J34" i="26" s="1"/>
  <c r="K34" i="26" s="1"/>
  <c r="F35" i="26"/>
  <c r="G35" i="26" s="1"/>
  <c r="D36" i="26" s="1"/>
  <c r="E36" i="26" s="1"/>
  <c r="F36" i="26" s="1"/>
  <c r="G36" i="26" s="1"/>
  <c r="F37" i="26" s="1"/>
  <c r="G37" i="26" s="1"/>
  <c r="D38" i="26" s="1"/>
  <c r="E38" i="26" s="1"/>
  <c r="F38" i="26" s="1"/>
  <c r="G38" i="26" s="1"/>
  <c r="F39" i="26" s="1"/>
  <c r="G39" i="26" s="1"/>
  <c r="P28" i="25"/>
  <c r="N29" i="25" s="1"/>
  <c r="P35" i="25"/>
  <c r="R35" i="25" s="1"/>
  <c r="N35" i="25"/>
  <c r="K35" i="25"/>
  <c r="M35" i="25" s="1"/>
  <c r="I35" i="25"/>
  <c r="I30" i="25"/>
  <c r="P31" i="25"/>
  <c r="E29" i="25"/>
  <c r="D29" i="25" s="1"/>
  <c r="I31" i="25"/>
  <c r="R29" i="25"/>
  <c r="K31" i="25"/>
  <c r="M31" i="25" s="1"/>
  <c r="F32" i="25"/>
  <c r="H32" i="25" s="1"/>
  <c r="F35" i="25"/>
  <c r="H35" i="25" s="1"/>
  <c r="I32" i="25"/>
  <c r="R32" i="24"/>
  <c r="Q32" i="24" s="1"/>
  <c r="P32" i="24"/>
  <c r="O32" i="24" s="1"/>
  <c r="E5" i="24"/>
  <c r="F5" i="24" s="1"/>
  <c r="I5" i="24" s="1"/>
  <c r="O4" i="24"/>
  <c r="P4" i="24" s="1"/>
  <c r="AC47" i="24"/>
  <c r="Y47" i="24"/>
  <c r="Z47" i="24" s="1"/>
  <c r="P55" i="24"/>
  <c r="Q55" i="24" s="1"/>
  <c r="R55" i="24" s="1"/>
  <c r="U55" i="24" s="1"/>
  <c r="V23" i="24"/>
  <c r="U23" i="24" s="1"/>
  <c r="V33" i="24"/>
  <c r="U33" i="24" s="1"/>
  <c r="AA27" i="24"/>
  <c r="Y27" i="24"/>
  <c r="X27" i="24" s="1"/>
  <c r="P15" i="24"/>
  <c r="K16" i="24" s="1"/>
  <c r="L16" i="24" s="1"/>
  <c r="O16" i="24" s="1"/>
  <c r="N15" i="24"/>
  <c r="H44" i="24"/>
  <c r="T22" i="24"/>
  <c r="R22" i="24"/>
  <c r="Q22" i="24" s="1"/>
  <c r="P22" i="24"/>
  <c r="O22" i="24" s="1"/>
  <c r="AB25" i="24"/>
  <c r="X25" i="24"/>
  <c r="Y25" i="24" s="1"/>
  <c r="U14" i="24"/>
  <c r="V14" i="24" s="1"/>
  <c r="Q15" i="24" s="1"/>
  <c r="R15" i="24" s="1"/>
  <c r="U15" i="24" s="1"/>
  <c r="J44" i="24"/>
  <c r="I22" i="23"/>
  <c r="J22" i="23" s="1"/>
  <c r="M22" i="23" s="1"/>
  <c r="S21" i="23"/>
  <c r="T21" i="23" s="1"/>
  <c r="N29" i="23"/>
  <c r="M29" i="23" s="1"/>
  <c r="U29" i="23"/>
  <c r="P45" i="23"/>
  <c r="T45" i="23"/>
  <c r="U45" i="23" s="1"/>
  <c r="N32" i="23"/>
  <c r="K32" i="23"/>
  <c r="J32" i="23"/>
  <c r="I45" i="23"/>
  <c r="K33" i="23"/>
  <c r="M31" i="23"/>
  <c r="L33" i="23"/>
  <c r="F15" i="21"/>
  <c r="J15" i="21" s="1"/>
  <c r="D16" i="21"/>
  <c r="E16" i="21" s="1"/>
  <c r="F26" i="21"/>
  <c r="J26" i="21" s="1"/>
  <c r="D27" i="21"/>
  <c r="E27" i="21" s="1"/>
  <c r="J14" i="21"/>
  <c r="F14" i="21"/>
  <c r="Q53" i="20"/>
  <c r="D35" i="20"/>
  <c r="F34" i="20"/>
  <c r="Q51" i="20"/>
  <c r="Q49" i="20"/>
  <c r="P52" i="20"/>
  <c r="Q52" i="20"/>
  <c r="Q50" i="20"/>
  <c r="P53" i="20"/>
  <c r="D25" i="20"/>
  <c r="F24" i="20"/>
  <c r="G5" i="20"/>
  <c r="D12" i="20" s="1"/>
  <c r="G7" i="20"/>
  <c r="D14" i="20" s="1"/>
  <c r="G9" i="20"/>
  <c r="D16" i="20" s="1"/>
  <c r="D44" i="20"/>
  <c r="F23" i="20"/>
  <c r="E9" i="19"/>
  <c r="F9" i="19" s="1"/>
  <c r="H8" i="19"/>
  <c r="M12" i="19"/>
  <c r="N12" i="19" s="1"/>
  <c r="P11" i="19"/>
  <c r="H7" i="19"/>
  <c r="M20" i="17"/>
  <c r="N14" i="17"/>
  <c r="K63" i="17"/>
  <c r="K64" i="17"/>
  <c r="N43" i="17"/>
  <c r="N48" i="17"/>
  <c r="N49" i="17" s="1"/>
  <c r="N50" i="17" s="1"/>
  <c r="K65" i="17"/>
  <c r="S7" i="17"/>
  <c r="S8" i="17" s="1"/>
  <c r="K62" i="17"/>
  <c r="G20" i="17"/>
  <c r="H14" i="17"/>
  <c r="T32" i="17"/>
  <c r="T47" i="17"/>
  <c r="H7" i="17"/>
  <c r="H8" i="17" s="1"/>
  <c r="G32" i="17"/>
  <c r="N41" i="17"/>
  <c r="N42" i="17" s="1"/>
  <c r="H47" i="17"/>
  <c r="J16" i="17"/>
  <c r="J18" i="17" s="1"/>
  <c r="AA32" i="17"/>
  <c r="AA47" i="17"/>
  <c r="N32" i="17"/>
  <c r="D11" i="16"/>
  <c r="C10" i="16"/>
  <c r="D10" i="16" s="1"/>
  <c r="G18" i="16"/>
  <c r="C12" i="16"/>
  <c r="J10" i="16"/>
  <c r="K10" i="16" s="1"/>
  <c r="I13" i="15"/>
  <c r="I14" i="15" s="1"/>
  <c r="M31" i="15"/>
  <c r="C32" i="15"/>
  <c r="D32" i="15" s="1"/>
  <c r="C29" i="15" s="1"/>
  <c r="G24" i="15" s="1"/>
  <c r="M15" i="15"/>
  <c r="M17" i="15" s="1"/>
  <c r="N12" i="15" s="1"/>
  <c r="C14" i="15"/>
  <c r="C15" i="15" s="1"/>
  <c r="C17" i="15" s="1"/>
  <c r="D12" i="15" s="1"/>
  <c r="C50" i="15"/>
  <c r="Q106" i="14"/>
  <c r="X17" i="14"/>
  <c r="Y11" i="14" s="1"/>
  <c r="Y15" i="14" s="1"/>
  <c r="D19" i="14"/>
  <c r="E20" i="14"/>
  <c r="X34" i="14"/>
  <c r="R89" i="14"/>
  <c r="R91" i="14" s="1"/>
  <c r="P95" i="14" s="1"/>
  <c r="S95" i="14" s="1"/>
  <c r="B24" i="14"/>
  <c r="B34" i="14" s="1"/>
  <c r="B25" i="14"/>
  <c r="B35" i="14" s="1"/>
  <c r="B26" i="14"/>
  <c r="B36" i="14" s="1"/>
  <c r="M34" i="14"/>
  <c r="M29" i="14" s="1"/>
  <c r="C24" i="14"/>
  <c r="D24" i="14"/>
  <c r="D34" i="14" s="1"/>
  <c r="D25" i="14"/>
  <c r="D35" i="14" s="1"/>
  <c r="D26" i="14"/>
  <c r="D36" i="14" s="1"/>
  <c r="T25" i="14"/>
  <c r="T26" i="14"/>
  <c r="M90" i="14"/>
  <c r="C26" i="14"/>
  <c r="M17" i="14"/>
  <c r="N11" i="14" s="1"/>
  <c r="N15" i="14" s="1"/>
  <c r="N17" i="14" s="1"/>
  <c r="O11" i="14" s="1"/>
  <c r="O15" i="14" s="1"/>
  <c r="O17" i="14" s="1"/>
  <c r="E21" i="14"/>
  <c r="C25" i="14"/>
  <c r="E49" i="14"/>
  <c r="E64" i="14" s="1"/>
  <c r="E26" i="14"/>
  <c r="E36" i="14" s="1"/>
  <c r="U27" i="14"/>
  <c r="M68" i="14"/>
  <c r="N78" i="14" s="1"/>
  <c r="P86" i="14"/>
  <c r="P89" i="14" s="1"/>
  <c r="P90" i="14"/>
  <c r="E25" i="14"/>
  <c r="E35" i="14" s="1"/>
  <c r="F26" i="14"/>
  <c r="F36" i="14" s="1"/>
  <c r="V27" i="14"/>
  <c r="N65" i="14"/>
  <c r="M88" i="14"/>
  <c r="M89" i="14" s="1"/>
  <c r="Q90" i="14"/>
  <c r="S17" i="14"/>
  <c r="T11" i="14" s="1"/>
  <c r="T15" i="14" s="1"/>
  <c r="F25" i="14"/>
  <c r="F35" i="14" s="1"/>
  <c r="F37" i="14" s="1"/>
  <c r="F39" i="14" s="1"/>
  <c r="N88" i="14"/>
  <c r="N89" i="14" s="1"/>
  <c r="N91" i="14" s="1"/>
  <c r="P97" i="14" s="1"/>
  <c r="S97" i="14" s="1"/>
  <c r="E78" i="13"/>
  <c r="B85" i="13" s="1"/>
  <c r="K13" i="13"/>
  <c r="J13" i="13"/>
  <c r="I13" i="13"/>
  <c r="K22" i="13"/>
  <c r="J14" i="13" s="1"/>
  <c r="E79" i="13"/>
  <c r="B86" i="13" s="1"/>
  <c r="E77" i="13"/>
  <c r="B84" i="13" s="1"/>
  <c r="F84" i="13"/>
  <c r="F86" i="13"/>
  <c r="Q11" i="13"/>
  <c r="E6" i="12"/>
  <c r="B13" i="12" s="1"/>
  <c r="D5" i="12"/>
  <c r="E7" i="12"/>
  <c r="B14" i="12" s="1"/>
  <c r="H9" i="11"/>
  <c r="K13" i="11"/>
  <c r="M13" i="11" s="1"/>
  <c r="H10" i="11"/>
  <c r="F9" i="11"/>
  <c r="F8" i="11" s="1"/>
  <c r="F7" i="11" s="1"/>
  <c r="F6" i="11" s="1"/>
  <c r="R14" i="11"/>
  <c r="K12" i="11"/>
  <c r="M12" i="11" s="1"/>
  <c r="P12" i="11" s="1"/>
  <c r="H8" i="11"/>
  <c r="O12" i="11"/>
  <c r="Q12" i="11" s="1"/>
  <c r="H11" i="11"/>
  <c r="C32" i="11"/>
  <c r="N52" i="10"/>
  <c r="T14" i="10"/>
  <c r="C30" i="10"/>
  <c r="B30" i="10"/>
  <c r="N54" i="10"/>
  <c r="N48" i="10"/>
  <c r="L6" i="10"/>
  <c r="I6" i="10"/>
  <c r="E3" i="10"/>
  <c r="B33" i="10" s="1"/>
  <c r="M59" i="10"/>
  <c r="M62" i="10" s="1"/>
  <c r="L59" i="10"/>
  <c r="L62" i="10" s="1"/>
  <c r="K59" i="10"/>
  <c r="K62" i="10" s="1"/>
  <c r="I62" i="10"/>
  <c r="J59" i="10"/>
  <c r="J62" i="10" s="1"/>
  <c r="N53" i="10"/>
  <c r="B31" i="10"/>
  <c r="L55" i="10"/>
  <c r="T8" i="10"/>
  <c r="T10" i="10" s="1"/>
  <c r="E14" i="10"/>
  <c r="D23" i="10"/>
  <c r="E23" i="10" s="1"/>
  <c r="B39" i="9"/>
  <c r="C39" i="9" s="1"/>
  <c r="C38" i="9"/>
  <c r="I51" i="9"/>
  <c r="C45" i="9"/>
  <c r="C46" i="9" s="1"/>
  <c r="I53" i="9"/>
  <c r="D45" i="9"/>
  <c r="I55" i="9"/>
  <c r="E45" i="9"/>
  <c r="B21" i="9"/>
  <c r="F18" i="9"/>
  <c r="F19" i="9" s="1"/>
  <c r="C21" i="9"/>
  <c r="B19" i="9"/>
  <c r="B20" i="9" s="1"/>
  <c r="I20" i="8"/>
  <c r="J15" i="8" s="1"/>
  <c r="J16" i="8" s="1"/>
  <c r="H20" i="8"/>
  <c r="I15" i="8" s="1"/>
  <c r="J20" i="8"/>
  <c r="K15" i="8" s="1"/>
  <c r="K16" i="8" s="1"/>
  <c r="I18" i="8"/>
  <c r="B24" i="8"/>
  <c r="C17" i="7"/>
  <c r="C18" i="7" s="1"/>
  <c r="I15" i="7"/>
  <c r="B42" i="7"/>
  <c r="C19" i="7"/>
  <c r="J19" i="7"/>
  <c r="K19" i="7"/>
  <c r="C15" i="6"/>
  <c r="B41" i="6"/>
  <c r="I17" i="6"/>
  <c r="I19" i="6" s="1"/>
  <c r="J14" i="6" s="1"/>
  <c r="K18" i="6"/>
  <c r="C31" i="5"/>
  <c r="C32" i="5" s="1"/>
  <c r="B15" i="5"/>
  <c r="B12" i="5"/>
  <c r="B13" i="5" s="1"/>
  <c r="L37" i="5"/>
  <c r="M33" i="5"/>
  <c r="D37" i="5"/>
  <c r="E33" i="5"/>
  <c r="M37" i="5"/>
  <c r="N33" i="5"/>
  <c r="E37" i="5"/>
  <c r="F33" i="5"/>
  <c r="B16" i="5"/>
  <c r="F16" i="5" s="1"/>
  <c r="I18" i="5" s="1"/>
  <c r="C33" i="5"/>
  <c r="B37" i="5"/>
  <c r="B38" i="5" s="1"/>
  <c r="B39" i="5" s="1"/>
  <c r="D33" i="5"/>
  <c r="C37" i="5"/>
  <c r="G5" i="5"/>
  <c r="I16" i="5" s="1"/>
  <c r="K33" i="5"/>
  <c r="K34" i="5" s="1"/>
  <c r="L29" i="5" s="1"/>
  <c r="L33" i="5"/>
  <c r="D10" i="4"/>
  <c r="D12" i="4" s="1"/>
  <c r="C10" i="4"/>
  <c r="C12" i="4" s="1"/>
  <c r="B10" i="4"/>
  <c r="C26" i="4"/>
  <c r="B19" i="4"/>
  <c r="B48" i="4"/>
  <c r="B63" i="4"/>
  <c r="B47" i="4"/>
  <c r="E10" i="3"/>
  <c r="E12" i="3" s="1"/>
  <c r="B13" i="3"/>
  <c r="B15" i="3" s="1"/>
  <c r="G10" i="3"/>
  <c r="G12" i="3" s="1"/>
  <c r="B29" i="3"/>
  <c r="C29" i="3" s="1"/>
  <c r="D10" i="2"/>
  <c r="D12" i="2" s="1"/>
  <c r="G30" i="2"/>
  <c r="C10" i="2"/>
  <c r="B10" i="2"/>
  <c r="C25" i="2"/>
  <c r="B51" i="2"/>
  <c r="C46" i="2" s="1"/>
  <c r="B54" i="2"/>
  <c r="B64" i="2"/>
  <c r="N44" i="17" l="1"/>
  <c r="L10" i="16"/>
  <c r="L11" i="16" s="1"/>
  <c r="C21" i="13"/>
  <c r="H7" i="11"/>
  <c r="E37" i="14"/>
  <c r="E39" i="14" s="1"/>
  <c r="O89" i="14"/>
  <c r="AB33" i="28"/>
  <c r="AA34" i="28" s="1"/>
  <c r="AB34" i="28" s="1"/>
  <c r="AI34" i="28" s="1"/>
  <c r="AK34" i="28" s="1"/>
  <c r="X33" i="28"/>
  <c r="W33" i="28" s="1"/>
  <c r="J33" i="28"/>
  <c r="F33" i="28"/>
  <c r="E33" i="28" s="1"/>
  <c r="AH31" i="28"/>
  <c r="AG31" i="28" s="1"/>
  <c r="AD31" i="28" s="1"/>
  <c r="AC31" i="28" s="1"/>
  <c r="L31" i="28"/>
  <c r="K31" i="28" s="1"/>
  <c r="V35" i="28"/>
  <c r="U35" i="28" s="1"/>
  <c r="R35" i="28" s="1"/>
  <c r="Q35" i="28" s="1"/>
  <c r="AB35" i="28"/>
  <c r="U36" i="28" s="1"/>
  <c r="AB27" i="28"/>
  <c r="AA27" i="28" s="1"/>
  <c r="P28" i="28"/>
  <c r="O28" i="28" s="1"/>
  <c r="L25" i="26"/>
  <c r="M25" i="26" s="1"/>
  <c r="N25" i="26" s="1"/>
  <c r="O25" i="26" s="1"/>
  <c r="N26" i="26" s="1"/>
  <c r="O26" i="26" s="1"/>
  <c r="L27" i="26" s="1"/>
  <c r="M27" i="26" s="1"/>
  <c r="J35" i="26"/>
  <c r="K35" i="26" s="1"/>
  <c r="H36" i="26" s="1"/>
  <c r="I36" i="26" s="1"/>
  <c r="J36" i="26" s="1"/>
  <c r="K36" i="26" s="1"/>
  <c r="J37" i="26" s="1"/>
  <c r="K37" i="26" s="1"/>
  <c r="H38" i="26" s="1"/>
  <c r="I38" i="26" s="1"/>
  <c r="J38" i="26" s="1"/>
  <c r="K38" i="26" s="1"/>
  <c r="J39" i="26" s="1"/>
  <c r="K39" i="26" s="1"/>
  <c r="J28" i="26"/>
  <c r="K28" i="26" s="1"/>
  <c r="H29" i="26" s="1"/>
  <c r="I29" i="26" s="1"/>
  <c r="J29" i="26" s="1"/>
  <c r="K29" i="26" s="1"/>
  <c r="O32" i="25"/>
  <c r="R31" i="25"/>
  <c r="D33" i="25"/>
  <c r="E30" i="25"/>
  <c r="I29" i="25"/>
  <c r="F29" i="25"/>
  <c r="H29" i="25" s="1"/>
  <c r="O44" i="24"/>
  <c r="K44" i="24"/>
  <c r="L44" i="24" s="1"/>
  <c r="V15" i="24"/>
  <c r="Q16" i="24" s="1"/>
  <c r="R16" i="24" s="1"/>
  <c r="U16" i="24" s="1"/>
  <c r="T15" i="24"/>
  <c r="S15" i="24"/>
  <c r="N16" i="24"/>
  <c r="P16" i="24"/>
  <c r="K54" i="24"/>
  <c r="L54" i="24" s="1"/>
  <c r="O54" i="24" s="1"/>
  <c r="AD47" i="24"/>
  <c r="U4" i="24"/>
  <c r="V4" i="24" s="1"/>
  <c r="K5" i="24"/>
  <c r="L5" i="24" s="1"/>
  <c r="O5" i="24" s="1"/>
  <c r="V31" i="24"/>
  <c r="AC25" i="24"/>
  <c r="H5" i="24"/>
  <c r="J5" i="24"/>
  <c r="E6" i="24" s="1"/>
  <c r="F6" i="24" s="1"/>
  <c r="I6" i="24" s="1"/>
  <c r="V55" i="24"/>
  <c r="N22" i="24"/>
  <c r="L22" i="24"/>
  <c r="K22" i="24" s="1"/>
  <c r="J22" i="24"/>
  <c r="I22" i="24" s="1"/>
  <c r="T33" i="24"/>
  <c r="R33" i="24"/>
  <c r="Q33" i="24" s="1"/>
  <c r="P33" i="24"/>
  <c r="O33" i="24" s="1"/>
  <c r="L32" i="24"/>
  <c r="K32" i="24" s="1"/>
  <c r="P23" i="24"/>
  <c r="O23" i="24" s="1"/>
  <c r="T23" i="24"/>
  <c r="R23" i="24"/>
  <c r="Q23" i="24" s="1"/>
  <c r="T46" i="23"/>
  <c r="N46" i="23"/>
  <c r="M46" i="23" s="1"/>
  <c r="N31" i="23"/>
  <c r="L32" i="23" s="1"/>
  <c r="K31" i="23"/>
  <c r="T30" i="23"/>
  <c r="V29" i="23"/>
  <c r="W29" i="23"/>
  <c r="L29" i="23"/>
  <c r="K29" i="23"/>
  <c r="H29" i="23"/>
  <c r="G29" i="23" s="1"/>
  <c r="F29" i="23" s="1"/>
  <c r="R29" i="23"/>
  <c r="O22" i="23"/>
  <c r="P22" i="23" s="1"/>
  <c r="S22" i="23" s="1"/>
  <c r="V21" i="23"/>
  <c r="U21" i="23"/>
  <c r="N22" i="23"/>
  <c r="I23" i="23" s="1"/>
  <c r="J23" i="23" s="1"/>
  <c r="M23" i="23" s="1"/>
  <c r="K22" i="23"/>
  <c r="F27" i="21"/>
  <c r="J27" i="21" s="1"/>
  <c r="D28" i="21"/>
  <c r="E28" i="21" s="1"/>
  <c r="F16" i="21"/>
  <c r="J16" i="21" s="1"/>
  <c r="D17" i="21"/>
  <c r="E17" i="21" s="1"/>
  <c r="F44" i="20"/>
  <c r="D45" i="20"/>
  <c r="D26" i="20"/>
  <c r="F25" i="20"/>
  <c r="D36" i="20"/>
  <c r="F35" i="20"/>
  <c r="D18" i="19"/>
  <c r="P12" i="19"/>
  <c r="D20" i="19" s="1"/>
  <c r="E20" i="19" s="1"/>
  <c r="H9" i="19"/>
  <c r="E10" i="19"/>
  <c r="F10" i="19" s="1"/>
  <c r="N52" i="17"/>
  <c r="O39" i="17"/>
  <c r="AA48" i="17"/>
  <c r="Z44" i="17" s="1"/>
  <c r="AA40" i="17" s="1"/>
  <c r="AA41" i="17" s="1"/>
  <c r="AA42" i="17"/>
  <c r="T48" i="17"/>
  <c r="S44" i="17" s="1"/>
  <c r="T40" i="17" s="1"/>
  <c r="T41" i="17" s="1"/>
  <c r="T42" i="17"/>
  <c r="AA33" i="17"/>
  <c r="Z29" i="17" s="1"/>
  <c r="AA25" i="17" s="1"/>
  <c r="AA26" i="17" s="1"/>
  <c r="AA27" i="17"/>
  <c r="T33" i="17"/>
  <c r="S29" i="17" s="1"/>
  <c r="U25" i="17" s="1"/>
  <c r="U26" i="17" s="1"/>
  <c r="U28" i="17" s="1"/>
  <c r="U27" i="17"/>
  <c r="J20" i="17"/>
  <c r="K14" i="17"/>
  <c r="H15" i="17"/>
  <c r="H48" i="17"/>
  <c r="G44" i="17" s="1"/>
  <c r="H40" i="17" s="1"/>
  <c r="H41" i="17" s="1"/>
  <c r="H43" i="17" s="1"/>
  <c r="H42" i="17"/>
  <c r="G33" i="17"/>
  <c r="G29" i="17" s="1"/>
  <c r="H25" i="17" s="1"/>
  <c r="H26" i="17" s="1"/>
  <c r="H27" i="17"/>
  <c r="G69" i="17"/>
  <c r="N15" i="17"/>
  <c r="N16" i="17" s="1"/>
  <c r="N18" i="17" s="1"/>
  <c r="N33" i="17"/>
  <c r="N27" i="17"/>
  <c r="N28" i="17" s="1"/>
  <c r="F19" i="16"/>
  <c r="G19" i="16" s="1"/>
  <c r="H18" i="16"/>
  <c r="I18" i="16" s="1"/>
  <c r="J18" i="16" s="1"/>
  <c r="K18" i="16" s="1"/>
  <c r="L18" i="16" s="1"/>
  <c r="M18" i="16" s="1"/>
  <c r="N18" i="16" s="1"/>
  <c r="O18" i="16" s="1"/>
  <c r="C23" i="16"/>
  <c r="C25" i="16"/>
  <c r="C24" i="16"/>
  <c r="E4" i="15"/>
  <c r="E5" i="15" s="1"/>
  <c r="E6" i="15" s="1"/>
  <c r="D13" i="15"/>
  <c r="G25" i="15"/>
  <c r="G26" i="15" s="1"/>
  <c r="G28" i="15" s="1"/>
  <c r="H23" i="15" s="1"/>
  <c r="C51" i="15"/>
  <c r="D51" i="15" s="1"/>
  <c r="C48" i="15" s="1"/>
  <c r="E43" i="15" s="1"/>
  <c r="E46" i="15"/>
  <c r="M32" i="15"/>
  <c r="N32" i="15" s="1"/>
  <c r="M29" i="15" s="1"/>
  <c r="N24" i="15" s="1"/>
  <c r="N27" i="15"/>
  <c r="I15" i="15"/>
  <c r="I17" i="15" s="1"/>
  <c r="J12" i="15" s="1"/>
  <c r="N13" i="15"/>
  <c r="T17" i="14"/>
  <c r="U11" i="14" s="1"/>
  <c r="U15" i="14" s="1"/>
  <c r="V66" i="14" s="1"/>
  <c r="X66" i="14" s="1"/>
  <c r="T16" i="14"/>
  <c r="R105" i="14" s="1"/>
  <c r="V65" i="14"/>
  <c r="X65" i="14" s="1"/>
  <c r="B49" i="14"/>
  <c r="B45" i="14"/>
  <c r="B46" i="14" s="1"/>
  <c r="C34" i="14"/>
  <c r="D45" i="14"/>
  <c r="D46" i="14" s="1"/>
  <c r="D49" i="14"/>
  <c r="C36" i="14"/>
  <c r="D37" i="14"/>
  <c r="D39" i="14" s="1"/>
  <c r="O23" i="14"/>
  <c r="AB33" i="14"/>
  <c r="AB34" i="14" s="1"/>
  <c r="AB35" i="14" s="1"/>
  <c r="Y37" i="14" s="1"/>
  <c r="E19" i="14"/>
  <c r="D18" i="14"/>
  <c r="P91" i="14"/>
  <c r="P99" i="14" s="1"/>
  <c r="S99" i="14" s="1"/>
  <c r="S101" i="14" s="1"/>
  <c r="W106" i="14" s="1"/>
  <c r="C45" i="14"/>
  <c r="C46" i="14" s="1"/>
  <c r="C35" i="14"/>
  <c r="C49" i="14"/>
  <c r="T28" i="14"/>
  <c r="U22" i="14" s="1"/>
  <c r="Y16" i="14"/>
  <c r="R106" i="14" s="1"/>
  <c r="B37" i="14"/>
  <c r="B39" i="14" s="1"/>
  <c r="J15" i="13"/>
  <c r="L34" i="13"/>
  <c r="K15" i="13"/>
  <c r="O10" i="13" s="1"/>
  <c r="P10" i="13" s="1"/>
  <c r="M34" i="13"/>
  <c r="D86" i="13"/>
  <c r="F87" i="13"/>
  <c r="O20" i="13" s="1"/>
  <c r="I15" i="13"/>
  <c r="I16" i="13" s="1"/>
  <c r="K34" i="13"/>
  <c r="E14" i="12"/>
  <c r="E5" i="12"/>
  <c r="B12" i="12" s="1"/>
  <c r="D4" i="12"/>
  <c r="E13" i="12"/>
  <c r="K10" i="11"/>
  <c r="M10" i="11" s="1"/>
  <c r="K8" i="11"/>
  <c r="M8" i="11" s="1"/>
  <c r="O13" i="11"/>
  <c r="Q13" i="11" s="1"/>
  <c r="Q14" i="11" s="1"/>
  <c r="P13" i="11"/>
  <c r="K9" i="11"/>
  <c r="M9" i="11" s="1"/>
  <c r="K11" i="11"/>
  <c r="M11" i="11" s="1"/>
  <c r="K7" i="11"/>
  <c r="M7" i="11" s="1"/>
  <c r="H6" i="11"/>
  <c r="F5" i="11"/>
  <c r="N45" i="10"/>
  <c r="N51" i="10"/>
  <c r="N46" i="10"/>
  <c r="I24" i="10"/>
  <c r="I7" i="10"/>
  <c r="N24" i="10"/>
  <c r="L8" i="10"/>
  <c r="L10" i="10" s="1"/>
  <c r="M5" i="10" s="1"/>
  <c r="L7" i="10"/>
  <c r="N47" i="10"/>
  <c r="C32" i="10"/>
  <c r="B32" i="10"/>
  <c r="C56" i="9"/>
  <c r="I52" i="9"/>
  <c r="B58" i="9" s="1"/>
  <c r="C53" i="9" s="1"/>
  <c r="B31" i="9"/>
  <c r="I42" i="9"/>
  <c r="E56" i="9"/>
  <c r="D27" i="9"/>
  <c r="D28" i="9" s="1"/>
  <c r="C27" i="9"/>
  <c r="C28" i="9" s="1"/>
  <c r="B27" i="9"/>
  <c r="B22" i="9"/>
  <c r="C17" i="9" s="1"/>
  <c r="D56" i="9"/>
  <c r="F20" i="9"/>
  <c r="F22" i="9" s="1"/>
  <c r="G17" i="9" s="1"/>
  <c r="D21" i="8"/>
  <c r="C21" i="8"/>
  <c r="B21" i="8"/>
  <c r="I16" i="8"/>
  <c r="I17" i="8" s="1"/>
  <c r="I19" i="8" s="1"/>
  <c r="J14" i="8" s="1"/>
  <c r="J17" i="8" s="1"/>
  <c r="J19" i="8" s="1"/>
  <c r="K14" i="8" s="1"/>
  <c r="K17" i="8" s="1"/>
  <c r="K19" i="8" s="1"/>
  <c r="D38" i="7"/>
  <c r="I17" i="7"/>
  <c r="I16" i="7"/>
  <c r="C20" i="7"/>
  <c r="D14" i="7" s="1"/>
  <c r="J17" i="6"/>
  <c r="J19" i="6" s="1"/>
  <c r="K14" i="6" s="1"/>
  <c r="H25" i="6"/>
  <c r="B42" i="6"/>
  <c r="B39" i="6" s="1"/>
  <c r="C34" i="6" s="1"/>
  <c r="C37" i="6"/>
  <c r="C16" i="6"/>
  <c r="C17" i="6" s="1"/>
  <c r="C19" i="6" s="1"/>
  <c r="D14" i="6" s="1"/>
  <c r="L31" i="5"/>
  <c r="L32" i="5" s="1"/>
  <c r="K38" i="5"/>
  <c r="K39" i="5" s="1"/>
  <c r="C34" i="5"/>
  <c r="D29" i="5" s="1"/>
  <c r="B53" i="4"/>
  <c r="B50" i="4"/>
  <c r="C45" i="4" s="1"/>
  <c r="G29" i="4"/>
  <c r="C20" i="4"/>
  <c r="B12" i="4"/>
  <c r="B13" i="4" s="1"/>
  <c r="B64" i="4"/>
  <c r="C62" i="4"/>
  <c r="E25" i="4"/>
  <c r="B18" i="3"/>
  <c r="B23" i="3" s="1"/>
  <c r="C9" i="3"/>
  <c r="C13" i="3" s="1"/>
  <c r="C15" i="3" s="1"/>
  <c r="B65" i="2"/>
  <c r="C63" i="2"/>
  <c r="B19" i="2"/>
  <c r="B21" i="2"/>
  <c r="B12" i="2"/>
  <c r="B13" i="2" s="1"/>
  <c r="C47" i="2"/>
  <c r="G32" i="2"/>
  <c r="G31" i="2"/>
  <c r="C26" i="16" l="1"/>
  <c r="D50" i="14"/>
  <c r="D51" i="14" s="1"/>
  <c r="C37" i="14"/>
  <c r="C39" i="14" s="1"/>
  <c r="AA43" i="17"/>
  <c r="Y17" i="14"/>
  <c r="Z11" i="14" s="1"/>
  <c r="Z15" i="14" s="1"/>
  <c r="N27" i="26"/>
  <c r="O27" i="26" s="1"/>
  <c r="N28" i="26" s="1"/>
  <c r="O28" i="26" s="1"/>
  <c r="L29" i="26" s="1"/>
  <c r="M29" i="26" s="1"/>
  <c r="C13" i="13"/>
  <c r="B13" i="13"/>
  <c r="D13" i="13"/>
  <c r="I18" i="7"/>
  <c r="I20" i="7" s="1"/>
  <c r="J14" i="7" s="1"/>
  <c r="H28" i="17"/>
  <c r="AA28" i="17"/>
  <c r="V36" i="28"/>
  <c r="U37" i="28" s="1"/>
  <c r="V37" i="28" s="1"/>
  <c r="AA37" i="28" s="1"/>
  <c r="AB37" i="28" s="1"/>
  <c r="U38" i="28" s="1"/>
  <c r="V38" i="28" s="1"/>
  <c r="AI38" i="28" s="1"/>
  <c r="AK38" i="28" s="1"/>
  <c r="AK39" i="28" s="1"/>
  <c r="R36" i="28"/>
  <c r="Q36" i="28" s="1"/>
  <c r="I34" i="28"/>
  <c r="J34" i="28" s="1"/>
  <c r="P34" i="28"/>
  <c r="O34" i="28" s="1"/>
  <c r="X27" i="28"/>
  <c r="W27" i="28" s="1"/>
  <c r="P27" i="28"/>
  <c r="O27" i="28" s="1"/>
  <c r="L27" i="28" s="1"/>
  <c r="K27" i="28" s="1"/>
  <c r="N29" i="26"/>
  <c r="O29" i="26" s="1"/>
  <c r="N30" i="26" s="1"/>
  <c r="O30" i="26" s="1"/>
  <c r="J30" i="26"/>
  <c r="K30" i="26" s="1"/>
  <c r="D30" i="25"/>
  <c r="P32" i="25"/>
  <c r="O33" i="25" s="1"/>
  <c r="J33" i="25"/>
  <c r="N32" i="25"/>
  <c r="K32" i="25"/>
  <c r="M32" i="25" s="1"/>
  <c r="P54" i="24"/>
  <c r="N54" i="24"/>
  <c r="L33" i="24"/>
  <c r="K33" i="24" s="1"/>
  <c r="N33" i="24"/>
  <c r="J6" i="24"/>
  <c r="H6" i="24"/>
  <c r="AA26" i="24"/>
  <c r="AD25" i="24"/>
  <c r="H22" i="24"/>
  <c r="F22" i="24"/>
  <c r="E22" i="24" s="1"/>
  <c r="U31" i="24"/>
  <c r="T32" i="24"/>
  <c r="N5" i="24"/>
  <c r="M5" i="24"/>
  <c r="P5" i="24"/>
  <c r="K6" i="24" s="1"/>
  <c r="L6" i="24" s="1"/>
  <c r="O6" i="24" s="1"/>
  <c r="T16" i="24"/>
  <c r="S16" i="24"/>
  <c r="V16" i="24"/>
  <c r="N23" i="24"/>
  <c r="L23" i="24"/>
  <c r="K23" i="24" s="1"/>
  <c r="J23" i="24"/>
  <c r="I23" i="24" s="1"/>
  <c r="AB8" i="24"/>
  <c r="AC8" i="24" s="1"/>
  <c r="Q5" i="24"/>
  <c r="R5" i="24" s="1"/>
  <c r="U5" i="24" s="1"/>
  <c r="Y48" i="24"/>
  <c r="Z48" i="24" s="1"/>
  <c r="AC48" i="24" s="1"/>
  <c r="AE47" i="24"/>
  <c r="P44" i="24"/>
  <c r="N44" i="24"/>
  <c r="Q30" i="23"/>
  <c r="P30" i="23" s="1"/>
  <c r="N30" i="23" s="1"/>
  <c r="U30" i="23"/>
  <c r="T31" i="23" s="1"/>
  <c r="T22" i="23"/>
  <c r="Q22" i="23"/>
  <c r="N23" i="23"/>
  <c r="K23" i="23"/>
  <c r="L46" i="23"/>
  <c r="H46" i="23"/>
  <c r="G46" i="23" s="1"/>
  <c r="F46" i="23" s="1"/>
  <c r="U46" i="23"/>
  <c r="R46" i="23"/>
  <c r="D18" i="21"/>
  <c r="E18" i="21" s="1"/>
  <c r="F18" i="21" s="1"/>
  <c r="J18" i="21" s="1"/>
  <c r="J19" i="21" s="1"/>
  <c r="F17" i="21"/>
  <c r="J17" i="21" s="1"/>
  <c r="D29" i="21"/>
  <c r="E29" i="21" s="1"/>
  <c r="F28" i="21"/>
  <c r="J28" i="21" s="1"/>
  <c r="F36" i="20"/>
  <c r="F38" i="20" s="1"/>
  <c r="I35" i="20" s="1"/>
  <c r="D37" i="20"/>
  <c r="F37" i="20" s="1"/>
  <c r="D38" i="20"/>
  <c r="D27" i="20"/>
  <c r="F26" i="20"/>
  <c r="D46" i="20"/>
  <c r="F46" i="20" s="1"/>
  <c r="F45" i="20"/>
  <c r="F47" i="20" s="1"/>
  <c r="I44" i="20" s="1"/>
  <c r="E11" i="19"/>
  <c r="F11" i="19" s="1"/>
  <c r="H10" i="19"/>
  <c r="AA36" i="17"/>
  <c r="AB24" i="17"/>
  <c r="H52" i="17"/>
  <c r="I39" i="17"/>
  <c r="AB32" i="17"/>
  <c r="H16" i="17"/>
  <c r="H18" i="17" s="1"/>
  <c r="T43" i="17"/>
  <c r="K15" i="17"/>
  <c r="I47" i="17" s="1"/>
  <c r="AA52" i="17"/>
  <c r="AB39" i="17"/>
  <c r="AA50" i="17"/>
  <c r="O24" i="17"/>
  <c r="O26" i="17" s="1"/>
  <c r="N36" i="17"/>
  <c r="I24" i="17"/>
  <c r="H36" i="17"/>
  <c r="U36" i="17"/>
  <c r="V24" i="17"/>
  <c r="O41" i="17"/>
  <c r="O42" i="17" s="1"/>
  <c r="N20" i="17"/>
  <c r="O14" i="17"/>
  <c r="U47" i="17"/>
  <c r="F20" i="16"/>
  <c r="G20" i="16" s="1"/>
  <c r="H19" i="16"/>
  <c r="I19" i="16" s="1"/>
  <c r="J19" i="16" s="1"/>
  <c r="K19" i="16" s="1"/>
  <c r="L19" i="16" s="1"/>
  <c r="M19" i="16" s="1"/>
  <c r="N19" i="16" s="1"/>
  <c r="O19" i="16" s="1"/>
  <c r="N14" i="15"/>
  <c r="N15" i="15" s="1"/>
  <c r="N17" i="15" s="1"/>
  <c r="O12" i="15" s="1"/>
  <c r="N25" i="15"/>
  <c r="N26" i="15"/>
  <c r="N28" i="15" s="1"/>
  <c r="O23" i="15" s="1"/>
  <c r="M34" i="15"/>
  <c r="C34" i="15"/>
  <c r="D14" i="15"/>
  <c r="C53" i="15"/>
  <c r="E44" i="15"/>
  <c r="E45" i="15" s="1"/>
  <c r="E47" i="15" s="1"/>
  <c r="F42" i="15" s="1"/>
  <c r="J13" i="15"/>
  <c r="D15" i="15"/>
  <c r="D17" i="15" s="1"/>
  <c r="E12" i="15" s="1"/>
  <c r="E18" i="14"/>
  <c r="D17" i="14"/>
  <c r="E17" i="14" s="1"/>
  <c r="E22" i="14" s="1"/>
  <c r="X29" i="14"/>
  <c r="Z29" i="14"/>
  <c r="Y29" i="14"/>
  <c r="T33" i="14"/>
  <c r="T34" i="14" s="1"/>
  <c r="T29" i="14" s="1"/>
  <c r="O25" i="14"/>
  <c r="O26" i="14"/>
  <c r="Z16" i="14"/>
  <c r="S106" i="14" s="1"/>
  <c r="T106" i="14" s="1"/>
  <c r="V67" i="14"/>
  <c r="X67" i="14" s="1"/>
  <c r="U105" i="14"/>
  <c r="T105" i="14"/>
  <c r="D53" i="14"/>
  <c r="D54" i="14"/>
  <c r="D52" i="14"/>
  <c r="U17" i="14"/>
  <c r="U16" i="14"/>
  <c r="S105" i="14" s="1"/>
  <c r="I18" i="13"/>
  <c r="J12" i="13" s="1"/>
  <c r="J16" i="13" s="1"/>
  <c r="J18" i="13" s="1"/>
  <c r="K12" i="13" s="1"/>
  <c r="K16" i="13" s="1"/>
  <c r="K18" i="13" s="1"/>
  <c r="J8" i="12"/>
  <c r="E4" i="12"/>
  <c r="B11" i="12" s="1"/>
  <c r="P8" i="12"/>
  <c r="E12" i="12"/>
  <c r="P9" i="11"/>
  <c r="O9" i="11"/>
  <c r="F4" i="11"/>
  <c r="H5" i="11"/>
  <c r="K6" i="11"/>
  <c r="M6" i="11" s="1"/>
  <c r="P7" i="11"/>
  <c r="O7" i="11"/>
  <c r="O8" i="11"/>
  <c r="P8" i="11"/>
  <c r="P10" i="11"/>
  <c r="O10" i="11"/>
  <c r="P11" i="11"/>
  <c r="O11" i="11"/>
  <c r="M6" i="10"/>
  <c r="N49" i="10"/>
  <c r="N50" i="10"/>
  <c r="N25" i="10"/>
  <c r="M21" i="10" s="1"/>
  <c r="O19" i="10"/>
  <c r="I8" i="10"/>
  <c r="I25" i="10"/>
  <c r="I21" i="10" s="1"/>
  <c r="J16" i="10" s="1"/>
  <c r="J19" i="10"/>
  <c r="D29" i="9"/>
  <c r="D30" i="9" s="1"/>
  <c r="G18" i="9"/>
  <c r="G19" i="9" s="1"/>
  <c r="I43" i="9"/>
  <c r="C47" i="9"/>
  <c r="C48" i="9" s="1"/>
  <c r="D43" i="9" s="1"/>
  <c r="D46" i="9" s="1"/>
  <c r="B25" i="9"/>
  <c r="C54" i="9"/>
  <c r="C55" i="9" s="1"/>
  <c r="C57" i="9" s="1"/>
  <c r="D52" i="9" s="1"/>
  <c r="B26" i="9"/>
  <c r="B28" i="9"/>
  <c r="C18" i="9"/>
  <c r="C29" i="9"/>
  <c r="C30" i="9"/>
  <c r="C15" i="8"/>
  <c r="B39" i="8"/>
  <c r="D15" i="8"/>
  <c r="D16" i="8" s="1"/>
  <c r="C39" i="8"/>
  <c r="D35" i="8" s="1"/>
  <c r="E15" i="8"/>
  <c r="E16" i="8" s="1"/>
  <c r="D39" i="8"/>
  <c r="E35" i="8" s="1"/>
  <c r="H26" i="7"/>
  <c r="I26" i="7" s="1"/>
  <c r="I21" i="7" s="1"/>
  <c r="B26" i="7"/>
  <c r="C26" i="7" s="1"/>
  <c r="D26" i="7" s="1"/>
  <c r="C21" i="7" s="1"/>
  <c r="D15" i="7" s="1"/>
  <c r="D17" i="7" s="1"/>
  <c r="B25" i="6"/>
  <c r="C20" i="6" s="1"/>
  <c r="C35" i="6"/>
  <c r="C36" i="6" s="1"/>
  <c r="C38" i="6" s="1"/>
  <c r="D33" i="6" s="1"/>
  <c r="K17" i="6"/>
  <c r="K19" i="6" s="1"/>
  <c r="H27" i="6"/>
  <c r="L34" i="5"/>
  <c r="M29" i="5" s="1"/>
  <c r="D31" i="5"/>
  <c r="D32" i="5" s="1"/>
  <c r="C38" i="5"/>
  <c r="C39" i="5" s="1"/>
  <c r="B18" i="4"/>
  <c r="B23" i="4" s="1"/>
  <c r="B15" i="4"/>
  <c r="C9" i="4" s="1"/>
  <c r="C13" i="4" s="1"/>
  <c r="C61" i="4"/>
  <c r="B56" i="4"/>
  <c r="B54" i="4" s="1"/>
  <c r="B58" i="4" s="1"/>
  <c r="G30" i="4"/>
  <c r="G31" i="4" s="1"/>
  <c r="C46" i="4"/>
  <c r="D9" i="3"/>
  <c r="D13" i="3" s="1"/>
  <c r="D15" i="3" s="1"/>
  <c r="C18" i="3"/>
  <c r="C23" i="3" s="1"/>
  <c r="B18" i="2"/>
  <c r="B23" i="2" s="1"/>
  <c r="B15" i="2"/>
  <c r="C9" i="2" s="1"/>
  <c r="D21" i="2"/>
  <c r="C21" i="2"/>
  <c r="C48" i="2"/>
  <c r="C49" i="2" s="1"/>
  <c r="C64" i="2"/>
  <c r="B57" i="2"/>
  <c r="C62" i="2"/>
  <c r="B55" i="2"/>
  <c r="B45" i="13" l="1"/>
  <c r="E39" i="13" s="1"/>
  <c r="M35" i="13"/>
  <c r="M38" i="13" s="1"/>
  <c r="D15" i="13"/>
  <c r="O9" i="13" s="1"/>
  <c r="B16" i="13"/>
  <c r="B43" i="13"/>
  <c r="O17" i="13"/>
  <c r="O18" i="13" s="1"/>
  <c r="K35" i="13"/>
  <c r="B15" i="13"/>
  <c r="B44" i="13"/>
  <c r="D39" i="13" s="1"/>
  <c r="L35" i="13"/>
  <c r="C15" i="13"/>
  <c r="K46" i="23"/>
  <c r="E34" i="25"/>
  <c r="I33" i="25"/>
  <c r="F33" i="25"/>
  <c r="H33" i="25" s="1"/>
  <c r="J34" i="25"/>
  <c r="N33" i="25"/>
  <c r="K33" i="25"/>
  <c r="M33" i="25" s="1"/>
  <c r="P33" i="25"/>
  <c r="N6" i="24"/>
  <c r="M6" i="24"/>
  <c r="P6" i="24"/>
  <c r="F23" i="24"/>
  <c r="E23" i="24" s="1"/>
  <c r="H23" i="24"/>
  <c r="AB48" i="24"/>
  <c r="AD48" i="24"/>
  <c r="X9" i="24"/>
  <c r="Y9" i="24" s="1"/>
  <c r="AB9" i="24" s="1"/>
  <c r="AD8" i="24"/>
  <c r="Q44" i="24"/>
  <c r="R44" i="24" s="1"/>
  <c r="U44" i="24"/>
  <c r="R31" i="24"/>
  <c r="Q31" i="24" s="1"/>
  <c r="P31" i="24"/>
  <c r="V5" i="24"/>
  <c r="Q6" i="24" s="1"/>
  <c r="R6" i="24" s="1"/>
  <c r="U6" i="24" s="1"/>
  <c r="T5" i="24"/>
  <c r="S5" i="24"/>
  <c r="U54" i="24"/>
  <c r="Q54" i="24"/>
  <c r="R54" i="24" s="1"/>
  <c r="N55" i="24"/>
  <c r="O23" i="23"/>
  <c r="P23" i="23" s="1"/>
  <c r="S23" i="23" s="1"/>
  <c r="V22" i="23"/>
  <c r="U22" i="23"/>
  <c r="R31" i="23"/>
  <c r="U31" i="23"/>
  <c r="M30" i="23"/>
  <c r="L31" i="23"/>
  <c r="W46" i="23"/>
  <c r="T47" i="23"/>
  <c r="V46" i="23"/>
  <c r="N47" i="23"/>
  <c r="M47" i="23" s="1"/>
  <c r="R30" i="23"/>
  <c r="F29" i="21"/>
  <c r="J29" i="21" s="1"/>
  <c r="D30" i="21"/>
  <c r="E30" i="21" s="1"/>
  <c r="F30" i="21" s="1"/>
  <c r="J30" i="21" s="1"/>
  <c r="J31" i="21" s="1"/>
  <c r="F28" i="20"/>
  <c r="I25" i="20" s="1"/>
  <c r="F27" i="20"/>
  <c r="D28" i="20"/>
  <c r="I32" i="20"/>
  <c r="I33" i="20"/>
  <c r="I34" i="20" s="1"/>
  <c r="D47" i="20"/>
  <c r="H11" i="19"/>
  <c r="E12" i="19"/>
  <c r="F12" i="19" s="1"/>
  <c r="I48" i="17"/>
  <c r="H44" i="17" s="1"/>
  <c r="I40" i="17" s="1"/>
  <c r="I41" i="17" s="1"/>
  <c r="I43" i="17" s="1"/>
  <c r="I42" i="17"/>
  <c r="AB47" i="17"/>
  <c r="H69" i="17"/>
  <c r="K69" i="17" s="1"/>
  <c r="M69" i="17" s="1"/>
  <c r="N69" i="17" s="1"/>
  <c r="R12" i="17" s="1"/>
  <c r="AB27" i="17"/>
  <c r="AB33" i="17"/>
  <c r="AA29" i="17" s="1"/>
  <c r="AB25" i="17" s="1"/>
  <c r="AB26" i="17" s="1"/>
  <c r="AB28" i="17" s="1"/>
  <c r="K16" i="17"/>
  <c r="K18" i="17" s="1"/>
  <c r="O32" i="17"/>
  <c r="U42" i="17"/>
  <c r="U39" i="17"/>
  <c r="U48" i="17" s="1"/>
  <c r="T44" i="17" s="1"/>
  <c r="U40" i="17" s="1"/>
  <c r="T52" i="17"/>
  <c r="O47" i="17"/>
  <c r="O15" i="17"/>
  <c r="O16" i="17" s="1"/>
  <c r="O18" i="17" s="1"/>
  <c r="O20" i="17" s="1"/>
  <c r="I14" i="17"/>
  <c r="H20" i="17"/>
  <c r="U32" i="17"/>
  <c r="H32" i="17"/>
  <c r="F21" i="16"/>
  <c r="G21" i="16" s="1"/>
  <c r="H20" i="16"/>
  <c r="I20" i="16" s="1"/>
  <c r="J20" i="16" s="1"/>
  <c r="K20" i="16" s="1"/>
  <c r="L20" i="16" s="1"/>
  <c r="M20" i="16" s="1"/>
  <c r="N20" i="16" s="1"/>
  <c r="O20" i="16" s="1"/>
  <c r="M35" i="15"/>
  <c r="N35" i="15" s="1"/>
  <c r="N29" i="15" s="1"/>
  <c r="O24" i="15" s="1"/>
  <c r="O25" i="15" s="1"/>
  <c r="O27" i="15"/>
  <c r="E13" i="15"/>
  <c r="O13" i="15"/>
  <c r="J14" i="15"/>
  <c r="J15" i="15" s="1"/>
  <c r="J17" i="15" s="1"/>
  <c r="M62" i="15"/>
  <c r="F46" i="15"/>
  <c r="C54" i="15"/>
  <c r="D54" i="15" s="1"/>
  <c r="D48" i="15" s="1"/>
  <c r="F43" i="15" s="1"/>
  <c r="F44" i="15"/>
  <c r="H27" i="15"/>
  <c r="C35" i="15"/>
  <c r="D35" i="15" s="1"/>
  <c r="D29" i="15" s="1"/>
  <c r="H24" i="15" s="1"/>
  <c r="T107" i="14"/>
  <c r="W103" i="14" s="1"/>
  <c r="U23" i="14"/>
  <c r="N55" i="14"/>
  <c r="AA23" i="14"/>
  <c r="AA25" i="14" s="1"/>
  <c r="Z17" i="14"/>
  <c r="O55" i="14"/>
  <c r="AB23" i="14"/>
  <c r="AB25" i="14" s="1"/>
  <c r="P68" i="14"/>
  <c r="M55" i="14"/>
  <c r="Z23" i="14"/>
  <c r="G25" i="14"/>
  <c r="G35" i="14" s="1"/>
  <c r="G26" i="14"/>
  <c r="G36" i="14" s="1"/>
  <c r="G24" i="14"/>
  <c r="G34" i="14" s="1"/>
  <c r="O28" i="14"/>
  <c r="P22" i="14" s="1"/>
  <c r="U106" i="14"/>
  <c r="U107" i="14" s="1"/>
  <c r="W104" i="14" s="1"/>
  <c r="N56" i="13"/>
  <c r="B91" i="13"/>
  <c r="C91" i="13" s="1"/>
  <c r="P9" i="12"/>
  <c r="P10" i="12" s="1"/>
  <c r="P12" i="12" s="1"/>
  <c r="Q7" i="12" s="1"/>
  <c r="E11" i="12"/>
  <c r="G13" i="12" s="1"/>
  <c r="P28" i="12"/>
  <c r="J9" i="12"/>
  <c r="B19" i="12" s="1"/>
  <c r="J28" i="12"/>
  <c r="K5" i="11"/>
  <c r="M5" i="11" s="1"/>
  <c r="P6" i="11"/>
  <c r="O6" i="11"/>
  <c r="F3" i="11"/>
  <c r="H4" i="11"/>
  <c r="J17" i="10"/>
  <c r="J18" i="10" s="1"/>
  <c r="M7" i="10"/>
  <c r="M8" i="10" s="1"/>
  <c r="M10" i="10" s="1"/>
  <c r="N5" i="10" s="1"/>
  <c r="I10" i="10"/>
  <c r="J5" i="10" s="1"/>
  <c r="O16" i="10"/>
  <c r="J34" i="10"/>
  <c r="B34" i="9"/>
  <c r="C31" i="9"/>
  <c r="C32" i="9" s="1"/>
  <c r="C19" i="9"/>
  <c r="C20" i="9" s="1"/>
  <c r="I44" i="9"/>
  <c r="I54" i="9"/>
  <c r="C58" i="9" s="1"/>
  <c r="D53" i="9" s="1"/>
  <c r="D54" i="9" s="1"/>
  <c r="B29" i="9"/>
  <c r="B30" i="9" s="1"/>
  <c r="G20" i="9"/>
  <c r="G22" i="9" s="1"/>
  <c r="H17" i="9" s="1"/>
  <c r="B42" i="8"/>
  <c r="B40" i="8"/>
  <c r="C35" i="8"/>
  <c r="C16" i="8"/>
  <c r="C17" i="8"/>
  <c r="D18" i="7"/>
  <c r="D20" i="7" s="1"/>
  <c r="E14" i="7" s="1"/>
  <c r="J15" i="7"/>
  <c r="C42" i="7"/>
  <c r="D15" i="6"/>
  <c r="B43" i="6"/>
  <c r="D34" i="5"/>
  <c r="E29" i="5" s="1"/>
  <c r="M31" i="5"/>
  <c r="M32" i="5" s="1"/>
  <c r="L38" i="5"/>
  <c r="L39" i="5" s="1"/>
  <c r="C47" i="4"/>
  <c r="C48" i="4" s="1"/>
  <c r="C63" i="4"/>
  <c r="C15" i="4"/>
  <c r="D9" i="4" s="1"/>
  <c r="D13" i="4" s="1"/>
  <c r="C18" i="4"/>
  <c r="C23" i="4" s="1"/>
  <c r="E9" i="3"/>
  <c r="E13" i="3" s="1"/>
  <c r="E15" i="3" s="1"/>
  <c r="D18" i="3"/>
  <c r="D23" i="3" s="1"/>
  <c r="C51" i="2"/>
  <c r="D46" i="2" s="1"/>
  <c r="C54" i="2"/>
  <c r="C65" i="2"/>
  <c r="D63" i="2"/>
  <c r="B59" i="2"/>
  <c r="G7" i="2"/>
  <c r="G8" i="2" s="1"/>
  <c r="G9" i="2" s="1"/>
  <c r="C11" i="2" s="1"/>
  <c r="P9" i="13" l="1"/>
  <c r="R9" i="13" s="1"/>
  <c r="C79" i="13" s="1"/>
  <c r="C86" i="13"/>
  <c r="C18" i="8"/>
  <c r="C20" i="8" s="1"/>
  <c r="D14" i="8" s="1"/>
  <c r="C39" i="13"/>
  <c r="B46" i="13"/>
  <c r="C46" i="13" s="1"/>
  <c r="F45" i="15"/>
  <c r="F47" i="15" s="1"/>
  <c r="G42" i="15" s="1"/>
  <c r="B18" i="13"/>
  <c r="C12" i="13" s="1"/>
  <c r="C16" i="13" s="1"/>
  <c r="C18" i="13" s="1"/>
  <c r="D12" i="13" s="1"/>
  <c r="D16" i="13" s="1"/>
  <c r="D18" i="13" s="1"/>
  <c r="I34" i="25"/>
  <c r="E35" i="25"/>
  <c r="F34" i="25"/>
  <c r="H34" i="25" s="1"/>
  <c r="N34" i="25"/>
  <c r="R33" i="25"/>
  <c r="D34" i="25"/>
  <c r="AC9" i="24"/>
  <c r="AA9" i="24"/>
  <c r="O31" i="24"/>
  <c r="L31" i="24" s="1"/>
  <c r="K31" i="24" s="1"/>
  <c r="N32" i="24"/>
  <c r="Y49" i="24"/>
  <c r="Z49" i="24" s="1"/>
  <c r="AC49" i="24" s="1"/>
  <c r="X49" i="24"/>
  <c r="AE48" i="24"/>
  <c r="V6" i="24"/>
  <c r="T6" i="24"/>
  <c r="S6" i="24"/>
  <c r="V44" i="24"/>
  <c r="E45" i="24" s="1"/>
  <c r="F45" i="24" s="1"/>
  <c r="I45" i="24" s="1"/>
  <c r="T44" i="24"/>
  <c r="T54" i="24"/>
  <c r="V54" i="24"/>
  <c r="J30" i="23"/>
  <c r="L30" i="23"/>
  <c r="W31" i="23"/>
  <c r="V31" i="23"/>
  <c r="T32" i="23"/>
  <c r="L47" i="23"/>
  <c r="K47" i="23"/>
  <c r="J47" i="23"/>
  <c r="I47" i="23" s="1"/>
  <c r="H47" i="23"/>
  <c r="G47" i="23" s="1"/>
  <c r="Q47" i="23"/>
  <c r="P47" i="23" s="1"/>
  <c r="U47" i="23"/>
  <c r="R47" i="23"/>
  <c r="T23" i="23"/>
  <c r="Q23" i="23"/>
  <c r="S25" i="23" s="1"/>
  <c r="I41" i="20"/>
  <c r="I42" i="20"/>
  <c r="I43" i="20" s="1"/>
  <c r="I22" i="20"/>
  <c r="I23" i="20"/>
  <c r="I24" i="20" s="1"/>
  <c r="H12" i="19"/>
  <c r="D16" i="19" s="1"/>
  <c r="E16" i="19" s="1"/>
  <c r="D14" i="19"/>
  <c r="AB42" i="17"/>
  <c r="AB48" i="17"/>
  <c r="AA44" i="17" s="1"/>
  <c r="AB40" i="17" s="1"/>
  <c r="AB41" i="17" s="1"/>
  <c r="AB36" i="17"/>
  <c r="AC24" i="17"/>
  <c r="V47" i="17"/>
  <c r="G57" i="17"/>
  <c r="K20" i="17"/>
  <c r="L14" i="17"/>
  <c r="H33" i="17"/>
  <c r="H29" i="17" s="1"/>
  <c r="I25" i="17" s="1"/>
  <c r="I26" i="17" s="1"/>
  <c r="I27" i="17"/>
  <c r="O43" i="17"/>
  <c r="O44" i="17" s="1"/>
  <c r="O48" i="17"/>
  <c r="O49" i="17" s="1"/>
  <c r="O50" i="17" s="1"/>
  <c r="U33" i="17"/>
  <c r="T29" i="17" s="1"/>
  <c r="V25" i="17" s="1"/>
  <c r="V26" i="17" s="1"/>
  <c r="V27" i="17"/>
  <c r="I16" i="17"/>
  <c r="I18" i="17" s="1"/>
  <c r="I20" i="17" s="1"/>
  <c r="I15" i="17"/>
  <c r="O33" i="17"/>
  <c r="O27" i="17"/>
  <c r="O28" i="17" s="1"/>
  <c r="I52" i="17"/>
  <c r="J39" i="17"/>
  <c r="U41" i="17"/>
  <c r="U43" i="17" s="1"/>
  <c r="F22" i="16"/>
  <c r="G22" i="16" s="1"/>
  <c r="H21" i="16"/>
  <c r="I21" i="16" s="1"/>
  <c r="J21" i="16" s="1"/>
  <c r="K21" i="16" s="1"/>
  <c r="L21" i="16" s="1"/>
  <c r="M21" i="16" s="1"/>
  <c r="N21" i="16" s="1"/>
  <c r="O21" i="16" s="1"/>
  <c r="O26" i="15"/>
  <c r="O28" i="15" s="1"/>
  <c r="P23" i="15" s="1"/>
  <c r="E14" i="15"/>
  <c r="E15" i="15" s="1"/>
  <c r="E17" i="15" s="1"/>
  <c r="M37" i="15"/>
  <c r="C56" i="15"/>
  <c r="C37" i="15"/>
  <c r="M61" i="15"/>
  <c r="H25" i="15"/>
  <c r="H26" i="15"/>
  <c r="H28" i="15" s="1"/>
  <c r="I23" i="15" s="1"/>
  <c r="O14" i="15"/>
  <c r="O15" i="15" s="1"/>
  <c r="O17" i="15" s="1"/>
  <c r="M63" i="15"/>
  <c r="G37" i="14"/>
  <c r="G39" i="14" s="1"/>
  <c r="P50" i="14"/>
  <c r="O56" i="14"/>
  <c r="O57" i="14" s="1"/>
  <c r="O52" i="14" s="1"/>
  <c r="P46" i="14" s="1"/>
  <c r="W50" i="14"/>
  <c r="V50" i="14"/>
  <c r="O50" i="14"/>
  <c r="U54" i="14"/>
  <c r="U55" i="14" s="1"/>
  <c r="Z25" i="14"/>
  <c r="Z26" i="14" s="1"/>
  <c r="U50" i="14"/>
  <c r="N50" i="14"/>
  <c r="T54" i="14"/>
  <c r="T55" i="14" s="1"/>
  <c r="M56" i="14"/>
  <c r="M57" i="14" s="1"/>
  <c r="M52" i="14" s="1"/>
  <c r="N46" i="14" s="1"/>
  <c r="U25" i="14"/>
  <c r="U26" i="14"/>
  <c r="N33" i="14"/>
  <c r="N34" i="14" s="1"/>
  <c r="N29" i="14" s="1"/>
  <c r="W105" i="14"/>
  <c r="B33" i="12"/>
  <c r="B25" i="12"/>
  <c r="B21" i="12"/>
  <c r="B29" i="12"/>
  <c r="J10" i="12"/>
  <c r="J12" i="12" s="1"/>
  <c r="K7" i="12" s="1"/>
  <c r="P29" i="12"/>
  <c r="P26" i="12" s="1"/>
  <c r="Q21" i="12" s="1"/>
  <c r="Q24" i="12"/>
  <c r="Q8" i="12"/>
  <c r="J29" i="12"/>
  <c r="J26" i="12" s="1"/>
  <c r="K21" i="12" s="1"/>
  <c r="K24" i="12"/>
  <c r="H3" i="11"/>
  <c r="F2" i="11"/>
  <c r="K4" i="11"/>
  <c r="M4" i="11" s="1"/>
  <c r="P5" i="11"/>
  <c r="O5" i="11"/>
  <c r="N6" i="10"/>
  <c r="J20" i="10"/>
  <c r="K15" i="10" s="1"/>
  <c r="J6" i="10"/>
  <c r="O17" i="10"/>
  <c r="O18" i="10" s="1"/>
  <c r="O20" i="10" s="1"/>
  <c r="P15" i="10" s="1"/>
  <c r="D55" i="9"/>
  <c r="D57" i="9" s="1"/>
  <c r="E52" i="9" s="1"/>
  <c r="C22" i="9"/>
  <c r="D17" i="9" s="1"/>
  <c r="C25" i="9"/>
  <c r="C34" i="9" s="1"/>
  <c r="H18" i="9"/>
  <c r="H19" i="9" s="1"/>
  <c r="D47" i="9"/>
  <c r="D48" i="9" s="1"/>
  <c r="E43" i="9" s="1"/>
  <c r="E46" i="9" s="1"/>
  <c r="I45" i="9"/>
  <c r="D17" i="8"/>
  <c r="D18" i="8"/>
  <c r="D20" i="8" s="1"/>
  <c r="E14" i="8" s="1"/>
  <c r="C37" i="8"/>
  <c r="D31" i="8" s="1"/>
  <c r="D33" i="8" s="1"/>
  <c r="D37" i="8"/>
  <c r="E31" i="8" s="1"/>
  <c r="E33" i="8" s="1"/>
  <c r="B43" i="8"/>
  <c r="C32" i="8" s="1"/>
  <c r="B37" i="8"/>
  <c r="C31" i="8" s="1"/>
  <c r="E38" i="7"/>
  <c r="J16" i="7"/>
  <c r="J17" i="7"/>
  <c r="J18" i="7" s="1"/>
  <c r="J20" i="7" s="1"/>
  <c r="K14" i="7" s="1"/>
  <c r="B28" i="7"/>
  <c r="C28" i="7" s="1"/>
  <c r="D28" i="7" s="1"/>
  <c r="D21" i="7" s="1"/>
  <c r="E15" i="7" s="1"/>
  <c r="E17" i="7" s="1"/>
  <c r="B44" i="6"/>
  <c r="C39" i="6" s="1"/>
  <c r="D34" i="6" s="1"/>
  <c r="D37" i="6"/>
  <c r="D16" i="6"/>
  <c r="D17" i="6"/>
  <c r="D19" i="6" s="1"/>
  <c r="E14" i="6" s="1"/>
  <c r="M34" i="5"/>
  <c r="N29" i="5" s="1"/>
  <c r="E31" i="5"/>
  <c r="E32" i="5" s="1"/>
  <c r="D38" i="5"/>
  <c r="D39" i="5" s="1"/>
  <c r="D15" i="4"/>
  <c r="D18" i="4"/>
  <c r="D23" i="4" s="1"/>
  <c r="E23" i="4" s="1"/>
  <c r="C64" i="4"/>
  <c r="D62" i="4"/>
  <c r="C53" i="4"/>
  <c r="C50" i="4"/>
  <c r="D45" i="4" s="1"/>
  <c r="F9" i="3"/>
  <c r="F13" i="3" s="1"/>
  <c r="F15" i="3" s="1"/>
  <c r="E18" i="3"/>
  <c r="E23" i="3" s="1"/>
  <c r="C20" i="2"/>
  <c r="C12" i="2"/>
  <c r="D62" i="2"/>
  <c r="C57" i="2"/>
  <c r="C13" i="2"/>
  <c r="D47" i="2"/>
  <c r="B90" i="13" l="1"/>
  <c r="C90" i="13" s="1"/>
  <c r="D35" i="13"/>
  <c r="B41" i="13"/>
  <c r="D41" i="13"/>
  <c r="D35" i="25"/>
  <c r="T55" i="24"/>
  <c r="X48" i="24"/>
  <c r="E60" i="24" s="1"/>
  <c r="AB49" i="24"/>
  <c r="AD49" i="24"/>
  <c r="AE49" i="24" s="1"/>
  <c r="H45" i="24"/>
  <c r="J45" i="24"/>
  <c r="AD9" i="24"/>
  <c r="X10" i="24"/>
  <c r="Y10" i="24" s="1"/>
  <c r="AB10" i="24" s="1"/>
  <c r="T48" i="23"/>
  <c r="N48" i="23"/>
  <c r="M48" i="23" s="1"/>
  <c r="D47" i="23"/>
  <c r="C47" i="23" s="1"/>
  <c r="F47" i="23"/>
  <c r="R32" i="23"/>
  <c r="Q32" i="23"/>
  <c r="P32" i="23" s="1"/>
  <c r="U32" i="23"/>
  <c r="T33" i="23" s="1"/>
  <c r="V23" i="23"/>
  <c r="U23" i="23"/>
  <c r="U24" i="23" s="1"/>
  <c r="I30" i="23"/>
  <c r="H30" i="23"/>
  <c r="U52" i="17"/>
  <c r="V39" i="17"/>
  <c r="O36" i="17"/>
  <c r="P24" i="17"/>
  <c r="P26" i="17" s="1"/>
  <c r="P39" i="17"/>
  <c r="O52" i="17"/>
  <c r="V48" i="17"/>
  <c r="U44" i="17" s="1"/>
  <c r="V40" i="17" s="1"/>
  <c r="V42" i="17"/>
  <c r="V28" i="17"/>
  <c r="AC32" i="17"/>
  <c r="G55" i="17"/>
  <c r="I28" i="17"/>
  <c r="AB43" i="17"/>
  <c r="L15" i="17"/>
  <c r="V32" i="17" s="1"/>
  <c r="F23" i="16"/>
  <c r="G23" i="16" s="1"/>
  <c r="H22" i="16"/>
  <c r="I22" i="16" s="1"/>
  <c r="J22" i="16" s="1"/>
  <c r="K22" i="16" s="1"/>
  <c r="L22" i="16" s="1"/>
  <c r="M22" i="16" s="1"/>
  <c r="N22" i="16" s="1"/>
  <c r="O22" i="16" s="1"/>
  <c r="C62" i="15"/>
  <c r="G46" i="15"/>
  <c r="C57" i="15"/>
  <c r="D57" i="15" s="1"/>
  <c r="E48" i="15" s="1"/>
  <c r="G43" i="15" s="1"/>
  <c r="P27" i="15"/>
  <c r="M38" i="15"/>
  <c r="N38" i="15" s="1"/>
  <c r="O29" i="15" s="1"/>
  <c r="P24" i="15" s="1"/>
  <c r="P25" i="15" s="1"/>
  <c r="I25" i="15"/>
  <c r="C38" i="15"/>
  <c r="D38" i="15" s="1"/>
  <c r="E29" i="15" s="1"/>
  <c r="I24" i="15" s="1"/>
  <c r="I27" i="15"/>
  <c r="Z28" i="14"/>
  <c r="AA22" i="14" s="1"/>
  <c r="T52" i="14"/>
  <c r="U47" i="14"/>
  <c r="U49" i="14" s="1"/>
  <c r="U28" i="14"/>
  <c r="V22" i="14" s="1"/>
  <c r="N48" i="14"/>
  <c r="N49" i="14"/>
  <c r="N51" i="14" s="1"/>
  <c r="O45" i="14" s="1"/>
  <c r="P48" i="14"/>
  <c r="P49" i="14" s="1"/>
  <c r="P51" i="14" s="1"/>
  <c r="P23" i="14"/>
  <c r="Q22" i="12"/>
  <c r="Q23" i="12" s="1"/>
  <c r="Q25" i="12" s="1"/>
  <c r="R20" i="12" s="1"/>
  <c r="K8" i="12"/>
  <c r="B32" i="12"/>
  <c r="B31" i="12"/>
  <c r="E31" i="12" s="1"/>
  <c r="B24" i="12"/>
  <c r="B23" i="12"/>
  <c r="E23" i="12" s="1"/>
  <c r="K22" i="12"/>
  <c r="K23" i="12" s="1"/>
  <c r="K25" i="12" s="1"/>
  <c r="L20" i="12" s="1"/>
  <c r="B27" i="12"/>
  <c r="E27" i="12" s="1"/>
  <c r="B28" i="12"/>
  <c r="Q9" i="12"/>
  <c r="Q10" i="12" s="1"/>
  <c r="Q12" i="12" s="1"/>
  <c r="R7" i="12" s="1"/>
  <c r="B36" i="12"/>
  <c r="B35" i="12"/>
  <c r="E35" i="12" s="1"/>
  <c r="P4" i="11"/>
  <c r="O4" i="11"/>
  <c r="H2" i="11"/>
  <c r="B29" i="11"/>
  <c r="K3" i="11"/>
  <c r="M3" i="11" s="1"/>
  <c r="J24" i="10"/>
  <c r="J7" i="10"/>
  <c r="J8" i="10" s="1"/>
  <c r="O24" i="10"/>
  <c r="N7" i="10"/>
  <c r="B23" i="10" s="1"/>
  <c r="F23" i="10" s="1"/>
  <c r="N61" i="10"/>
  <c r="H20" i="9"/>
  <c r="H22" i="9" s="1"/>
  <c r="D18" i="9"/>
  <c r="I56" i="9"/>
  <c r="D58" i="9" s="1"/>
  <c r="E53" i="9" s="1"/>
  <c r="C33" i="8"/>
  <c r="C34" i="8" s="1"/>
  <c r="C36" i="8" s="1"/>
  <c r="D30" i="8" s="1"/>
  <c r="D34" i="8" s="1"/>
  <c r="D36" i="8" s="1"/>
  <c r="E30" i="8" s="1"/>
  <c r="E34" i="8" s="1"/>
  <c r="E36" i="8" s="1"/>
  <c r="E17" i="8"/>
  <c r="E18" i="8" s="1"/>
  <c r="E20" i="8" s="1"/>
  <c r="H28" i="7"/>
  <c r="I28" i="7" s="1"/>
  <c r="J21" i="7" s="1"/>
  <c r="E18" i="7"/>
  <c r="E20" i="7" s="1"/>
  <c r="B27" i="6"/>
  <c r="D20" i="6" s="1"/>
  <c r="D35" i="6"/>
  <c r="D36" i="6" s="1"/>
  <c r="D38" i="6" s="1"/>
  <c r="E33" i="6" s="1"/>
  <c r="E34" i="5"/>
  <c r="F29" i="5" s="1"/>
  <c r="N31" i="5"/>
  <c r="N32" i="5" s="1"/>
  <c r="M38" i="5"/>
  <c r="M39" i="5" s="1"/>
  <c r="D61" i="4"/>
  <c r="C56" i="4"/>
  <c r="C54" i="4" s="1"/>
  <c r="C58" i="4" s="1"/>
  <c r="D46" i="4"/>
  <c r="F18" i="3"/>
  <c r="F23" i="3" s="1"/>
  <c r="G9" i="3"/>
  <c r="G13" i="3" s="1"/>
  <c r="G15" i="3" s="1"/>
  <c r="G18" i="3" s="1"/>
  <c r="G23" i="3" s="1"/>
  <c r="H23" i="3" s="1"/>
  <c r="C18" i="2"/>
  <c r="C23" i="2" s="1"/>
  <c r="C15" i="2"/>
  <c r="D9" i="2" s="1"/>
  <c r="D13" i="2" s="1"/>
  <c r="D48" i="2"/>
  <c r="D49" i="2" s="1"/>
  <c r="D64" i="2"/>
  <c r="D65" i="2" s="1"/>
  <c r="D57" i="2" s="1"/>
  <c r="D55" i="2" s="1"/>
  <c r="C55" i="2"/>
  <c r="C59" i="2" s="1"/>
  <c r="I26" i="15" l="1"/>
  <c r="I28" i="15" s="1"/>
  <c r="B62" i="13"/>
  <c r="E56" i="13" s="1"/>
  <c r="L36" i="13"/>
  <c r="L38" i="13" s="1"/>
  <c r="M56" i="13" s="1"/>
  <c r="E35" i="13"/>
  <c r="E37" i="13" s="1"/>
  <c r="C35" i="13"/>
  <c r="C37" i="13" s="1"/>
  <c r="C38" i="13" s="1"/>
  <c r="B60" i="13"/>
  <c r="C56" i="13" s="1"/>
  <c r="J36" i="13"/>
  <c r="E37" i="12"/>
  <c r="O45" i="24"/>
  <c r="K45" i="24"/>
  <c r="L45" i="24" s="1"/>
  <c r="AC10" i="24"/>
  <c r="AD10" i="24" s="1"/>
  <c r="AA10" i="24"/>
  <c r="G30" i="23"/>
  <c r="F30" i="23" s="1"/>
  <c r="F31" i="23"/>
  <c r="K30" i="23"/>
  <c r="L48" i="23"/>
  <c r="H48" i="23"/>
  <c r="G48" i="23" s="1"/>
  <c r="F48" i="23" s="1"/>
  <c r="U48" i="23"/>
  <c r="R48" i="23"/>
  <c r="U33" i="23"/>
  <c r="R33" i="23"/>
  <c r="S35" i="23" s="1"/>
  <c r="W27" i="17"/>
  <c r="J24" i="17"/>
  <c r="I36" i="17"/>
  <c r="P32" i="17"/>
  <c r="P47" i="17"/>
  <c r="I69" i="17"/>
  <c r="V36" i="17"/>
  <c r="W24" i="17"/>
  <c r="J47" i="17"/>
  <c r="AC39" i="17"/>
  <c r="AB50" i="17"/>
  <c r="AB52" i="17"/>
  <c r="AC47" i="17"/>
  <c r="G56" i="17"/>
  <c r="G58" i="17" s="1"/>
  <c r="G59" i="17" s="1"/>
  <c r="P41" i="17"/>
  <c r="P42" i="17"/>
  <c r="I32" i="17"/>
  <c r="V41" i="17"/>
  <c r="V43" i="17" s="1"/>
  <c r="V52" i="17" s="1"/>
  <c r="W52" i="17" s="1"/>
  <c r="L16" i="17"/>
  <c r="L18" i="17" s="1"/>
  <c r="L20" i="17" s="1"/>
  <c r="P20" i="17" s="1"/>
  <c r="AC33" i="17"/>
  <c r="AB29" i="17" s="1"/>
  <c r="AC25" i="17" s="1"/>
  <c r="AC26" i="17" s="1"/>
  <c r="AC27" i="17"/>
  <c r="F24" i="16"/>
  <c r="G24" i="16" s="1"/>
  <c r="H23" i="16"/>
  <c r="I23" i="16" s="1"/>
  <c r="J23" i="16" s="1"/>
  <c r="K23" i="16" s="1"/>
  <c r="L23" i="16" s="1"/>
  <c r="M23" i="16" s="1"/>
  <c r="N23" i="16" s="1"/>
  <c r="O23" i="16" s="1"/>
  <c r="P26" i="15"/>
  <c r="P28" i="15" s="1"/>
  <c r="G44" i="15"/>
  <c r="G45" i="15" s="1"/>
  <c r="G47" i="15" s="1"/>
  <c r="F64" i="15"/>
  <c r="E64" i="15"/>
  <c r="G64" i="15"/>
  <c r="D64" i="15"/>
  <c r="C64" i="15"/>
  <c r="N56" i="14"/>
  <c r="N57" i="14" s="1"/>
  <c r="N52" i="14" s="1"/>
  <c r="O46" i="14" s="1"/>
  <c r="O48" i="14" s="1"/>
  <c r="U33" i="14"/>
  <c r="U34" i="14" s="1"/>
  <c r="U29" i="14" s="1"/>
  <c r="U51" i="14"/>
  <c r="V45" i="14" s="1"/>
  <c r="V49" i="14" s="1"/>
  <c r="V51" i="14" s="1"/>
  <c r="W45" i="14" s="1"/>
  <c r="W49" i="14" s="1"/>
  <c r="W51" i="14" s="1"/>
  <c r="P25" i="14"/>
  <c r="P26" i="14" s="1"/>
  <c r="Y33" i="14"/>
  <c r="Y34" i="14" s="1"/>
  <c r="AA26" i="14"/>
  <c r="C40" i="13"/>
  <c r="D34" i="13" s="1"/>
  <c r="R8" i="12"/>
  <c r="Q28" i="12"/>
  <c r="K9" i="12"/>
  <c r="K10" i="12" s="1"/>
  <c r="K12" i="12" s="1"/>
  <c r="L7" i="12" s="1"/>
  <c r="K28" i="12"/>
  <c r="B36" i="11"/>
  <c r="K2" i="11"/>
  <c r="M2" i="11" s="1"/>
  <c r="B30" i="11"/>
  <c r="B31" i="11" s="1"/>
  <c r="B33" i="11" s="1"/>
  <c r="C28" i="11" s="1"/>
  <c r="P3" i="11"/>
  <c r="O3" i="11"/>
  <c r="I52" i="10"/>
  <c r="I48" i="10"/>
  <c r="I54" i="10"/>
  <c r="I46" i="10"/>
  <c r="I50" i="10"/>
  <c r="O25" i="10"/>
  <c r="N21" i="10" s="1"/>
  <c r="P19" i="10"/>
  <c r="N8" i="10"/>
  <c r="N10" i="10" s="1"/>
  <c r="J10" i="10"/>
  <c r="K5" i="10" s="1"/>
  <c r="J25" i="10"/>
  <c r="J21" i="10" s="1"/>
  <c r="K16" i="10" s="1"/>
  <c r="K19" i="10"/>
  <c r="M61" i="10"/>
  <c r="M63" i="10" s="1"/>
  <c r="L61" i="10"/>
  <c r="L63" i="10" s="1"/>
  <c r="K61" i="10"/>
  <c r="K63" i="10" s="1"/>
  <c r="J61" i="10"/>
  <c r="J63" i="10" s="1"/>
  <c r="J67" i="10" s="1"/>
  <c r="K67" i="10" s="1"/>
  <c r="I61" i="10"/>
  <c r="I63" i="10" s="1"/>
  <c r="E54" i="9"/>
  <c r="E55" i="9" s="1"/>
  <c r="E57" i="9" s="1"/>
  <c r="F52" i="9" s="1"/>
  <c r="D31" i="9"/>
  <c r="I46" i="9"/>
  <c r="D19" i="9"/>
  <c r="D20" i="9" s="1"/>
  <c r="D42" i="7"/>
  <c r="K15" i="7"/>
  <c r="B45" i="6"/>
  <c r="E15" i="6"/>
  <c r="N34" i="5"/>
  <c r="O29" i="5" s="1"/>
  <c r="P32" i="5"/>
  <c r="F31" i="5"/>
  <c r="F32" i="5" s="1"/>
  <c r="E38" i="5"/>
  <c r="E39" i="5" s="1"/>
  <c r="D63" i="4"/>
  <c r="D64" i="4" s="1"/>
  <c r="D56" i="4" s="1"/>
  <c r="D54" i="4" s="1"/>
  <c r="D47" i="4"/>
  <c r="D48" i="4" s="1"/>
  <c r="D54" i="2"/>
  <c r="D59" i="2" s="1"/>
  <c r="E59" i="2" s="1"/>
  <c r="D51" i="2"/>
  <c r="D18" i="2"/>
  <c r="D23" i="2" s="1"/>
  <c r="E23" i="2" s="1"/>
  <c r="D15" i="2"/>
  <c r="S34" i="23" l="1"/>
  <c r="P45" i="24"/>
  <c r="N45" i="24"/>
  <c r="K48" i="23"/>
  <c r="W33" i="23"/>
  <c r="V33" i="23"/>
  <c r="V34" i="23" s="1"/>
  <c r="N49" i="23"/>
  <c r="M49" i="23" s="1"/>
  <c r="W48" i="23"/>
  <c r="T49" i="23"/>
  <c r="V48" i="23"/>
  <c r="I62" i="17"/>
  <c r="I63" i="17"/>
  <c r="I65" i="17"/>
  <c r="I64" i="17"/>
  <c r="P43" i="17"/>
  <c r="P48" i="17"/>
  <c r="P49" i="17" s="1"/>
  <c r="P50" i="17" s="1"/>
  <c r="J27" i="17"/>
  <c r="I33" i="17"/>
  <c r="I29" i="17" s="1"/>
  <c r="J25" i="17" s="1"/>
  <c r="J42" i="17"/>
  <c r="J48" i="17"/>
  <c r="I44" i="17" s="1"/>
  <c r="J40" i="17" s="1"/>
  <c r="J41" i="17" s="1"/>
  <c r="P33" i="17"/>
  <c r="P27" i="17"/>
  <c r="P28" i="17" s="1"/>
  <c r="P36" i="17" s="1"/>
  <c r="Q36" i="17" s="1"/>
  <c r="P44" i="17"/>
  <c r="P52" i="17" s="1"/>
  <c r="Q52" i="17" s="1"/>
  <c r="J26" i="17"/>
  <c r="AC28" i="17"/>
  <c r="AC36" i="17" s="1"/>
  <c r="AD36" i="17" s="1"/>
  <c r="AC42" i="17"/>
  <c r="AC48" i="17"/>
  <c r="AB44" i="17" s="1"/>
  <c r="AC40" i="17" s="1"/>
  <c r="AC41" i="17" s="1"/>
  <c r="AC43" i="17" s="1"/>
  <c r="V33" i="17"/>
  <c r="U29" i="17" s="1"/>
  <c r="W25" i="17" s="1"/>
  <c r="W26" i="17" s="1"/>
  <c r="W28" i="17" s="1"/>
  <c r="W36" i="17" s="1"/>
  <c r="X36" i="17" s="1"/>
  <c r="F25" i="16"/>
  <c r="G25" i="16" s="1"/>
  <c r="H24" i="16"/>
  <c r="I24" i="16" s="1"/>
  <c r="J24" i="16" s="1"/>
  <c r="K24" i="16" s="1"/>
  <c r="L24" i="16" s="1"/>
  <c r="M24" i="16" s="1"/>
  <c r="N24" i="16" s="1"/>
  <c r="O24" i="16" s="1"/>
  <c r="C69" i="15"/>
  <c r="C66" i="15"/>
  <c r="C67" i="15" s="1"/>
  <c r="C68" i="15"/>
  <c r="C65" i="15"/>
  <c r="E65" i="15"/>
  <c r="E69" i="15"/>
  <c r="F68" i="15"/>
  <c r="F65" i="15"/>
  <c r="F69" i="15"/>
  <c r="F66" i="15"/>
  <c r="F67" i="15" s="1"/>
  <c r="D66" i="15"/>
  <c r="D67" i="15" s="1"/>
  <c r="D69" i="15"/>
  <c r="D68" i="15"/>
  <c r="D65" i="15"/>
  <c r="G68" i="15"/>
  <c r="G65" i="15"/>
  <c r="G69" i="15"/>
  <c r="G66" i="15"/>
  <c r="G67" i="15" s="1"/>
  <c r="P28" i="14"/>
  <c r="Q22" i="14" s="1"/>
  <c r="V71" i="14"/>
  <c r="X71" i="14" s="1"/>
  <c r="V23" i="14"/>
  <c r="O68" i="14"/>
  <c r="AA28" i="14"/>
  <c r="AB22" i="14" s="1"/>
  <c r="O49" i="14"/>
  <c r="O51" i="14" s="1"/>
  <c r="B47" i="13"/>
  <c r="L8" i="12"/>
  <c r="R9" i="12"/>
  <c r="R10" i="12" s="1"/>
  <c r="R12" i="12" s="1"/>
  <c r="S8" i="12"/>
  <c r="C19" i="12"/>
  <c r="R24" i="12"/>
  <c r="Q29" i="12"/>
  <c r="Q26" i="12" s="1"/>
  <c r="R21" i="12" s="1"/>
  <c r="K29" i="12"/>
  <c r="K26" i="12" s="1"/>
  <c r="L21" i="12" s="1"/>
  <c r="L24" i="12"/>
  <c r="C29" i="11"/>
  <c r="P2" i="11"/>
  <c r="O2" i="11"/>
  <c r="P16" i="10"/>
  <c r="K34" i="10"/>
  <c r="K17" i="10"/>
  <c r="K18" i="10" s="1"/>
  <c r="K6" i="10"/>
  <c r="D22" i="9"/>
  <c r="D25" i="9"/>
  <c r="D34" i="9" s="1"/>
  <c r="E34" i="9" s="1"/>
  <c r="E47" i="9"/>
  <c r="E48" i="9" s="1"/>
  <c r="I47" i="9"/>
  <c r="K16" i="7"/>
  <c r="K17" i="7"/>
  <c r="K18" i="7" s="1"/>
  <c r="K20" i="7" s="1"/>
  <c r="F38" i="7"/>
  <c r="B43" i="7"/>
  <c r="C43" i="7" s="1"/>
  <c r="E16" i="6"/>
  <c r="E17" i="6"/>
  <c r="E19" i="6" s="1"/>
  <c r="B46" i="6"/>
  <c r="D39" i="6" s="1"/>
  <c r="E34" i="6" s="1"/>
  <c r="E37" i="6"/>
  <c r="F34" i="5"/>
  <c r="G29" i="5" s="1"/>
  <c r="H32" i="5"/>
  <c r="I19" i="5" s="1"/>
  <c r="I20" i="5" s="1"/>
  <c r="D50" i="4"/>
  <c r="D53" i="4"/>
  <c r="D58" i="4" s="1"/>
  <c r="E58" i="4" s="1"/>
  <c r="Q45" i="24" l="1"/>
  <c r="R45" i="24" s="1"/>
  <c r="U45" i="24"/>
  <c r="R49" i="23"/>
  <c r="Q49" i="23"/>
  <c r="P49" i="23" s="1"/>
  <c r="U49" i="23"/>
  <c r="L49" i="23"/>
  <c r="H49" i="23"/>
  <c r="G49" i="23" s="1"/>
  <c r="K49" i="23"/>
  <c r="J49" i="23"/>
  <c r="I49" i="23" s="1"/>
  <c r="AC50" i="17"/>
  <c r="AC52" i="17"/>
  <c r="AD52" i="17" s="1"/>
  <c r="AE52" i="17" s="1"/>
  <c r="J43" i="17"/>
  <c r="J52" i="17" s="1"/>
  <c r="K52" i="17" s="1"/>
  <c r="J28" i="17"/>
  <c r="J36" i="17" s="1"/>
  <c r="K36" i="17" s="1"/>
  <c r="AE36" i="17" s="1"/>
  <c r="R13" i="17" s="1"/>
  <c r="S13" i="17" s="1"/>
  <c r="S14" i="17" s="1"/>
  <c r="H25" i="16"/>
  <c r="I25" i="16" s="1"/>
  <c r="J25" i="16" s="1"/>
  <c r="K25" i="16" s="1"/>
  <c r="L25" i="16" s="1"/>
  <c r="M25" i="16" s="1"/>
  <c r="N25" i="16" s="1"/>
  <c r="O25" i="16" s="1"/>
  <c r="F26" i="16"/>
  <c r="G26" i="16" s="1"/>
  <c r="E70" i="15"/>
  <c r="E71" i="15"/>
  <c r="E72" i="15"/>
  <c r="E66" i="15"/>
  <c r="E67" i="15" s="1"/>
  <c r="H67" i="15" s="1"/>
  <c r="E68" i="15"/>
  <c r="H68" i="15" s="1"/>
  <c r="D70" i="15"/>
  <c r="D71" i="15"/>
  <c r="D72" i="15"/>
  <c r="G70" i="15"/>
  <c r="G71" i="15"/>
  <c r="G72" i="15"/>
  <c r="F70" i="15"/>
  <c r="F71" i="15"/>
  <c r="F72" i="15"/>
  <c r="C70" i="15"/>
  <c r="C71" i="15"/>
  <c r="C72" i="15"/>
  <c r="O33" i="14"/>
  <c r="O34" i="14" s="1"/>
  <c r="O29" i="14" s="1"/>
  <c r="AB26" i="14"/>
  <c r="Z33" i="14"/>
  <c r="Z34" i="14" s="1"/>
  <c r="V25" i="14"/>
  <c r="V26" i="14"/>
  <c r="C41" i="13"/>
  <c r="B48" i="13"/>
  <c r="D36" i="13" s="1"/>
  <c r="R22" i="12"/>
  <c r="R23" i="12" s="1"/>
  <c r="R25" i="12" s="1"/>
  <c r="S20" i="12" s="1"/>
  <c r="S9" i="12"/>
  <c r="S10" i="12" s="1"/>
  <c r="C29" i="12"/>
  <c r="C32" i="12" s="1"/>
  <c r="C33" i="12"/>
  <c r="C36" i="12" s="1"/>
  <c r="C25" i="12"/>
  <c r="C28" i="12" s="1"/>
  <c r="C21" i="12"/>
  <c r="C24" i="12" s="1"/>
  <c r="L28" i="12"/>
  <c r="R28" i="12"/>
  <c r="L9" i="12"/>
  <c r="D19" i="12" s="1"/>
  <c r="M8" i="12"/>
  <c r="L22" i="12"/>
  <c r="L23" i="12" s="1"/>
  <c r="L25" i="12" s="1"/>
  <c r="M20" i="12" s="1"/>
  <c r="L10" i="12"/>
  <c r="L12" i="12" s="1"/>
  <c r="C30" i="11"/>
  <c r="C36" i="11" s="1"/>
  <c r="K24" i="10"/>
  <c r="K7" i="10"/>
  <c r="B22" i="10" s="1"/>
  <c r="F22" i="10" s="1"/>
  <c r="P24" i="10"/>
  <c r="N58" i="10"/>
  <c r="K20" i="10"/>
  <c r="L15" i="10" s="1"/>
  <c r="P17" i="10"/>
  <c r="P18" i="10" s="1"/>
  <c r="P20" i="10" s="1"/>
  <c r="Q15" i="10" s="1"/>
  <c r="D40" i="7"/>
  <c r="F35" i="7" s="1"/>
  <c r="F36" i="7" s="1"/>
  <c r="C40" i="7"/>
  <c r="E35" i="7" s="1"/>
  <c r="E36" i="7" s="1"/>
  <c r="B40" i="7"/>
  <c r="D35" i="7" s="1"/>
  <c r="E35" i="6"/>
  <c r="E36" i="6"/>
  <c r="E38" i="6" s="1"/>
  <c r="K8" i="10" l="1"/>
  <c r="T45" i="24"/>
  <c r="V45" i="24"/>
  <c r="W49" i="24" s="1"/>
  <c r="F49" i="23"/>
  <c r="D49" i="23"/>
  <c r="C49" i="23" s="1"/>
  <c r="T50" i="23"/>
  <c r="N50" i="23"/>
  <c r="M50" i="23" s="1"/>
  <c r="F27" i="16"/>
  <c r="G27" i="16" s="1"/>
  <c r="H26" i="16"/>
  <c r="I26" i="16" s="1"/>
  <c r="J26" i="16" s="1"/>
  <c r="K26" i="16" s="1"/>
  <c r="L26" i="16" s="1"/>
  <c r="M26" i="16" s="1"/>
  <c r="N26" i="16" s="1"/>
  <c r="O26" i="16" s="1"/>
  <c r="V28" i="14"/>
  <c r="V69" i="14"/>
  <c r="X69" i="14" s="1"/>
  <c r="AB28" i="14"/>
  <c r="V70" i="14"/>
  <c r="X70" i="14" s="1"/>
  <c r="Q23" i="14"/>
  <c r="N68" i="14"/>
  <c r="D37" i="13"/>
  <c r="D38" i="13" s="1"/>
  <c r="K36" i="13"/>
  <c r="B61" i="13"/>
  <c r="D29" i="12"/>
  <c r="D32" i="12" s="1"/>
  <c r="D33" i="12"/>
  <c r="D36" i="12" s="1"/>
  <c r="D25" i="12"/>
  <c r="D28" i="12" s="1"/>
  <c r="D21" i="12"/>
  <c r="D24" i="12" s="1"/>
  <c r="S22" i="12"/>
  <c r="S23" i="12" s="1"/>
  <c r="S25" i="12" s="1"/>
  <c r="M9" i="12"/>
  <c r="M10" i="12" s="1"/>
  <c r="G11" i="12" s="1"/>
  <c r="S24" i="12"/>
  <c r="R29" i="12"/>
  <c r="R26" i="12" s="1"/>
  <c r="S21" i="12" s="1"/>
  <c r="L29" i="12"/>
  <c r="L26" i="12" s="1"/>
  <c r="M21" i="12" s="1"/>
  <c r="M24" i="12"/>
  <c r="C31" i="11"/>
  <c r="C33" i="11" s="1"/>
  <c r="D28" i="11" s="1"/>
  <c r="I53" i="10"/>
  <c r="I45" i="10"/>
  <c r="I47" i="10"/>
  <c r="I51" i="10"/>
  <c r="I49" i="10"/>
  <c r="K10" i="10"/>
  <c r="O8" i="10"/>
  <c r="M58" i="10"/>
  <c r="M60" i="10" s="1"/>
  <c r="L58" i="10"/>
  <c r="L60" i="10" s="1"/>
  <c r="K58" i="10"/>
  <c r="K60" i="10" s="1"/>
  <c r="J58" i="10"/>
  <c r="J60" i="10" s="1"/>
  <c r="J66" i="10" s="1"/>
  <c r="I58" i="10"/>
  <c r="I60" i="10" s="1"/>
  <c r="I66" i="10" s="1"/>
  <c r="K66" i="10" s="1"/>
  <c r="K68" i="10" s="1"/>
  <c r="T13" i="10" s="1"/>
  <c r="Q19" i="10"/>
  <c r="P25" i="10"/>
  <c r="O21" i="10" s="1"/>
  <c r="K25" i="10"/>
  <c r="K21" i="10" s="1"/>
  <c r="L16" i="10" s="1"/>
  <c r="L17" i="10" s="1"/>
  <c r="L19" i="10"/>
  <c r="D36" i="7"/>
  <c r="D37" i="7" s="1"/>
  <c r="D39" i="7" s="1"/>
  <c r="E34" i="7" s="1"/>
  <c r="E37" i="7" s="1"/>
  <c r="E39" i="7" s="1"/>
  <c r="F34" i="7" s="1"/>
  <c r="F37" i="7" s="1"/>
  <c r="F39" i="7" s="1"/>
  <c r="O11" i="13" l="1"/>
  <c r="L50" i="23"/>
  <c r="K50" i="23"/>
  <c r="H50" i="23"/>
  <c r="G50" i="23" s="1"/>
  <c r="F50" i="23" s="1"/>
  <c r="S51" i="23" s="1"/>
  <c r="U50" i="23"/>
  <c r="R50" i="23"/>
  <c r="S52" i="23" s="1"/>
  <c r="F28" i="16"/>
  <c r="G28" i="16" s="1"/>
  <c r="H27" i="16"/>
  <c r="I27" i="16" s="1"/>
  <c r="J27" i="16" s="1"/>
  <c r="K27" i="16" s="1"/>
  <c r="L27" i="16" s="1"/>
  <c r="M27" i="16" s="1"/>
  <c r="N27" i="16" s="1"/>
  <c r="O27" i="16" s="1"/>
  <c r="Q25" i="14"/>
  <c r="Q26" i="14" s="1"/>
  <c r="D40" i="13"/>
  <c r="E34" i="13" s="1"/>
  <c r="E38" i="13" s="1"/>
  <c r="E40" i="13" s="1"/>
  <c r="P11" i="13"/>
  <c r="R11" i="13" s="1"/>
  <c r="C84" i="13"/>
  <c r="C85" i="13"/>
  <c r="D56" i="13"/>
  <c r="B63" i="13"/>
  <c r="C63" i="13" s="1"/>
  <c r="C14" i="12"/>
  <c r="C13" i="12"/>
  <c r="C12" i="12"/>
  <c r="C11" i="12"/>
  <c r="M22" i="12"/>
  <c r="M23" i="12" s="1"/>
  <c r="M25" i="12" s="1"/>
  <c r="D29" i="11"/>
  <c r="Q16" i="10"/>
  <c r="J39" i="10"/>
  <c r="L34" i="10"/>
  <c r="I38" i="10"/>
  <c r="I39" i="10" s="1"/>
  <c r="I40" i="10" s="1"/>
  <c r="I36" i="10" s="1"/>
  <c r="L18" i="10"/>
  <c r="W50" i="23" l="1"/>
  <c r="V50" i="23"/>
  <c r="V51" i="23" s="1"/>
  <c r="F29" i="16"/>
  <c r="G29" i="16" s="1"/>
  <c r="H28" i="16"/>
  <c r="I28" i="16" s="1"/>
  <c r="J28" i="16" s="1"/>
  <c r="K28" i="16" s="1"/>
  <c r="L28" i="16" s="1"/>
  <c r="M28" i="16" s="1"/>
  <c r="N28" i="16" s="1"/>
  <c r="O28" i="16" s="1"/>
  <c r="Q28" i="14"/>
  <c r="V68" i="14"/>
  <c r="X68" i="14" s="1"/>
  <c r="X72" i="14" s="1"/>
  <c r="W107" i="14" s="1"/>
  <c r="W109" i="14" s="1"/>
  <c r="C77" i="13"/>
  <c r="C78" i="13"/>
  <c r="B92" i="13"/>
  <c r="C92" i="13" s="1"/>
  <c r="D58" i="13"/>
  <c r="K37" i="13" s="1"/>
  <c r="K38" i="13" s="1"/>
  <c r="B58" i="13"/>
  <c r="D30" i="11"/>
  <c r="D36" i="11" s="1"/>
  <c r="B18" i="11" s="1"/>
  <c r="B19" i="11" s="1"/>
  <c r="D31" i="11"/>
  <c r="D33" i="11" s="1"/>
  <c r="L20" i="10"/>
  <c r="J36" i="10"/>
  <c r="K30" i="10" s="1"/>
  <c r="J30" i="10"/>
  <c r="Q17" i="10"/>
  <c r="Q18" i="10"/>
  <c r="Q20" i="10" s="1"/>
  <c r="F30" i="16" l="1"/>
  <c r="G30" i="16" s="1"/>
  <c r="H29" i="16"/>
  <c r="I29" i="16" s="1"/>
  <c r="J29" i="16" s="1"/>
  <c r="K29" i="16" s="1"/>
  <c r="L29" i="16" s="1"/>
  <c r="M29" i="16" s="1"/>
  <c r="N29" i="16" s="1"/>
  <c r="O29" i="16" s="1"/>
  <c r="I37" i="13"/>
  <c r="I38" i="13" s="1"/>
  <c r="C53" i="13"/>
  <c r="L56" i="13"/>
  <c r="I13" i="11"/>
  <c r="I12" i="11"/>
  <c r="I10" i="11"/>
  <c r="I11" i="11"/>
  <c r="I8" i="11"/>
  <c r="I7" i="11"/>
  <c r="I9" i="11"/>
  <c r="I6" i="11"/>
  <c r="I5" i="11"/>
  <c r="I4" i="11"/>
  <c r="I3" i="11"/>
  <c r="I2" i="11"/>
  <c r="J32" i="10"/>
  <c r="J33" i="10" s="1"/>
  <c r="L30" i="10"/>
  <c r="R18" i="10"/>
  <c r="F31" i="16" l="1"/>
  <c r="G31" i="16" s="1"/>
  <c r="H30" i="16"/>
  <c r="I30" i="16" s="1"/>
  <c r="J30" i="16" s="1"/>
  <c r="K30" i="16" s="1"/>
  <c r="L30" i="16" s="1"/>
  <c r="M30" i="16" s="1"/>
  <c r="N30" i="16" s="1"/>
  <c r="O30" i="16" s="1"/>
  <c r="E53" i="13"/>
  <c r="D53" i="13"/>
  <c r="C55" i="13"/>
  <c r="C57" i="13" s="1"/>
  <c r="D52" i="13" s="1"/>
  <c r="J56" i="13"/>
  <c r="I42" i="13"/>
  <c r="I58" i="13" s="1"/>
  <c r="J53" i="13" s="1"/>
  <c r="J55" i="13" s="1"/>
  <c r="J57" i="13" s="1"/>
  <c r="K52" i="13" s="1"/>
  <c r="J35" i="10"/>
  <c r="K29" i="10" s="1"/>
  <c r="F32" i="16" l="1"/>
  <c r="G32" i="16" s="1"/>
  <c r="H31" i="16"/>
  <c r="I31" i="16" s="1"/>
  <c r="J31" i="16" s="1"/>
  <c r="K31" i="16" s="1"/>
  <c r="L31" i="16" s="1"/>
  <c r="M31" i="16" s="1"/>
  <c r="N31" i="16" s="1"/>
  <c r="O31" i="16" s="1"/>
  <c r="B64" i="13"/>
  <c r="K32" i="10"/>
  <c r="K33" i="10" s="1"/>
  <c r="F33" i="16" l="1"/>
  <c r="G33" i="16" s="1"/>
  <c r="H32" i="16"/>
  <c r="I32" i="16" s="1"/>
  <c r="J32" i="16" s="1"/>
  <c r="K32" i="16" s="1"/>
  <c r="L32" i="16" s="1"/>
  <c r="M32" i="16" s="1"/>
  <c r="N32" i="16" s="1"/>
  <c r="O32" i="16" s="1"/>
  <c r="C58" i="13"/>
  <c r="J37" i="13" s="1"/>
  <c r="J38" i="13" s="1"/>
  <c r="B65" i="13"/>
  <c r="D54" i="13" s="1"/>
  <c r="D55" i="13" s="1"/>
  <c r="K35" i="10"/>
  <c r="L29" i="10" s="1"/>
  <c r="F34" i="16" l="1"/>
  <c r="G34" i="16" s="1"/>
  <c r="H33" i="16"/>
  <c r="I33" i="16" s="1"/>
  <c r="J33" i="16" s="1"/>
  <c r="K33" i="16" s="1"/>
  <c r="L33" i="16" s="1"/>
  <c r="M33" i="16" s="1"/>
  <c r="N33" i="16" s="1"/>
  <c r="O33" i="16" s="1"/>
  <c r="D57" i="13"/>
  <c r="E52" i="13" s="1"/>
  <c r="E55" i="13" s="1"/>
  <c r="E57" i="13" s="1"/>
  <c r="J42" i="13"/>
  <c r="J58" i="13" s="1"/>
  <c r="K53" i="13" s="1"/>
  <c r="K55" i="13" s="1"/>
  <c r="K57" i="13" s="1"/>
  <c r="L52" i="13" s="1"/>
  <c r="K56" i="13"/>
  <c r="B93" i="13" s="1"/>
  <c r="C93" i="13" s="1"/>
  <c r="J40" i="10"/>
  <c r="J41" i="10" s="1"/>
  <c r="F35" i="16" l="1"/>
  <c r="G35" i="16" s="1"/>
  <c r="H34" i="16"/>
  <c r="I34" i="16" s="1"/>
  <c r="J34" i="16" s="1"/>
  <c r="K34" i="16" s="1"/>
  <c r="L34" i="16" s="1"/>
  <c r="M34" i="16" s="1"/>
  <c r="N34" i="16" s="1"/>
  <c r="O34" i="16" s="1"/>
  <c r="K42" i="13"/>
  <c r="K58" i="13" s="1"/>
  <c r="L53" i="13" s="1"/>
  <c r="L55" i="13" s="1"/>
  <c r="L57" i="13" s="1"/>
  <c r="M52" i="13" s="1"/>
  <c r="B94" i="13"/>
  <c r="C94" i="13" s="1"/>
  <c r="C95" i="13" s="1"/>
  <c r="O24" i="13" s="1"/>
  <c r="O26" i="13" s="1"/>
  <c r="L31" i="10"/>
  <c r="K36" i="10"/>
  <c r="F36" i="16" l="1"/>
  <c r="G36" i="16" s="1"/>
  <c r="H35" i="16"/>
  <c r="I35" i="16" s="1"/>
  <c r="J35" i="16" s="1"/>
  <c r="K35" i="16" s="1"/>
  <c r="L35" i="16" s="1"/>
  <c r="M35" i="16" s="1"/>
  <c r="N35" i="16" s="1"/>
  <c r="O35" i="16" s="1"/>
  <c r="L42" i="13"/>
  <c r="L58" i="13" s="1"/>
  <c r="M53" i="13" s="1"/>
  <c r="M55" i="13" s="1"/>
  <c r="M57" i="13" s="1"/>
  <c r="N52" i="13" s="1"/>
  <c r="L32" i="10"/>
  <c r="L33" i="10"/>
  <c r="F37" i="16" l="1"/>
  <c r="G37" i="16" s="1"/>
  <c r="H36" i="16"/>
  <c r="I36" i="16" s="1"/>
  <c r="J36" i="16" s="1"/>
  <c r="K36" i="16" s="1"/>
  <c r="L36" i="16" s="1"/>
  <c r="M36" i="16" s="1"/>
  <c r="N36" i="16" s="1"/>
  <c r="O36" i="16" s="1"/>
  <c r="M42" i="13"/>
  <c r="M58" i="13" s="1"/>
  <c r="N53" i="13" s="1"/>
  <c r="N55" i="13" s="1"/>
  <c r="N57" i="13" s="1"/>
  <c r="L35" i="10"/>
  <c r="N33" i="10"/>
  <c r="T12" i="10" s="1"/>
  <c r="T15" i="10" s="1"/>
  <c r="T17" i="10" s="1"/>
  <c r="T18" i="10" s="1"/>
  <c r="F38" i="16" l="1"/>
  <c r="G38" i="16" s="1"/>
  <c r="H37" i="16"/>
  <c r="I37" i="16" s="1"/>
  <c r="J37" i="16" s="1"/>
  <c r="K37" i="16" s="1"/>
  <c r="L37" i="16" s="1"/>
  <c r="M37" i="16" s="1"/>
  <c r="N37" i="16" s="1"/>
  <c r="O37" i="16" s="1"/>
  <c r="F39" i="16" l="1"/>
  <c r="G39" i="16" s="1"/>
  <c r="H38" i="16"/>
  <c r="I38" i="16" s="1"/>
  <c r="J38" i="16" s="1"/>
  <c r="K38" i="16" s="1"/>
  <c r="L38" i="16" s="1"/>
  <c r="M38" i="16" s="1"/>
  <c r="N38" i="16" s="1"/>
  <c r="O38" i="16" s="1"/>
  <c r="F40" i="16" l="1"/>
  <c r="G40" i="16" s="1"/>
  <c r="H39" i="16"/>
  <c r="I39" i="16" s="1"/>
  <c r="J39" i="16" s="1"/>
  <c r="K39" i="16" s="1"/>
  <c r="L39" i="16" s="1"/>
  <c r="M39" i="16" s="1"/>
  <c r="N39" i="16" s="1"/>
  <c r="O39" i="16" s="1"/>
  <c r="F41" i="16" l="1"/>
  <c r="G41" i="16" s="1"/>
  <c r="H40" i="16"/>
  <c r="I40" i="16" s="1"/>
  <c r="J40" i="16" s="1"/>
  <c r="K40" i="16" s="1"/>
  <c r="L40" i="16" s="1"/>
  <c r="M40" i="16" s="1"/>
  <c r="N40" i="16" s="1"/>
  <c r="O40" i="16" s="1"/>
  <c r="F42" i="16" l="1"/>
  <c r="G42" i="16" s="1"/>
  <c r="H41" i="16"/>
  <c r="I41" i="16" s="1"/>
  <c r="J41" i="16" s="1"/>
  <c r="K41" i="16" s="1"/>
  <c r="L41" i="16" s="1"/>
  <c r="M41" i="16" s="1"/>
  <c r="N41" i="16" s="1"/>
  <c r="O41" i="16" s="1"/>
  <c r="F43" i="16" l="1"/>
  <c r="G43" i="16" s="1"/>
  <c r="H43" i="16" s="1"/>
  <c r="I43" i="16" s="1"/>
  <c r="J43" i="16" s="1"/>
  <c r="K43" i="16" s="1"/>
  <c r="L43" i="16" s="1"/>
  <c r="M43" i="16" s="1"/>
  <c r="N43" i="16" s="1"/>
  <c r="O43" i="16" s="1"/>
  <c r="H42" i="16"/>
  <c r="I42" i="16" s="1"/>
  <c r="J42" i="16" s="1"/>
  <c r="K42" i="16" s="1"/>
  <c r="L42" i="16" s="1"/>
  <c r="M42" i="16" s="1"/>
  <c r="N42" i="16" s="1"/>
  <c r="O42" i="16" s="1"/>
</calcChain>
</file>

<file path=xl/sharedStrings.xml><?xml version="1.0" encoding="utf-8"?>
<sst xmlns="http://schemas.openxmlformats.org/spreadsheetml/2006/main" count="2791" uniqueCount="934">
  <si>
    <t>UNIVERSIDAD DE COSTA RICA</t>
  </si>
  <si>
    <t>FACULTAD DE CIENCIAS ECONÓMICAS</t>
  </si>
  <si>
    <t>ESCUELA DE ADMINISTRACIÓN DE NEGOCIOS</t>
  </si>
  <si>
    <t>MPS y  CRP Global con Nivelación con Horas Extras</t>
    <phoneticPr fontId="0" type="noConversion"/>
  </si>
  <si>
    <t>Producto A</t>
    <phoneticPr fontId="0" type="noConversion"/>
  </si>
  <si>
    <t>Buenas que se ocupan</t>
  </si>
  <si>
    <t>Mes</t>
  </si>
  <si>
    <t>Enero</t>
  </si>
  <si>
    <t>Febrero</t>
  </si>
  <si>
    <t>Marzo</t>
  </si>
  <si>
    <t>Buenas que se tienen</t>
  </si>
  <si>
    <t>Demanda</t>
  </si>
  <si>
    <t>Buenas que faltan</t>
  </si>
  <si>
    <t>Inventario Inicial</t>
  </si>
  <si>
    <t>AT</t>
  </si>
  <si>
    <t>Plan de Producción</t>
  </si>
  <si>
    <t>Aumento transitorio</t>
    <phoneticPr fontId="0" type="noConversion"/>
  </si>
  <si>
    <t>Desperdicio</t>
    <phoneticPr fontId="0" type="noConversion"/>
  </si>
  <si>
    <t>Disponible</t>
  </si>
  <si>
    <t>Despacho</t>
  </si>
  <si>
    <t>Inventario Final</t>
  </si>
  <si>
    <t>Costos</t>
  </si>
  <si>
    <t>Mantenimiento del inventario</t>
  </si>
  <si>
    <t>Contratación - Despido</t>
  </si>
  <si>
    <t>Tiempo extra</t>
  </si>
  <si>
    <t>Planilla</t>
  </si>
  <si>
    <t>Pedidos no Servidos</t>
  </si>
  <si>
    <t>Costo Total con PUSH</t>
  </si>
  <si>
    <t>Investario de seguridad</t>
  </si>
  <si>
    <t>Planilla actual y la necesaria</t>
  </si>
  <si>
    <t>Producción actual</t>
  </si>
  <si>
    <t>Producción por persona</t>
  </si>
  <si>
    <t>Plan de producción promedio</t>
    <phoneticPr fontId="0" type="noConversion"/>
  </si>
  <si>
    <t>Capacidad</t>
    <phoneticPr fontId="0" type="noConversion"/>
  </si>
  <si>
    <t>Costo de conservación</t>
    <phoneticPr fontId="0" type="noConversion"/>
  </si>
  <si>
    <t>Capacidad en tiempo normal:</t>
  </si>
  <si>
    <t>Costo despido-contratación</t>
    <phoneticPr fontId="0" type="noConversion"/>
  </si>
  <si>
    <t>Capacidad en tiempo extra</t>
    <phoneticPr fontId="0" type="noConversion"/>
  </si>
  <si>
    <t>Costo tiempo normal</t>
    <phoneticPr fontId="0" type="noConversion"/>
  </si>
  <si>
    <t>Capacidad total</t>
    <phoneticPr fontId="0" type="noConversion"/>
  </si>
  <si>
    <t>Costo tiempo extra</t>
    <phoneticPr fontId="0" type="noConversion"/>
  </si>
  <si>
    <t>Costo pedidos no servidos</t>
    <phoneticPr fontId="0" type="noConversion"/>
  </si>
  <si>
    <t>MPS y  CRP Global con Persecución con horas extra</t>
  </si>
  <si>
    <t xml:space="preserve"> --</t>
    <phoneticPr fontId="0" type="noConversion"/>
  </si>
  <si>
    <t>Inventario de seguridad</t>
    <phoneticPr fontId="0" type="noConversion"/>
  </si>
  <si>
    <t>Planilla anterior</t>
    <phoneticPr fontId="0" type="noConversion"/>
  </si>
  <si>
    <t>Producción anterior</t>
    <phoneticPr fontId="0" type="noConversion"/>
  </si>
  <si>
    <t>Producción actual</t>
    <phoneticPr fontId="0" type="noConversion"/>
  </si>
  <si>
    <t>Planilla en uso</t>
    <phoneticPr fontId="0" type="noConversion"/>
  </si>
  <si>
    <t>Abril</t>
  </si>
  <si>
    <t>Mayo</t>
  </si>
  <si>
    <t>Junio</t>
  </si>
  <si>
    <t>AQL</t>
  </si>
  <si>
    <t>Planilla actual</t>
  </si>
  <si>
    <t>Planilla nueva</t>
  </si>
  <si>
    <t>Producción por empleado</t>
  </si>
  <si>
    <t>Capacidad + tiempo extra</t>
  </si>
  <si>
    <t>Líneas</t>
    <phoneticPr fontId="0" type="noConversion"/>
  </si>
  <si>
    <t>Personas por línea</t>
    <phoneticPr fontId="0" type="noConversion"/>
  </si>
  <si>
    <t>Planilla</t>
    <phoneticPr fontId="0" type="noConversion"/>
  </si>
  <si>
    <t>Planilla nueva</t>
    <phoneticPr fontId="0" type="noConversion"/>
  </si>
  <si>
    <t>10% de la necesidad</t>
    <phoneticPr fontId="0" type="noConversion"/>
  </si>
  <si>
    <t>Capacidad de las 8 líneas es:</t>
    <phoneticPr fontId="0" type="noConversion"/>
  </si>
  <si>
    <t>MPS y  CRP Global con Persecución y contratación y despido</t>
    <phoneticPr fontId="0" type="noConversion"/>
  </si>
  <si>
    <t>Programa de requisitos de servicio</t>
    <phoneticPr fontId="0" type="noConversion"/>
  </si>
  <si>
    <t xml:space="preserve">                                     JULIO                             </t>
    <phoneticPr fontId="0" type="noConversion"/>
  </si>
  <si>
    <t>AGOSTO</t>
    <phoneticPr fontId="0" type="noConversion"/>
  </si>
  <si>
    <t xml:space="preserve">              DEMANDAS</t>
    <phoneticPr fontId="0" type="noConversion"/>
  </si>
  <si>
    <t>Semana 1</t>
    <phoneticPr fontId="0" type="noConversion"/>
  </si>
  <si>
    <t>Semana 2</t>
    <phoneticPr fontId="0" type="noConversion"/>
  </si>
  <si>
    <t>Semana 3</t>
    <phoneticPr fontId="0" type="noConversion"/>
  </si>
  <si>
    <t>Semana 4</t>
    <phoneticPr fontId="0" type="noConversion"/>
  </si>
  <si>
    <t>Semanas</t>
    <phoneticPr fontId="0" type="noConversion"/>
  </si>
  <si>
    <t>KPMG</t>
    <phoneticPr fontId="0" type="noConversion"/>
  </si>
  <si>
    <t>PRICE</t>
    <phoneticPr fontId="0" type="noConversion"/>
  </si>
  <si>
    <t>Plan de Servicio</t>
    <phoneticPr fontId="0" type="noConversion"/>
  </si>
  <si>
    <t>Personas atendidas</t>
    <phoneticPr fontId="0" type="noConversion"/>
  </si>
  <si>
    <t>Planes de servicio por día</t>
    <phoneticPr fontId="0" type="noConversion"/>
  </si>
  <si>
    <t>Pedidos no servidos</t>
  </si>
  <si>
    <t xml:space="preserve">      DEMANDA en PERSONAS</t>
    <phoneticPr fontId="0" type="noConversion"/>
  </si>
  <si>
    <t>CRP Global</t>
  </si>
  <si>
    <t>Contratación-capacitación en equipos</t>
    <phoneticPr fontId="0" type="noConversion"/>
  </si>
  <si>
    <t>Despido</t>
  </si>
  <si>
    <t>Equipos por contrato</t>
    <phoneticPr fontId="0" type="noConversion"/>
  </si>
  <si>
    <t>Planilla ocasional por contrato</t>
    <phoneticPr fontId="0" type="noConversion"/>
  </si>
  <si>
    <t>Costos de salarios por destajo</t>
    <phoneticPr fontId="0" type="noConversion"/>
  </si>
  <si>
    <t>Costos de contratación y despido</t>
    <phoneticPr fontId="0" type="noConversion"/>
  </si>
  <si>
    <t>Costo total</t>
  </si>
  <si>
    <t>Ingresos</t>
    <phoneticPr fontId="0" type="noConversion"/>
  </si>
  <si>
    <t>Gastos de operación</t>
    <phoneticPr fontId="0" type="noConversion"/>
  </si>
  <si>
    <t>Personas por equipo</t>
    <phoneticPr fontId="0" type="noConversion"/>
  </si>
  <si>
    <t>Invenatrios</t>
    <phoneticPr fontId="0" type="noConversion"/>
  </si>
  <si>
    <t>Equipos actuales</t>
    <phoneticPr fontId="0" type="noConversion"/>
  </si>
  <si>
    <t>Utilidad</t>
    <phoneticPr fontId="0" type="noConversion"/>
  </si>
  <si>
    <t>Costos de contratación</t>
    <phoneticPr fontId="0" type="noConversion"/>
  </si>
  <si>
    <t>Costos de despido</t>
    <phoneticPr fontId="0" type="noConversion"/>
  </si>
  <si>
    <t>Plan de servicio promedio</t>
    <phoneticPr fontId="0" type="noConversion"/>
  </si>
  <si>
    <t>Costo de los sueldos a destajo</t>
    <phoneticPr fontId="0" type="noConversion"/>
  </si>
  <si>
    <t>Costos de conservación por unidad</t>
    <phoneticPr fontId="0" type="noConversion"/>
  </si>
  <si>
    <t>MRP Platos y Vasos</t>
    <phoneticPr fontId="0" type="noConversion"/>
  </si>
  <si>
    <t>MRP Cubiertos</t>
    <phoneticPr fontId="0" type="noConversion"/>
  </si>
  <si>
    <t>I. Inicial</t>
  </si>
  <si>
    <t>P. Compras</t>
  </si>
  <si>
    <t>Merma</t>
    <phoneticPr fontId="0" type="noConversion"/>
  </si>
  <si>
    <t>Inv. Final</t>
  </si>
  <si>
    <t>F. Pedido</t>
  </si>
  <si>
    <t xml:space="preserve">PNM </t>
    <phoneticPr fontId="0" type="noConversion"/>
  </si>
  <si>
    <t>Fp</t>
  </si>
  <si>
    <t>Fp0</t>
  </si>
  <si>
    <t>Fp con múltiplos</t>
    <phoneticPr fontId="0" type="noConversion"/>
  </si>
  <si>
    <t>A</t>
  </si>
  <si>
    <t>B</t>
  </si>
  <si>
    <t>Inv de Seguridad</t>
  </si>
  <si>
    <t>PNCT-S</t>
  </si>
  <si>
    <t>Múltiplo</t>
  </si>
  <si>
    <t>PNCT-U</t>
  </si>
  <si>
    <t>Merma en U</t>
  </si>
  <si>
    <t>Componente T</t>
  </si>
  <si>
    <t>Componente S</t>
  </si>
  <si>
    <t>Periodo</t>
  </si>
  <si>
    <t>Inv Inicial</t>
  </si>
  <si>
    <t>Plan Producción</t>
  </si>
  <si>
    <t>Plan de Compras</t>
  </si>
  <si>
    <t>PNCT</t>
  </si>
  <si>
    <t>PNM</t>
  </si>
  <si>
    <t>Inv Final</t>
  </si>
  <si>
    <t>F pedido</t>
  </si>
  <si>
    <t xml:space="preserve"> --</t>
  </si>
  <si>
    <t>PNM1 - 1A+3B</t>
  </si>
  <si>
    <t>PNM1 - 2A</t>
  </si>
  <si>
    <t>PNM2 - 1A+3B</t>
  </si>
  <si>
    <t>PNM2 - 2A</t>
  </si>
  <si>
    <t>Fp1</t>
  </si>
  <si>
    <t>PNM3 - 1A+3B</t>
  </si>
  <si>
    <t>PNM3 - 2A</t>
  </si>
  <si>
    <t>Fp2</t>
  </si>
  <si>
    <t>Componente U</t>
  </si>
  <si>
    <t>Merma</t>
  </si>
  <si>
    <t>PNM0 - 2T</t>
  </si>
  <si>
    <t>Fp-1</t>
  </si>
  <si>
    <t>PNM1 - 2T</t>
  </si>
  <si>
    <t>Fp-0</t>
  </si>
  <si>
    <t>PNM2 - 2T</t>
  </si>
  <si>
    <t>C</t>
  </si>
  <si>
    <t>D</t>
  </si>
  <si>
    <t>PNCT-B</t>
  </si>
  <si>
    <t>PNCT-D</t>
  </si>
  <si>
    <t>MERMA</t>
  </si>
  <si>
    <t>Componente B</t>
  </si>
  <si>
    <t>Componente C</t>
  </si>
  <si>
    <t>PNM1</t>
  </si>
  <si>
    <t>PNM2</t>
  </si>
  <si>
    <t>PNM3</t>
  </si>
  <si>
    <t>Componente D</t>
  </si>
  <si>
    <t>X</t>
  </si>
  <si>
    <t>W</t>
  </si>
  <si>
    <t>Y</t>
  </si>
  <si>
    <t>AQL-X</t>
  </si>
  <si>
    <t>PNCT-W</t>
  </si>
  <si>
    <t>Componente Y</t>
  </si>
  <si>
    <t>Componente X</t>
  </si>
  <si>
    <t xml:space="preserve">PNM </t>
  </si>
  <si>
    <t>Componente W</t>
  </si>
  <si>
    <t>Pedido adicional</t>
  </si>
  <si>
    <t>Aumento transitorio</t>
  </si>
  <si>
    <t>Pronóstico de Ventas</t>
    <phoneticPr fontId="0" type="noConversion"/>
  </si>
  <si>
    <t>Producto</t>
    <phoneticPr fontId="0" type="noConversion"/>
  </si>
  <si>
    <t>Mes 1</t>
    <phoneticPr fontId="0" type="noConversion"/>
  </si>
  <si>
    <t>Mes 2</t>
  </si>
  <si>
    <t>Mes 3</t>
  </si>
  <si>
    <t>Invesntario Inicial</t>
    <phoneticPr fontId="0" type="noConversion"/>
  </si>
  <si>
    <t>Inventario de Seguridad</t>
    <phoneticPr fontId="0" type="noConversion"/>
  </si>
  <si>
    <t>Costo contratación/despido</t>
    <phoneticPr fontId="0" type="noConversion"/>
  </si>
  <si>
    <t>Costo MOD - tiempo regular</t>
    <phoneticPr fontId="0" type="noConversion"/>
  </si>
  <si>
    <t>Costo MOD - tiempo extra</t>
    <phoneticPr fontId="0" type="noConversion"/>
  </si>
  <si>
    <t>Tope tiempo extra</t>
    <phoneticPr fontId="0" type="noConversion"/>
  </si>
  <si>
    <t>Tiempo de antelación</t>
    <phoneticPr fontId="0" type="noConversion"/>
  </si>
  <si>
    <t>P</t>
    <phoneticPr fontId="0" type="noConversion"/>
  </si>
  <si>
    <t>Q</t>
    <phoneticPr fontId="0" type="noConversion"/>
  </si>
  <si>
    <t>AQL - MPS</t>
    <phoneticPr fontId="0" type="noConversion"/>
  </si>
  <si>
    <t>AQL - MRP</t>
    <phoneticPr fontId="0" type="noConversion"/>
  </si>
  <si>
    <t>Ch</t>
    <phoneticPr fontId="0" type="noConversion"/>
  </si>
  <si>
    <t>PNCT</t>
    <phoneticPr fontId="0" type="noConversion"/>
  </si>
  <si>
    <t>Inv. Seguridad</t>
    <phoneticPr fontId="0" type="noConversion"/>
  </si>
  <si>
    <t>Actualmente</t>
    <phoneticPr fontId="0" type="noConversion"/>
  </si>
  <si>
    <t>Líneas de producción</t>
    <phoneticPr fontId="0" type="noConversion"/>
  </si>
  <si>
    <t>Empleados por línea</t>
    <phoneticPr fontId="0" type="noConversion"/>
  </si>
  <si>
    <t>Capacidad por línea</t>
    <phoneticPr fontId="0" type="noConversion"/>
  </si>
  <si>
    <t>Capacidad por empleado</t>
    <phoneticPr fontId="0" type="noConversion"/>
  </si>
  <si>
    <t>Componentes</t>
    <phoneticPr fontId="0" type="noConversion"/>
  </si>
  <si>
    <t>Múltiplos</t>
    <phoneticPr fontId="0" type="noConversion"/>
  </si>
  <si>
    <t>A</t>
    <phoneticPr fontId="0" type="noConversion"/>
  </si>
  <si>
    <t>AQL</t>
    <phoneticPr fontId="0" type="noConversion"/>
  </si>
  <si>
    <t>B</t>
    <phoneticPr fontId="0" type="noConversion"/>
  </si>
  <si>
    <t>D</t>
    <phoneticPr fontId="0" type="noConversion"/>
  </si>
  <si>
    <t>E</t>
    <phoneticPr fontId="0" type="noConversion"/>
  </si>
  <si>
    <t>MPS P</t>
    <phoneticPr fontId="0" type="noConversion"/>
  </si>
  <si>
    <t>MPS Q</t>
    <phoneticPr fontId="0" type="noConversion"/>
  </si>
  <si>
    <t>Demanda</t>
    <phoneticPr fontId="0" type="noConversion"/>
  </si>
  <si>
    <t>Inv Inicial</t>
    <phoneticPr fontId="0" type="noConversion"/>
  </si>
  <si>
    <t>Plan de producción</t>
    <phoneticPr fontId="0" type="noConversion"/>
  </si>
  <si>
    <t>Disponible</t>
    <phoneticPr fontId="0" type="noConversion"/>
  </si>
  <si>
    <t>Despacho</t>
    <phoneticPr fontId="0" type="noConversion"/>
  </si>
  <si>
    <t>Inv Final</t>
    <phoneticPr fontId="0" type="noConversion"/>
  </si>
  <si>
    <t>CRP global</t>
  </si>
  <si>
    <t>Costo conservación</t>
  </si>
  <si>
    <t>Contratación-despido</t>
  </si>
  <si>
    <t>Capacidad máxima en Tn</t>
    <phoneticPr fontId="0" type="noConversion"/>
  </si>
  <si>
    <t>Unidades en T extra</t>
    <phoneticPr fontId="0" type="noConversion"/>
  </si>
  <si>
    <t>Capacidad máxima</t>
    <phoneticPr fontId="0" type="noConversion"/>
  </si>
  <si>
    <t>Producción necesaria</t>
    <phoneticPr fontId="0" type="noConversion"/>
  </si>
  <si>
    <t>Tiempo extra</t>
    <phoneticPr fontId="0" type="noConversion"/>
  </si>
  <si>
    <t>Costo por faltantes</t>
  </si>
  <si>
    <t>Costo Total</t>
  </si>
  <si>
    <t>Pp promedio</t>
    <phoneticPr fontId="0" type="noConversion"/>
  </si>
  <si>
    <t>Número de empleados</t>
    <phoneticPr fontId="0" type="noConversion"/>
  </si>
  <si>
    <t>Número de líneas</t>
    <phoneticPr fontId="0" type="noConversion"/>
  </si>
  <si>
    <t>MRP de B</t>
    <phoneticPr fontId="0" type="noConversion"/>
  </si>
  <si>
    <t>Pedidos</t>
    <phoneticPr fontId="0" type="noConversion"/>
  </si>
  <si>
    <r>
      <t>PNM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=</t>
    </r>
  </si>
  <si>
    <t>Inventario inicial</t>
    <phoneticPr fontId="0" type="noConversion"/>
  </si>
  <si>
    <r>
      <t>Fp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 xml:space="preserve"> =</t>
    </r>
  </si>
  <si>
    <r>
      <t>PNM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=</t>
    </r>
  </si>
  <si>
    <r>
      <t>Fp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=</t>
    </r>
  </si>
  <si>
    <r>
      <t>PNM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=</t>
    </r>
  </si>
  <si>
    <t>PNM</t>
    <phoneticPr fontId="0" type="noConversion"/>
  </si>
  <si>
    <r>
      <t>Fp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=</t>
    </r>
  </si>
  <si>
    <t>Inventario final</t>
    <phoneticPr fontId="0" type="noConversion"/>
  </si>
  <si>
    <t>Formulación del pedido</t>
    <phoneticPr fontId="0" type="noConversion"/>
  </si>
  <si>
    <t>MRP de E</t>
    <phoneticPr fontId="0" type="noConversion"/>
  </si>
  <si>
    <r>
      <t>PNM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 xml:space="preserve"> =</t>
    </r>
  </si>
  <si>
    <r>
      <t>Fp</t>
    </r>
    <r>
      <rPr>
        <vertAlign val="subscript"/>
        <sz val="10"/>
        <rFont val="Arial"/>
        <family val="2"/>
      </rPr>
      <t>-1</t>
    </r>
    <r>
      <rPr>
        <sz val="10"/>
        <rFont val="Arial"/>
        <family val="2"/>
      </rPr>
      <t xml:space="preserve"> =</t>
    </r>
  </si>
  <si>
    <t>Plan de Compras</t>
    <phoneticPr fontId="0" type="noConversion"/>
  </si>
  <si>
    <t>Tstd de P</t>
  </si>
  <si>
    <t>Salario tiempo normal</t>
  </si>
  <si>
    <t>Precio</t>
  </si>
  <si>
    <t>CMP</t>
  </si>
  <si>
    <t>Op</t>
  </si>
  <si>
    <t>Tstd</t>
  </si>
  <si>
    <t>ai</t>
  </si>
  <si>
    <t>vi</t>
  </si>
  <si>
    <t>MPS P</t>
  </si>
  <si>
    <t>MPS R</t>
  </si>
  <si>
    <t>Salario tiempo extra</t>
  </si>
  <si>
    <t>P</t>
  </si>
  <si>
    <t>R</t>
  </si>
  <si>
    <t>E</t>
  </si>
  <si>
    <t>Ch</t>
  </si>
  <si>
    <t>Gastos de operación</t>
  </si>
  <si>
    <t>Tstd de R</t>
  </si>
  <si>
    <t>PP</t>
  </si>
  <si>
    <t>Desperdicio</t>
  </si>
  <si>
    <t>Ventas</t>
  </si>
  <si>
    <t>Valor de las máquinas</t>
  </si>
  <si>
    <t>Máquinas por comprar</t>
  </si>
  <si>
    <t>I. Final</t>
  </si>
  <si>
    <t>U bruta</t>
  </si>
  <si>
    <t>Inversión en máquinas</t>
  </si>
  <si>
    <t>Tstd de W</t>
  </si>
  <si>
    <t>Costos de conservación</t>
  </si>
  <si>
    <t>MRP W</t>
  </si>
  <si>
    <t>MRP Z</t>
  </si>
  <si>
    <t>Sueldos</t>
  </si>
  <si>
    <t>Gastos depreciación</t>
  </si>
  <si>
    <t>UAII</t>
  </si>
  <si>
    <t>Tstd de Z</t>
  </si>
  <si>
    <t>P. Producción</t>
  </si>
  <si>
    <t>Flujo de efectivo</t>
  </si>
  <si>
    <t>Periodo de recuperación</t>
  </si>
  <si>
    <t>Productos</t>
  </si>
  <si>
    <t>Producción</t>
  </si>
  <si>
    <t>CD</t>
  </si>
  <si>
    <t>CD extra</t>
  </si>
  <si>
    <t>CD total</t>
  </si>
  <si>
    <t>Trp</t>
  </si>
  <si>
    <t>1P+3R</t>
  </si>
  <si>
    <t>4P+1R</t>
  </si>
  <si>
    <t>MRP X</t>
  </si>
  <si>
    <t>Tabla de cargas unitarias</t>
  </si>
  <si>
    <t>Máquinas</t>
  </si>
  <si>
    <t>A. Transitorio</t>
  </si>
  <si>
    <t>3Z</t>
  </si>
  <si>
    <t>PNMx</t>
  </si>
  <si>
    <t>Necesidad de máquinas y operarios</t>
  </si>
  <si>
    <t>Tstd/Trp</t>
  </si>
  <si>
    <t>Necesidad</t>
  </si>
  <si>
    <t>Comprar</t>
  </si>
  <si>
    <t>MOD</t>
  </si>
  <si>
    <t>Contratar</t>
  </si>
  <si>
    <t>Tcarga</t>
  </si>
  <si>
    <t>A-P</t>
  </si>
  <si>
    <t>A-R</t>
  </si>
  <si>
    <t>B-P</t>
  </si>
  <si>
    <t>B-R</t>
  </si>
  <si>
    <t>C-P</t>
  </si>
  <si>
    <t>C-R</t>
  </si>
  <si>
    <t>D-P</t>
  </si>
  <si>
    <t>D-R</t>
  </si>
  <si>
    <t>E-P</t>
  </si>
  <si>
    <t>E-R</t>
  </si>
  <si>
    <t>Lista de materiales</t>
  </si>
  <si>
    <t>MPS Total</t>
  </si>
  <si>
    <t>Z</t>
  </si>
  <si>
    <t>Hrs. Extra</t>
  </si>
  <si>
    <t>Costo T extra</t>
  </si>
  <si>
    <t>Maquinaria y Equipo</t>
  </si>
  <si>
    <t>Precio en dólares por máquina</t>
  </si>
  <si>
    <t>Capacidad en kilogramos por hora</t>
  </si>
  <si>
    <t>Personas por máquina</t>
  </si>
  <si>
    <r>
      <t>a</t>
    </r>
    <r>
      <rPr>
        <b/>
        <vertAlign val="subscript"/>
        <sz val="12"/>
        <color theme="1"/>
        <rFont val="Times New Roman"/>
        <family val="1"/>
      </rPr>
      <t>i</t>
    </r>
  </si>
  <si>
    <t>Vi</t>
  </si>
  <si>
    <t>Tiempos Reales</t>
  </si>
  <si>
    <t>Tiempos Estándar Ajustados por Desperdicios</t>
  </si>
  <si>
    <t># de Máquinas</t>
  </si>
  <si>
    <t>T Carga minutos por unidad</t>
  </si>
  <si>
    <t># de Operarios</t>
  </si>
  <si>
    <t>Carga con 53000 Kgrs</t>
  </si>
  <si>
    <t>CD en minutos</t>
  </si>
  <si>
    <t>T extra en minutos</t>
  </si>
  <si>
    <t>% U</t>
  </si>
  <si>
    <t>Costo de las Horas Extra</t>
  </si>
  <si>
    <t>Costo de contratación</t>
  </si>
  <si>
    <t>Inversión en Máquinas</t>
  </si>
  <si>
    <t>Máquina de molienda</t>
  </si>
  <si>
    <t>Recipiente para disolución</t>
  </si>
  <si>
    <t>Máquina mezcladora y caldera a vapor</t>
  </si>
  <si>
    <t>Máquina de 5 rodillos</t>
  </si>
  <si>
    <t>Bomba del caldero de agua de 2 capas</t>
  </si>
  <si>
    <t>Equipo de refinación</t>
  </si>
  <si>
    <t>Depósito de chocolate</t>
  </si>
  <si>
    <t>Transportador de enfriamiento</t>
  </si>
  <si>
    <t>Transportador vibratorio</t>
  </si>
  <si>
    <t>Máquina rellenadora</t>
  </si>
  <si>
    <t>Transportador de moldes vacíos</t>
  </si>
  <si>
    <t>Máquina envolvedora</t>
  </si>
  <si>
    <t>Utilización</t>
  </si>
  <si>
    <t>Eficiencia</t>
  </si>
  <si>
    <t>Cd</t>
  </si>
  <si>
    <t>Producción mensual promedio</t>
  </si>
  <si>
    <t>Costo de la hora extra</t>
  </si>
  <si>
    <t xml:space="preserve">Costo de contratación </t>
  </si>
  <si>
    <t>Inventario de seguridad</t>
  </si>
  <si>
    <t>MPS</t>
  </si>
  <si>
    <t>Plan de producción</t>
  </si>
  <si>
    <t>Nota: el MPS es el mismo para los cuatro tipos de chocolate</t>
  </si>
  <si>
    <t>Inventarios de Seguridad</t>
  </si>
  <si>
    <t>Calculo de los Tiempos Estándar Ajustados por Desperdicios</t>
  </si>
  <si>
    <t>Centro de Trabajo</t>
  </si>
  <si>
    <t>Tiempo Std</t>
  </si>
  <si>
    <t>Tstd ajustado por desperdicios</t>
  </si>
  <si>
    <t>MPS Tijeras escolares</t>
  </si>
  <si>
    <t>MPS Tijeras para peluquerías</t>
  </si>
  <si>
    <t>Balance del Flujo del Proceso: Número de Máquinas por centro de trabajo</t>
  </si>
  <si>
    <t>CT</t>
  </si>
  <si>
    <t># de Maq</t>
  </si>
  <si>
    <t>T carga</t>
  </si>
  <si>
    <t>Operarios</t>
  </si>
  <si>
    <t>Eg</t>
  </si>
  <si>
    <t>PNCT =</t>
    <phoneticPr fontId="0" type="noConversion"/>
  </si>
  <si>
    <t>Carga de Trabajo Esperada y Horas Extra por Centro de Trabajo</t>
  </si>
  <si>
    <t>Merma =</t>
    <phoneticPr fontId="0" type="noConversion"/>
  </si>
  <si>
    <t>Total</t>
  </si>
  <si>
    <t>MRP de las Varillas de Acero</t>
  </si>
  <si>
    <t>MRP de Cajas de Cartón para empaque</t>
  </si>
  <si>
    <t>Carga</t>
  </si>
  <si>
    <t>T. Normal</t>
  </si>
  <si>
    <t>T. Extra</t>
  </si>
  <si>
    <t>%U</t>
  </si>
  <si>
    <t>PNM =</t>
  </si>
  <si>
    <t>Fp =</t>
  </si>
  <si>
    <t>a. Fisher -&gt; Finanzas / Golhar -&gt; Economía / Hug -&gt; Estadística / Rustagi -&gt; Administración</t>
  </si>
  <si>
    <t>b. Igual que el anterior.</t>
  </si>
  <si>
    <t>Tiempo extra máximo</t>
  </si>
  <si>
    <t>Producto</t>
  </si>
  <si>
    <t>K</t>
  </si>
  <si>
    <t>Salario regular por hora</t>
  </si>
  <si>
    <t>Salario tiempo extra por hr.</t>
  </si>
  <si>
    <t>Q</t>
  </si>
  <si>
    <t>Costo de conservación</t>
  </si>
  <si>
    <t>Gasto de depreciación por maq</t>
  </si>
  <si>
    <t>Gastos de operación por periodo</t>
  </si>
  <si>
    <t>MPS por Nivelación</t>
  </si>
  <si>
    <t>Unidades buenas totales</t>
  </si>
  <si>
    <t>Producción promedio</t>
  </si>
  <si>
    <t>Capacidad Disponible</t>
  </si>
  <si>
    <t>TRP</t>
  </si>
  <si>
    <t>Producto P</t>
  </si>
  <si>
    <t>Producto Q</t>
  </si>
  <si>
    <t>Gastos por salarios</t>
  </si>
  <si>
    <t>Plan de producción promedio</t>
  </si>
  <si>
    <t>Gastos por depreciación</t>
  </si>
  <si>
    <t>Aprovechamiento</t>
  </si>
  <si>
    <t>Inventario inicial</t>
  </si>
  <si>
    <t>Máquina</t>
  </si>
  <si>
    <t>Asignación</t>
  </si>
  <si>
    <t>Min reales por unidad</t>
  </si>
  <si>
    <t>Periodos</t>
  </si>
  <si>
    <t>Necesidades Agregadas de X</t>
  </si>
  <si>
    <t>Operario 1</t>
  </si>
  <si>
    <t>M1 y LM</t>
  </si>
  <si>
    <t>M1</t>
  </si>
  <si>
    <t>MRP de W nivelado</t>
  </si>
  <si>
    <t>Operario 2</t>
  </si>
  <si>
    <t>LM</t>
  </si>
  <si>
    <t>X para P</t>
  </si>
  <si>
    <t>Operario 3</t>
  </si>
  <si>
    <t>M2 y M3</t>
  </si>
  <si>
    <t>M3</t>
  </si>
  <si>
    <t>X para Q</t>
  </si>
  <si>
    <t>Operario 4</t>
  </si>
  <si>
    <t>M2 y LM</t>
  </si>
  <si>
    <t>M2</t>
  </si>
  <si>
    <t>X para W</t>
  </si>
  <si>
    <t>X para K</t>
  </si>
  <si>
    <t>Formulaciones de pedido</t>
  </si>
  <si>
    <r>
      <t>Necesidad de W</t>
    </r>
    <r>
      <rPr>
        <vertAlign val="subscript"/>
        <sz val="10"/>
        <rFont val="Verdana"/>
        <family val="2"/>
      </rPr>
      <t>1</t>
    </r>
    <r>
      <rPr>
        <sz val="12"/>
        <color theme="1"/>
        <rFont val="Calibri"/>
        <family val="2"/>
        <scheme val="minor"/>
      </rPr>
      <t xml:space="preserve">  =</t>
    </r>
  </si>
  <si>
    <r>
      <t>Necesidad de W</t>
    </r>
    <r>
      <rPr>
        <vertAlign val="subscript"/>
        <sz val="10"/>
        <rFont val="Verdana"/>
        <family val="2"/>
      </rPr>
      <t>2</t>
    </r>
    <r>
      <rPr>
        <sz val="12"/>
        <color theme="1"/>
        <rFont val="Calibri"/>
        <family val="2"/>
        <scheme val="minor"/>
      </rPr>
      <t xml:space="preserve">  =</t>
    </r>
  </si>
  <si>
    <r>
      <t>Necesidad de W</t>
    </r>
    <r>
      <rPr>
        <vertAlign val="subscript"/>
        <sz val="10"/>
        <rFont val="Verdana"/>
        <family val="2"/>
      </rPr>
      <t>3</t>
    </r>
    <r>
      <rPr>
        <sz val="12"/>
        <color theme="1"/>
        <rFont val="Calibri"/>
        <family val="2"/>
        <scheme val="minor"/>
      </rPr>
      <t xml:space="preserve">  =</t>
    </r>
  </si>
  <si>
    <t>Fp promedio =</t>
  </si>
  <si>
    <r>
      <t xml:space="preserve">Fp </t>
    </r>
    <r>
      <rPr>
        <sz val="8"/>
        <rFont val="Verdana"/>
        <family val="2"/>
      </rPr>
      <t xml:space="preserve">1 </t>
    </r>
    <r>
      <rPr>
        <sz val="12"/>
        <color theme="1"/>
        <rFont val="Calibri"/>
        <family val="2"/>
        <scheme val="minor"/>
      </rPr>
      <t>=</t>
    </r>
  </si>
  <si>
    <t>MRP de K nivelación</t>
  </si>
  <si>
    <t>MRP de X persecución</t>
  </si>
  <si>
    <t>Invenatrio inical</t>
    <phoneticPr fontId="0" type="noConversion"/>
  </si>
  <si>
    <t>Plan de compras</t>
    <phoneticPr fontId="0" type="noConversion"/>
  </si>
  <si>
    <r>
      <t>Necesidad de K</t>
    </r>
    <r>
      <rPr>
        <vertAlign val="subscript"/>
        <sz val="10"/>
        <rFont val="Verdana"/>
        <family val="2"/>
      </rPr>
      <t>0</t>
    </r>
    <r>
      <rPr>
        <sz val="12"/>
        <color theme="1"/>
        <rFont val="Calibri"/>
        <family val="2"/>
        <scheme val="minor"/>
      </rPr>
      <t xml:space="preserve">  =</t>
    </r>
  </si>
  <si>
    <r>
      <t>Necesidad de K</t>
    </r>
    <r>
      <rPr>
        <vertAlign val="subscript"/>
        <sz val="10"/>
        <rFont val="Verdana"/>
        <family val="2"/>
      </rPr>
      <t>1</t>
    </r>
    <r>
      <rPr>
        <sz val="12"/>
        <color theme="1"/>
        <rFont val="Calibri"/>
        <family val="2"/>
        <scheme val="minor"/>
      </rPr>
      <t xml:space="preserve">  =</t>
    </r>
  </si>
  <si>
    <r>
      <t>Necesidad de K</t>
    </r>
    <r>
      <rPr>
        <vertAlign val="subscript"/>
        <sz val="10"/>
        <rFont val="Verdana"/>
        <family val="2"/>
      </rPr>
      <t>2</t>
    </r>
    <r>
      <rPr>
        <sz val="12"/>
        <color theme="1"/>
        <rFont val="Calibri"/>
        <family val="2"/>
        <scheme val="minor"/>
      </rPr>
      <t xml:space="preserve">  =</t>
    </r>
  </si>
  <si>
    <r>
      <t xml:space="preserve">Fp </t>
    </r>
    <r>
      <rPr>
        <sz val="8"/>
        <rFont val="Verdana"/>
        <family val="2"/>
      </rPr>
      <t xml:space="preserve">0 </t>
    </r>
    <r>
      <rPr>
        <sz val="12"/>
        <color theme="1"/>
        <rFont val="Calibri"/>
        <family val="2"/>
        <scheme val="minor"/>
      </rPr>
      <t>=</t>
    </r>
  </si>
  <si>
    <t>CRP específico</t>
  </si>
  <si>
    <t>Cálculos de tiempos de ejecución ajustados</t>
  </si>
  <si>
    <t>Tr min/und</t>
  </si>
  <si>
    <t>U</t>
  </si>
  <si>
    <t>a</t>
  </si>
  <si>
    <t>Tstd ajustado</t>
  </si>
  <si>
    <t>Balance del Flujo del proceso</t>
  </si>
  <si>
    <t>Tstd ajsutado</t>
  </si>
  <si>
    <t>Tstd/trp</t>
  </si>
  <si>
    <t># de Máq</t>
  </si>
  <si>
    <t>Carga min/und</t>
  </si>
  <si>
    <t>Carga de trabajo esperada y tiempo extra por departamento</t>
  </si>
  <si>
    <t>Costo de conservación total</t>
  </si>
  <si>
    <t>Inventario medio</t>
  </si>
  <si>
    <t>Tstd-ajustado</t>
  </si>
  <si>
    <t>M6</t>
  </si>
  <si>
    <t>M7</t>
  </si>
  <si>
    <t>Mes 1</t>
  </si>
  <si>
    <t>P =</t>
  </si>
  <si>
    <t>Q =</t>
  </si>
  <si>
    <t>R =</t>
  </si>
  <si>
    <t>M8</t>
  </si>
  <si>
    <t>M9</t>
  </si>
  <si>
    <t>MPS DE P</t>
  </si>
  <si>
    <t>MPS DE Q</t>
  </si>
  <si>
    <t>MPS DE R</t>
  </si>
  <si>
    <t>Componente Z</t>
  </si>
  <si>
    <t>Inv. Inicial</t>
  </si>
  <si>
    <t>P producción</t>
  </si>
  <si>
    <t>Ensamble WY</t>
  </si>
  <si>
    <t>A transitorio</t>
  </si>
  <si>
    <t>M10</t>
  </si>
  <si>
    <t>M4</t>
  </si>
  <si>
    <t>MRP DE W</t>
  </si>
  <si>
    <t>Is = 10%</t>
  </si>
  <si>
    <t>MRP DE Y</t>
  </si>
  <si>
    <t>Is = 20%</t>
  </si>
  <si>
    <t>MRP DE Z</t>
  </si>
  <si>
    <t>M5</t>
  </si>
  <si>
    <t>Cargas Unitarias</t>
  </si>
  <si>
    <t>Célula</t>
  </si>
  <si>
    <t>W =</t>
  </si>
  <si>
    <t>1P+3Q+3R</t>
  </si>
  <si>
    <t>Y =</t>
  </si>
  <si>
    <t>2P+1Q+1R</t>
  </si>
  <si>
    <t>Z =</t>
  </si>
  <si>
    <t>1P+2Q+1R</t>
  </si>
  <si>
    <t>Capacidad Disp</t>
    <phoneticPr fontId="0"/>
  </si>
  <si>
    <t>Carga de W</t>
    <phoneticPr fontId="0"/>
  </si>
  <si>
    <t>Queda disp</t>
    <phoneticPr fontId="0"/>
  </si>
  <si>
    <t>Puede de Z</t>
    <phoneticPr fontId="0"/>
  </si>
  <si>
    <t>No aplica, no se tiene capacidad</t>
  </si>
  <si>
    <t>Carga Total</t>
  </si>
  <si>
    <t>Lo más que puede es</t>
  </si>
  <si>
    <t>Precio Venta</t>
  </si>
  <si>
    <t>Persecución</t>
  </si>
  <si>
    <t>Nivelación</t>
  </si>
  <si>
    <t>MRP DE X</t>
  </si>
  <si>
    <t>Is=10%</t>
  </si>
  <si>
    <t>Desp = 3%</t>
  </si>
  <si>
    <t>Merma = 2%</t>
  </si>
  <si>
    <t>Múltiplos 50</t>
  </si>
  <si>
    <t>M. UT</t>
  </si>
  <si>
    <t>T.Cb</t>
  </si>
  <si>
    <t>Througput</t>
  </si>
  <si>
    <t>A Transitorio</t>
  </si>
  <si>
    <t>X =</t>
  </si>
  <si>
    <t>Mezcla</t>
  </si>
  <si>
    <t xml:space="preserve">X = </t>
  </si>
  <si>
    <t>PPP</t>
  </si>
  <si>
    <t>Prueba en M9</t>
  </si>
  <si>
    <t>Crp Específico</t>
  </si>
  <si>
    <t>Costo de Conservación</t>
  </si>
  <si>
    <t>Capacidad disponible</t>
  </si>
  <si>
    <t>Min/mes</t>
  </si>
  <si>
    <t>Q/2</t>
  </si>
  <si>
    <t>Ch Total</t>
  </si>
  <si>
    <t>C disp. con tiempo extra</t>
  </si>
  <si>
    <t>Balance del flujo del proceso.  Número de estaciones de trabajo</t>
  </si>
  <si>
    <t># Células</t>
  </si>
  <si>
    <t>Carga de trabajo esperada y horas extra por estación de trabajo</t>
  </si>
  <si>
    <t>Operación</t>
  </si>
  <si>
    <t>Células</t>
  </si>
  <si>
    <t>S</t>
  </si>
  <si>
    <t>Min extra</t>
  </si>
  <si>
    <t>Costo de la Mano de Obra</t>
  </si>
  <si>
    <t>Costo de Contratación</t>
  </si>
  <si>
    <t>Número de máquinas</t>
  </si>
  <si>
    <t>Personas/Máquina</t>
  </si>
  <si>
    <t>Horas Tnormal</t>
  </si>
  <si>
    <t>Horas Textra</t>
  </si>
  <si>
    <t>Costo/Hr normal</t>
  </si>
  <si>
    <t>Costo/Hr extra</t>
  </si>
  <si>
    <t>Estado de Resultados</t>
  </si>
  <si>
    <t>Actuales</t>
  </si>
  <si>
    <t>Se Necesitan</t>
  </si>
  <si>
    <t>Cambio en Maq</t>
  </si>
  <si>
    <t>Costo</t>
  </si>
  <si>
    <t>Cmp</t>
  </si>
  <si>
    <t>UT Bruta</t>
  </si>
  <si>
    <t>Gastos de MOD</t>
  </si>
  <si>
    <t>Gastos Operativos</t>
  </si>
  <si>
    <t>Inv de seguridad</t>
  </si>
  <si>
    <t>Conversiones</t>
  </si>
  <si>
    <t>Cuero</t>
  </si>
  <si>
    <t>Platilla</t>
  </si>
  <si>
    <t>Suela</t>
  </si>
  <si>
    <t>Merma CD</t>
  </si>
  <si>
    <t>Zapato A</t>
  </si>
  <si>
    <t>Merma BMO</t>
  </si>
  <si>
    <t>Zapato B</t>
  </si>
  <si>
    <t>PNCT avión</t>
  </si>
  <si>
    <t>Zapato C</t>
  </si>
  <si>
    <t>PNCT camión</t>
  </si>
  <si>
    <t>MPS en Persecución por ser Lean</t>
  </si>
  <si>
    <t>MRP</t>
  </si>
  <si>
    <t>MRP del cuero</t>
  </si>
  <si>
    <t>MRP de las suelas</t>
  </si>
  <si>
    <r>
      <t>Necesidad de B</t>
    </r>
    <r>
      <rPr>
        <vertAlign val="subscript"/>
        <sz val="10"/>
        <rFont val="Verdana"/>
        <family val="2"/>
      </rPr>
      <t>1</t>
    </r>
    <r>
      <rPr>
        <sz val="12"/>
        <color theme="1"/>
        <rFont val="Calibri"/>
        <family val="2"/>
        <scheme val="minor"/>
      </rPr>
      <t xml:space="preserve">  =</t>
    </r>
  </si>
  <si>
    <t>Necesidad de E0  =</t>
  </si>
  <si>
    <r>
      <t>FP</t>
    </r>
    <r>
      <rPr>
        <vertAlign val="subscript"/>
        <sz val="10"/>
        <rFont val="Verdana"/>
        <family val="2"/>
      </rPr>
      <t>0</t>
    </r>
    <r>
      <rPr>
        <sz val="12"/>
        <color theme="1"/>
        <rFont val="Calibri"/>
        <family val="2"/>
        <scheme val="minor"/>
      </rPr>
      <t xml:space="preserve"> =</t>
    </r>
  </si>
  <si>
    <t>FP-1 =</t>
  </si>
  <si>
    <r>
      <t>Necesidad de B</t>
    </r>
    <r>
      <rPr>
        <vertAlign val="subscript"/>
        <sz val="10"/>
        <rFont val="Verdana"/>
        <family val="2"/>
      </rPr>
      <t>2</t>
    </r>
    <r>
      <rPr>
        <sz val="12"/>
        <color theme="1"/>
        <rFont val="Calibri"/>
        <family val="2"/>
        <scheme val="minor"/>
      </rPr>
      <t xml:space="preserve">  =</t>
    </r>
  </si>
  <si>
    <t>Necesidad de E1  =</t>
  </si>
  <si>
    <r>
      <t>FP</t>
    </r>
    <r>
      <rPr>
        <vertAlign val="subscript"/>
        <sz val="10"/>
        <rFont val="Verdana"/>
        <family val="2"/>
      </rPr>
      <t>1</t>
    </r>
    <r>
      <rPr>
        <sz val="12"/>
        <color theme="1"/>
        <rFont val="Calibri"/>
        <family val="2"/>
        <scheme val="minor"/>
      </rPr>
      <t xml:space="preserve"> =</t>
    </r>
  </si>
  <si>
    <t>FP0=</t>
  </si>
  <si>
    <r>
      <t>Necesidad de B</t>
    </r>
    <r>
      <rPr>
        <vertAlign val="subscript"/>
        <sz val="10"/>
        <rFont val="Verdana"/>
        <family val="2"/>
      </rPr>
      <t>3</t>
    </r>
    <r>
      <rPr>
        <sz val="12"/>
        <color theme="1"/>
        <rFont val="Calibri"/>
        <family val="2"/>
        <scheme val="minor"/>
      </rPr>
      <t xml:space="preserve">  =</t>
    </r>
  </si>
  <si>
    <t>Necesidad de E2  =</t>
  </si>
  <si>
    <r>
      <t>FP</t>
    </r>
    <r>
      <rPr>
        <vertAlign val="subscript"/>
        <sz val="10"/>
        <rFont val="Verdana"/>
        <family val="2"/>
      </rPr>
      <t>2</t>
    </r>
    <r>
      <rPr>
        <sz val="12"/>
        <color theme="1"/>
        <rFont val="Calibri"/>
        <family val="2"/>
        <scheme val="minor"/>
      </rPr>
      <t xml:space="preserve"> =</t>
    </r>
  </si>
  <si>
    <t>FP1 =</t>
  </si>
  <si>
    <t>MRP de las platillas</t>
  </si>
  <si>
    <t>Necesidad de D0  =</t>
  </si>
  <si>
    <t>Necesidad de D1  =</t>
  </si>
  <si>
    <t>Necesidad de D2  =</t>
  </si>
  <si>
    <t>CRP</t>
  </si>
  <si>
    <t>Tiempo Disponible</t>
  </si>
  <si>
    <t>Estimación de la demanda</t>
  </si>
  <si>
    <t>Estimación de las necesidades de maquinaria y personal</t>
  </si>
  <si>
    <t>Takt Time</t>
  </si>
  <si>
    <t>Estimación de Recursos</t>
  </si>
  <si>
    <t>Corte</t>
  </si>
  <si>
    <t>Costura</t>
  </si>
  <si>
    <t>Ensuelado</t>
  </si>
  <si>
    <t>Empacado</t>
  </si>
  <si>
    <t>Número de operarios</t>
  </si>
  <si>
    <t>Número máquinas</t>
  </si>
  <si>
    <t>Inversión en maquinaria</t>
  </si>
  <si>
    <t>Gasto en salarios</t>
  </si>
  <si>
    <t>Tiempo de carga</t>
  </si>
  <si>
    <t>Carga mes 1</t>
  </si>
  <si>
    <t>Carga mes 2</t>
  </si>
  <si>
    <t>Carga mes 3</t>
  </si>
  <si>
    <t>Tiempo disponible real</t>
  </si>
  <si>
    <t>Horas extra</t>
  </si>
  <si>
    <t>Demanda mensual</t>
  </si>
  <si>
    <t xml:space="preserve">Dias </t>
  </si>
  <si>
    <t>Fabricacion diaria</t>
  </si>
  <si>
    <t>PV</t>
  </si>
  <si>
    <t>Mcon</t>
  </si>
  <si>
    <t>Tiempo disponible diario</t>
  </si>
  <si>
    <t>Ingresos</t>
  </si>
  <si>
    <t>Gastos de Op</t>
  </si>
  <si>
    <t>Heijunka</t>
  </si>
  <si>
    <t>Mano de obra</t>
  </si>
  <si>
    <t>Producción nivelada: AACCB-AACCB-AACCB</t>
  </si>
  <si>
    <t>TD</t>
  </si>
  <si>
    <t>Charola</t>
  </si>
  <si>
    <t>Inicio</t>
  </si>
  <si>
    <t>Fin</t>
  </si>
  <si>
    <t>CDMh</t>
  </si>
  <si>
    <t>Al final del día tengo</t>
  </si>
  <si>
    <t>Celula 1 - Carcaza</t>
    <phoneticPr fontId="0" type="noConversion"/>
  </si>
  <si>
    <t>Demanda</t>
    <phoneticPr fontId="0" type="noConversion"/>
  </si>
  <si>
    <t>Mes 1</t>
    <phoneticPr fontId="0" type="noConversion"/>
  </si>
  <si>
    <t>Mes 2</t>
    <phoneticPr fontId="0" type="noConversion"/>
  </si>
  <si>
    <t>Mes3</t>
    <phoneticPr fontId="0" type="noConversion"/>
  </si>
  <si>
    <t>Materiales</t>
    <phoneticPr fontId="0" type="noConversion"/>
  </si>
  <si>
    <t>Costos</t>
    <phoneticPr fontId="0" type="noConversion"/>
  </si>
  <si>
    <t>CMP P</t>
    <phoneticPr fontId="0" type="noConversion"/>
  </si>
  <si>
    <t>CMP Q</t>
    <phoneticPr fontId="0" type="noConversion"/>
  </si>
  <si>
    <t>CMP S</t>
    <phoneticPr fontId="0" type="noConversion"/>
  </si>
  <si>
    <t>Tr</t>
    <phoneticPr fontId="0" type="noConversion"/>
  </si>
  <si>
    <t>U</t>
    <phoneticPr fontId="0" type="noConversion"/>
  </si>
  <si>
    <t>E</t>
    <phoneticPr fontId="0" type="noConversion"/>
  </si>
  <si>
    <t>Tstd</t>
    <phoneticPr fontId="0" type="noConversion"/>
  </si>
  <si>
    <t>P</t>
    <phoneticPr fontId="0" type="noConversion"/>
  </si>
  <si>
    <t>Ventas P</t>
    <phoneticPr fontId="0" type="noConversion"/>
  </si>
  <si>
    <t>Lamina</t>
    <phoneticPr fontId="0" type="noConversion"/>
  </si>
  <si>
    <t>Q</t>
    <phoneticPr fontId="0" type="noConversion"/>
  </si>
  <si>
    <t>Ventas Q</t>
    <phoneticPr fontId="0" type="noConversion"/>
  </si>
  <si>
    <t>Tornillos</t>
    <phoneticPr fontId="0" type="noConversion"/>
  </si>
  <si>
    <t>S</t>
    <phoneticPr fontId="0" type="noConversion"/>
  </si>
  <si>
    <t>Ventas S</t>
    <phoneticPr fontId="0" type="noConversion"/>
  </si>
  <si>
    <t>Tarjeta</t>
    <phoneticPr fontId="0" type="noConversion"/>
  </si>
  <si>
    <t>Chips</t>
    <phoneticPr fontId="0" type="noConversion"/>
  </si>
  <si>
    <t>Total</t>
    <phoneticPr fontId="0" type="noConversion"/>
  </si>
  <si>
    <t>Capacidad Disponible</t>
    <phoneticPr fontId="0" type="noConversion"/>
  </si>
  <si>
    <t>Cable con</t>
    <phoneticPr fontId="0" type="noConversion"/>
  </si>
  <si>
    <t>Capacidad Disponible con hrs extra</t>
    <phoneticPr fontId="0" type="noConversion"/>
  </si>
  <si>
    <t>Cable ali</t>
    <phoneticPr fontId="0" type="noConversion"/>
  </si>
  <si>
    <t>Celula 2 - Interfase</t>
    <phoneticPr fontId="0" type="noConversion"/>
  </si>
  <si>
    <t>Horas extra máximas</t>
    <phoneticPr fontId="0" type="noConversion"/>
  </si>
  <si>
    <t>Utilidad bruta</t>
    <phoneticPr fontId="0" type="noConversion"/>
  </si>
  <si>
    <t>Disco duro 100</t>
    <phoneticPr fontId="0" type="noConversion"/>
  </si>
  <si>
    <t>Tr</t>
  </si>
  <si>
    <t>Gastos de Op</t>
    <phoneticPr fontId="0" type="noConversion"/>
  </si>
  <si>
    <t>Disco duro 120</t>
    <phoneticPr fontId="0" type="noConversion"/>
  </si>
  <si>
    <t>Gastos MOD</t>
    <phoneticPr fontId="0" type="noConversion"/>
  </si>
  <si>
    <t>Disco duro 140</t>
    <phoneticPr fontId="0" type="noConversion"/>
  </si>
  <si>
    <t>MPS Q</t>
  </si>
  <si>
    <t>MPS S</t>
  </si>
  <si>
    <t>Contratación</t>
    <phoneticPr fontId="0" type="noConversion"/>
  </si>
  <si>
    <t>Caja</t>
    <phoneticPr fontId="0" type="noConversion"/>
  </si>
  <si>
    <t>T. Extra</t>
    <phoneticPr fontId="0" type="noConversion"/>
  </si>
  <si>
    <t>Costo conservación</t>
    <phoneticPr fontId="0" type="noConversion"/>
  </si>
  <si>
    <t>UAII</t>
    <phoneticPr fontId="0" type="noConversion"/>
  </si>
  <si>
    <t>Celula 3 - Ensamble final</t>
    <phoneticPr fontId="0" type="noConversion"/>
  </si>
  <si>
    <t>Ch</t>
    <phoneticPr fontId="0" type="noConversion"/>
  </si>
  <si>
    <t>MRP Lamina aluminio y tarjeta electrónica</t>
    <phoneticPr fontId="0" type="noConversion"/>
  </si>
  <si>
    <t>MRP Tornillos</t>
    <phoneticPr fontId="0" type="noConversion"/>
  </si>
  <si>
    <t>MRP Cable  conexión - Cable alimentación</t>
    <phoneticPr fontId="0" type="noConversion"/>
  </si>
  <si>
    <t>MRP Disco Duro 100 gigas</t>
    <phoneticPr fontId="0" type="noConversion"/>
  </si>
  <si>
    <t xml:space="preserve">Túnel de Calor </t>
    <phoneticPr fontId="0" type="noConversion"/>
  </si>
  <si>
    <t>Unds/hr</t>
    <phoneticPr fontId="0" type="noConversion"/>
  </si>
  <si>
    <t>PNM</t>
    <phoneticPr fontId="0" type="noConversion"/>
  </si>
  <si>
    <t>1P+1Q+1S</t>
    <phoneticPr fontId="0" type="noConversion"/>
  </si>
  <si>
    <t>4P+4Q+4S</t>
    <phoneticPr fontId="0" type="noConversion"/>
  </si>
  <si>
    <t>1P</t>
    <phoneticPr fontId="0" type="noConversion"/>
  </si>
  <si>
    <t>Fp</t>
    <phoneticPr fontId="0" type="noConversion"/>
  </si>
  <si>
    <t>MRP Chips USB - Fireware - SCSI</t>
    <phoneticPr fontId="0" type="noConversion"/>
  </si>
  <si>
    <t>MRP Caja de cartón</t>
    <phoneticPr fontId="0" type="noConversion"/>
  </si>
  <si>
    <t>MRP Disco Duro 140 gigas</t>
    <phoneticPr fontId="0" type="noConversion"/>
  </si>
  <si>
    <t>MRP Disco Duro 120 gigas</t>
    <phoneticPr fontId="0" type="noConversion"/>
  </si>
  <si>
    <t>Merma</t>
    <phoneticPr fontId="0" type="noConversion"/>
  </si>
  <si>
    <t>1P+1Q+1S</t>
  </si>
  <si>
    <t>1S</t>
    <phoneticPr fontId="0" type="noConversion"/>
  </si>
  <si>
    <t>1Q</t>
    <phoneticPr fontId="0" type="noConversion"/>
  </si>
  <si>
    <t>Producto P</t>
    <phoneticPr fontId="0" type="noConversion"/>
  </si>
  <si>
    <t>Producto Q</t>
    <phoneticPr fontId="0" type="noConversion"/>
  </si>
  <si>
    <t>Producto S</t>
    <phoneticPr fontId="0" type="noConversion"/>
  </si>
  <si>
    <t>Trp =</t>
    <phoneticPr fontId="0" type="noConversion"/>
  </si>
  <si>
    <t>Balanceo de la capacidad</t>
    <phoneticPr fontId="0" type="noConversion"/>
  </si>
  <si>
    <t>Op</t>
    <phoneticPr fontId="0" type="noConversion"/>
  </si>
  <si>
    <t>Tstd/Trp</t>
    <phoneticPr fontId="0" type="noConversion"/>
  </si>
  <si>
    <t># Células</t>
    <phoneticPr fontId="0" type="noConversion"/>
  </si>
  <si>
    <t>T carga</t>
    <phoneticPr fontId="0" type="noConversion"/>
  </si>
  <si>
    <t>Δ céluas</t>
    <phoneticPr fontId="0" type="noConversion"/>
  </si>
  <si>
    <t>Δ operarios</t>
    <phoneticPr fontId="0" type="noConversion"/>
  </si>
  <si>
    <t>Horas extra</t>
    <phoneticPr fontId="0" type="noConversion"/>
  </si>
  <si>
    <t>Carga mes 1</t>
    <phoneticPr fontId="0" type="noConversion"/>
  </si>
  <si>
    <t>T disponible</t>
    <phoneticPr fontId="0" type="noConversion"/>
  </si>
  <si>
    <t>Min. Extra</t>
    <phoneticPr fontId="0" type="noConversion"/>
  </si>
  <si>
    <t># operarios</t>
    <phoneticPr fontId="0" type="noConversion"/>
  </si>
  <si>
    <t>Hrs. Extra</t>
    <phoneticPr fontId="0" type="noConversion"/>
  </si>
  <si>
    <t>Costo</t>
    <phoneticPr fontId="0" type="noConversion"/>
  </si>
  <si>
    <t>Hrs. Normales</t>
    <phoneticPr fontId="0" type="noConversion"/>
  </si>
  <si>
    <t>Costo/mes</t>
    <phoneticPr fontId="0" type="noConversion"/>
  </si>
  <si>
    <t>Días laborales</t>
    <phoneticPr fontId="0" type="noConversion"/>
  </si>
  <si>
    <t>Producción Diaria</t>
    <phoneticPr fontId="0" type="noConversion"/>
  </si>
  <si>
    <t>por día</t>
    <phoneticPr fontId="0" type="noConversion"/>
  </si>
  <si>
    <t>Capacidad disponible diaria</t>
    <phoneticPr fontId="0" type="noConversion"/>
  </si>
  <si>
    <t>El ciclo de fabricación de P debe ser:</t>
    <phoneticPr fontId="0" type="noConversion"/>
  </si>
  <si>
    <t>El ciclo de fabricación de Q debe ser:</t>
    <phoneticPr fontId="0" type="noConversion"/>
  </si>
  <si>
    <t>El ciclo de fabricación de S debe ser:</t>
    <phoneticPr fontId="0" type="noConversion"/>
  </si>
  <si>
    <t>Por tanto cada 5.46 minutos tenemos:</t>
    <phoneticPr fontId="0" type="noConversion"/>
  </si>
  <si>
    <t>De P =</t>
    <phoneticPr fontId="0" type="noConversion"/>
  </si>
  <si>
    <t>De Q =</t>
    <phoneticPr fontId="0" type="noConversion"/>
  </si>
  <si>
    <t>De S =</t>
    <phoneticPr fontId="0" type="noConversion"/>
  </si>
  <si>
    <r>
      <t xml:space="preserve">El programa de montaje final para el mes 1 es de: </t>
    </r>
    <r>
      <rPr>
        <sz val="11"/>
        <color indexed="10"/>
        <rFont val="Calibri"/>
        <family val="2"/>
      </rPr>
      <t xml:space="preserve"> PPPQQS - PPPQQS - PPPQQS</t>
    </r>
  </si>
  <si>
    <t>Tiempo de carga por montaje en minutos</t>
    <phoneticPr fontId="0" type="noConversion"/>
  </si>
  <si>
    <t>Producción diaria</t>
    <phoneticPr fontId="0" type="noConversion"/>
  </si>
  <si>
    <t>Montaje</t>
    <phoneticPr fontId="0" type="noConversion"/>
  </si>
  <si>
    <t>acumulada</t>
    <phoneticPr fontId="0" type="noConversion"/>
  </si>
  <si>
    <t>AL</t>
    <phoneticPr fontId="0" type="noConversion"/>
  </si>
  <si>
    <t>Tcol</t>
    <phoneticPr fontId="0" type="noConversion"/>
  </si>
  <si>
    <t>Tm</t>
    <phoneticPr fontId="0" type="noConversion"/>
  </si>
  <si>
    <t>Op 1 y 2</t>
    <phoneticPr fontId="0" type="noConversion"/>
  </si>
  <si>
    <t>Op 3</t>
    <phoneticPr fontId="0" type="noConversion"/>
  </si>
  <si>
    <t>AL</t>
  </si>
  <si>
    <t>Tcol</t>
  </si>
  <si>
    <t>Tm</t>
  </si>
  <si>
    <t>Op 4</t>
    <phoneticPr fontId="0" type="noConversion"/>
  </si>
  <si>
    <t>PPPQQS</t>
    <phoneticPr fontId="0" type="noConversion"/>
  </si>
  <si>
    <t>0-1</t>
    <phoneticPr fontId="0" type="noConversion"/>
  </si>
  <si>
    <t xml:space="preserve"> --</t>
    <phoneticPr fontId="0" type="noConversion"/>
  </si>
  <si>
    <t xml:space="preserve"> 1-2</t>
    <phoneticPr fontId="0" type="noConversion"/>
  </si>
  <si>
    <t xml:space="preserve"> 2-3</t>
    <phoneticPr fontId="0" type="noConversion"/>
  </si>
  <si>
    <t xml:space="preserve"> 3-4</t>
    <phoneticPr fontId="0" type="noConversion"/>
  </si>
  <si>
    <t xml:space="preserve">3 - </t>
    <phoneticPr fontId="0" type="noConversion"/>
  </si>
  <si>
    <t xml:space="preserve"> 4- 5</t>
    <phoneticPr fontId="0" type="noConversion"/>
  </si>
  <si>
    <t xml:space="preserve"> -</t>
    <phoneticPr fontId="0" type="noConversion"/>
  </si>
  <si>
    <t xml:space="preserve"> 4-5</t>
    <phoneticPr fontId="0" type="noConversion"/>
  </si>
  <si>
    <t xml:space="preserve"> 5-6</t>
    <phoneticPr fontId="0" type="noConversion"/>
  </si>
  <si>
    <t xml:space="preserve"> 6-7</t>
    <phoneticPr fontId="0" type="noConversion"/>
  </si>
  <si>
    <t xml:space="preserve"> 6-6.65</t>
  </si>
  <si>
    <t>Orden</t>
  </si>
  <si>
    <t>Tiempo de procesamiento (min.)</t>
  </si>
  <si>
    <t>Fecha de entrega en minutos después de las 6 a.m.</t>
  </si>
  <si>
    <t>PEPS</t>
  </si>
  <si>
    <t>Tproceso</t>
  </si>
  <si>
    <t>Fprometida</t>
  </si>
  <si>
    <t>Adelanto/Atraso</t>
  </si>
  <si>
    <t>MINPRT</t>
  </si>
  <si>
    <t>a.</t>
  </si>
  <si>
    <t>Flujo promedio</t>
  </si>
  <si>
    <t>Órdenes retrasadas</t>
  </si>
  <si>
    <t>Retraso promedio</t>
  </si>
  <si>
    <t>b.</t>
  </si>
  <si>
    <t>c.</t>
  </si>
  <si>
    <t>El método de MINPRT reduce la cantidad de órdenes retrasadas. Sin embargo las órdenes que se retrasan aumentan considerablemente.</t>
  </si>
  <si>
    <t>d.</t>
  </si>
  <si>
    <t>Debe comprar otro cilindro de helio.</t>
  </si>
  <si>
    <t>e.</t>
  </si>
  <si>
    <t>Debe cambiar su sistema de inflado de bombas el mismo día.</t>
  </si>
  <si>
    <t>Capacidad Diaria</t>
  </si>
  <si>
    <t>Máquina 1</t>
  </si>
  <si>
    <t>Máquina 2</t>
  </si>
  <si>
    <t>Máquina 3</t>
  </si>
  <si>
    <t>Carga en días</t>
  </si>
  <si>
    <t>Fecha de recepción de la orden en días</t>
  </si>
  <si>
    <t>Fecha de Entrega en días</t>
  </si>
  <si>
    <t>Costo total del retraso</t>
  </si>
  <si>
    <t>Fecha de recepción de la orden</t>
  </si>
  <si>
    <t>Días de producción necesarios</t>
  </si>
  <si>
    <t>Fecha de Entrega</t>
  </si>
  <si>
    <t>Fecha de entrega en días</t>
  </si>
  <si>
    <t>Hoy es el día:</t>
  </si>
  <si>
    <t>MINDD</t>
  </si>
  <si>
    <t>Secuencia</t>
  </si>
  <si>
    <t>Tiempo de flujo</t>
  </si>
  <si>
    <t>Fecha de entrega</t>
  </si>
  <si>
    <t>retraso</t>
  </si>
  <si>
    <t>Tiempo de flujo  promedio</t>
  </si>
  <si>
    <t xml:space="preserve"># promedio de trabajos </t>
  </si>
  <si>
    <t>MINSOP</t>
  </si>
  <si>
    <t>JHONSON</t>
  </si>
  <si>
    <t>Máquina A</t>
  </si>
  <si>
    <t>Máquina B</t>
  </si>
  <si>
    <t>C-D-E-A-B</t>
  </si>
  <si>
    <t>Sabor</t>
  </si>
  <si>
    <t>Lote económico (galones)</t>
  </si>
  <si>
    <t>Tiempo de embotellado (h)</t>
  </si>
  <si>
    <t>Demanda (galones/día)</t>
  </si>
  <si>
    <t>Inventario actual</t>
  </si>
  <si>
    <t>Q/D</t>
  </si>
  <si>
    <t>Cola</t>
  </si>
  <si>
    <t>Naranja</t>
  </si>
  <si>
    <t>Cola de dieta</t>
  </si>
  <si>
    <t>Lima-limón</t>
  </si>
  <si>
    <t>Ginger Ale</t>
  </si>
  <si>
    <t>Club Soda</t>
  </si>
  <si>
    <t>Unidades</t>
  </si>
  <si>
    <t>Días</t>
  </si>
  <si>
    <t>Io</t>
  </si>
  <si>
    <t>Carestía</t>
  </si>
  <si>
    <t>Dem. Diaria</t>
  </si>
  <si>
    <t>Faltante</t>
  </si>
  <si>
    <t>Lima-Limón</t>
  </si>
  <si>
    <t>TOTAL</t>
  </si>
  <si>
    <t>R/ La secuencia que minimiza los faltantes es el tiempo de carestía. El faltante total es de 4.429 unidades.</t>
  </si>
  <si>
    <t>Tiempo de proc. (días)</t>
  </si>
  <si>
    <t>Tarea</t>
  </si>
  <si>
    <t>Fecha de llegada</t>
  </si>
  <si>
    <t>Sec. Minsop</t>
  </si>
  <si>
    <t>Razón crítica</t>
  </si>
  <si>
    <t>Sec. RC</t>
  </si>
  <si>
    <t>O1</t>
  </si>
  <si>
    <t>O2</t>
  </si>
  <si>
    <t>F. Llegada</t>
  </si>
  <si>
    <t>FP</t>
  </si>
  <si>
    <t>Atraso</t>
  </si>
  <si>
    <t>R/ Ambos métodos implican 6 órdenes retrasadas, pero la razón crítica</t>
  </si>
  <si>
    <t>reduce ligeramente el retraso promedio.</t>
  </si>
  <si>
    <t>Promedio</t>
  </si>
  <si>
    <t>Ord. Ret.</t>
  </si>
  <si>
    <t>RAZÓN CRÍTICA</t>
  </si>
  <si>
    <t>Húngaro por costo</t>
  </si>
  <si>
    <t>Opción 1</t>
  </si>
  <si>
    <t>PUSH/PEPS</t>
  </si>
  <si>
    <t>A1</t>
  </si>
  <si>
    <t>TC</t>
  </si>
  <si>
    <t>TM</t>
  </si>
  <si>
    <t>A2</t>
  </si>
  <si>
    <t>A3</t>
  </si>
  <si>
    <t>O3</t>
  </si>
  <si>
    <t>DBR/JOHNSON</t>
  </si>
  <si>
    <t>TB</t>
  </si>
  <si>
    <t>-</t>
  </si>
  <si>
    <t>Johnson</t>
  </si>
  <si>
    <t>L1</t>
  </si>
  <si>
    <t>LA</t>
  </si>
  <si>
    <t>L2</t>
  </si>
  <si>
    <t>LB</t>
  </si>
  <si>
    <t>L3</t>
  </si>
  <si>
    <t>Z, Y, X</t>
  </si>
  <si>
    <t>130, 120, 110</t>
  </si>
  <si>
    <t xml:space="preserve"> -</t>
  </si>
  <si>
    <t>Y, Z, X</t>
  </si>
  <si>
    <t>120, 130,110</t>
  </si>
  <si>
    <t>Prod</t>
  </si>
  <si>
    <t>Tc</t>
  </si>
  <si>
    <t>Op1</t>
  </si>
  <si>
    <t>Op2</t>
  </si>
  <si>
    <t>A5</t>
  </si>
  <si>
    <t>Op5</t>
  </si>
  <si>
    <t>XX-ZZ</t>
  </si>
  <si>
    <t>XX-YY</t>
  </si>
  <si>
    <t>ZZ-YY</t>
  </si>
  <si>
    <t>A6</t>
  </si>
  <si>
    <t>Op6</t>
  </si>
  <si>
    <t>Ff</t>
  </si>
  <si>
    <t>0/140</t>
  </si>
  <si>
    <t>310/465</t>
  </si>
  <si>
    <t>537/705</t>
  </si>
  <si>
    <t>Op3</t>
  </si>
  <si>
    <t>A4</t>
  </si>
  <si>
    <t>Op4</t>
  </si>
  <si>
    <t>PULL/MINPRT</t>
  </si>
  <si>
    <t>CALCULO MINSOP</t>
    <phoneticPr fontId="0" type="noConversion"/>
  </si>
  <si>
    <t>ORDEN</t>
    <phoneticPr fontId="0" type="noConversion"/>
  </si>
  <si>
    <t>T PROCESAMIENTO</t>
    <phoneticPr fontId="0" type="noConversion"/>
  </si>
  <si>
    <t>FECHA DE ENTREGA</t>
    <phoneticPr fontId="0" type="noConversion"/>
  </si>
  <si>
    <t>Holgura</t>
    <phoneticPr fontId="0" type="noConversion"/>
  </si>
  <si>
    <t>Va primero 103 luego 102 y de último 101</t>
    <phoneticPr fontId="0" type="noConversion"/>
  </si>
  <si>
    <t>DBR/MINSOP</t>
  </si>
  <si>
    <t>T.Buffer</t>
  </si>
  <si>
    <t>60/90</t>
  </si>
  <si>
    <t>100/0</t>
  </si>
  <si>
    <t>Cuerdas</t>
  </si>
  <si>
    <t>1ra cuerda</t>
  </si>
  <si>
    <t>2da cuerda</t>
  </si>
  <si>
    <t>0-2</t>
  </si>
  <si>
    <t>0-3</t>
  </si>
  <si>
    <t>0-1</t>
  </si>
  <si>
    <t>12-15</t>
  </si>
  <si>
    <t>21-26</t>
  </si>
  <si>
    <t>36-37</t>
  </si>
  <si>
    <t>21-22</t>
  </si>
  <si>
    <t>30-31</t>
  </si>
  <si>
    <t>45-46</t>
  </si>
  <si>
    <t>29-30</t>
  </si>
  <si>
    <t>33-37</t>
  </si>
  <si>
    <t>56-61</t>
  </si>
  <si>
    <t>Retraso</t>
  </si>
  <si>
    <t>DBR/PEPS</t>
  </si>
  <si>
    <t>9-12</t>
  </si>
  <si>
    <t>20-21</t>
  </si>
  <si>
    <t>22-25</t>
  </si>
  <si>
    <t>26-31</t>
  </si>
  <si>
    <t>34-35</t>
  </si>
  <si>
    <t>41-42</t>
  </si>
  <si>
    <t>42-43</t>
  </si>
  <si>
    <t>44-48</t>
  </si>
  <si>
    <t>KANBAN/PEPS</t>
  </si>
  <si>
    <t xml:space="preserve"> 4-7</t>
  </si>
  <si>
    <t>10.5-11.5</t>
  </si>
  <si>
    <t>19.5-22.5</t>
  </si>
  <si>
    <t>20.5-25.5</t>
  </si>
  <si>
    <t>26.5-27.5</t>
  </si>
  <si>
    <t>31-32</t>
  </si>
  <si>
    <t>34.5-35.4</t>
  </si>
  <si>
    <t>35.5-36.5</t>
  </si>
  <si>
    <t>44.5-45.5</t>
  </si>
  <si>
    <t>46.5-51.5</t>
  </si>
  <si>
    <t>Puntos de Re Orden</t>
  </si>
  <si>
    <t>De-hacia</t>
  </si>
  <si>
    <t>L2-L1</t>
  </si>
  <si>
    <t>L3-L2</t>
  </si>
  <si>
    <t>Kanban/Peps</t>
  </si>
  <si>
    <t>T std min</t>
  </si>
  <si>
    <t>T std hrs</t>
  </si>
  <si>
    <t>Alistamiento</t>
  </si>
  <si>
    <t>PUSH/Peps</t>
  </si>
  <si>
    <t>Operaciones</t>
  </si>
  <si>
    <t>Lote</t>
  </si>
  <si>
    <t>Operario</t>
  </si>
  <si>
    <t>Op 1</t>
  </si>
  <si>
    <t>Op 2</t>
  </si>
  <si>
    <t>Op 3</t>
  </si>
  <si>
    <t>Op 4</t>
  </si>
  <si>
    <t>Op 5</t>
  </si>
  <si>
    <t>Juan</t>
  </si>
  <si>
    <t>Ana</t>
  </si>
  <si>
    <t>Carlos</t>
  </si>
  <si>
    <t>María</t>
  </si>
  <si>
    <t>Roberto</t>
  </si>
  <si>
    <t>T proceso</t>
  </si>
  <si>
    <t>T proceso en hrs.</t>
  </si>
  <si>
    <t>Minprt</t>
  </si>
  <si>
    <t>Tiempo</t>
  </si>
  <si>
    <t>Push/Peps</t>
  </si>
  <si>
    <t>Ti</t>
  </si>
  <si>
    <t>Ruta</t>
  </si>
  <si>
    <t>O4</t>
  </si>
  <si>
    <t>O5</t>
  </si>
  <si>
    <t>Op2-Op4-Op5</t>
  </si>
  <si>
    <t>Op3-Op4-Op3</t>
  </si>
  <si>
    <t>Op5-Op1-Op2</t>
  </si>
  <si>
    <t>Op2-Op1-Op4</t>
  </si>
  <si>
    <t>Op1-Op5-Op2</t>
  </si>
  <si>
    <t>Capacidad</t>
  </si>
  <si>
    <t>Tamaño de lote</t>
  </si>
  <si>
    <t>Fecha Prometida</t>
  </si>
  <si>
    <t>Pull/Minprt</t>
  </si>
  <si>
    <t>Ff en días</t>
  </si>
  <si>
    <t xml:space="preserve">  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</si>
</sst>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164" formatCode="[$$-409]#,##0.00"/>
    <numFmt numFmtId="165" formatCode="0.0"/>
    <numFmt numFmtId="166" formatCode="0.0%"/>
    <numFmt numFmtId="167" formatCode="[$$-409]#,##0.0"/>
    <numFmt numFmtId="168" formatCode="[$$-409]#,##0"/>
    <numFmt numFmtId="169" formatCode="&quot;¢&quot;#,##0_);\(&quot;$&quot;#,##0\)"/>
    <numFmt numFmtId="170" formatCode="0.000"/>
    <numFmt numFmtId="171" formatCode="_([$$-409]* #,##0.00_);_([$$-409]* \(#,##0.00\);_([$$-409]* &quot;-&quot;??_);_(@_)"/>
    <numFmt numFmtId="172" formatCode="_-&quot;CRC&quot;* #,##0_-;\-&quot;CRC&quot;* #,##0_-;_-&quot;CRC&quot;* &quot;-&quot;_-;_-@_-"/>
    <numFmt numFmtId="173" formatCode="_-[$$-409]* #,##0.00_ ;_-[$$-409]* \-#,##0.00\ ;_-[$$-409]* &quot;-&quot;??_ ;_-@_ "/>
    <numFmt numFmtId="174" formatCode="&quot;$&quot;#,##0.00"/>
    <numFmt numFmtId="175" formatCode="0.0000"/>
    <numFmt numFmtId="176" formatCode="_-[$$-409]* #,##0_ ;_-[$$-409]* \-#,##0\ ;_-[$$-409]* &quot;-&quot;_ ;_-@_ "/>
    <numFmt numFmtId="177" formatCode="_-* #,##0.00_-;\-* #,##0.00_-;_-* &quot;-&quot;??_-;_-@_-"/>
    <numFmt numFmtId="178" formatCode="_-* #,##0_-;\-* #,##0_-;_-* &quot;-&quot;??_-;_-@_-"/>
    <numFmt numFmtId="179" formatCode="#,##0_ ;\-#,##0\ "/>
    <numFmt numFmtId="180" formatCode="0_ ;\-0\ "/>
  </numFmts>
  <fonts count="39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Verdana"/>
      <family val="2"/>
    </font>
    <font>
      <b/>
      <sz val="12"/>
      <name val="Times New Roman"/>
      <family val="1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Verdana"/>
      <family val="2"/>
    </font>
    <font>
      <sz val="10"/>
      <color indexed="12"/>
      <name val="Arial"/>
      <family val="2"/>
    </font>
    <font>
      <b/>
      <sz val="10"/>
      <name val="Verdana"/>
      <family val="2"/>
    </font>
    <font>
      <vertAlign val="subscript"/>
      <sz val="10"/>
      <name val="Arial"/>
      <family val="2"/>
    </font>
    <font>
      <b/>
      <sz val="12"/>
      <color theme="1"/>
      <name val="Times New Roman"/>
      <family val="1"/>
    </font>
    <font>
      <b/>
      <vertAlign val="subscript"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0"/>
      <color indexed="10"/>
      <name val="Verdana"/>
      <family val="2"/>
    </font>
    <font>
      <b/>
      <sz val="12"/>
      <color indexed="10"/>
      <name val="Arial"/>
      <family val="2"/>
    </font>
    <font>
      <b/>
      <sz val="10"/>
      <color rgb="FFFF0000"/>
      <name val="Verdana"/>
      <family val="2"/>
    </font>
    <font>
      <vertAlign val="subscript"/>
      <sz val="10"/>
      <name val="Verdana"/>
      <family val="2"/>
    </font>
    <font>
      <sz val="8"/>
      <name val="Verdana"/>
      <family val="2"/>
    </font>
    <font>
      <b/>
      <sz val="12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9"/>
      <name val="Verdana"/>
      <family val="2"/>
    </font>
    <font>
      <sz val="11"/>
      <color indexed="10"/>
      <name val="Calibri"/>
      <family val="2"/>
    </font>
    <font>
      <sz val="12"/>
      <color theme="1"/>
      <name val="Cambria"/>
      <family val="1"/>
    </font>
    <font>
      <sz val="14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FF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6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8" fillId="0" borderId="0"/>
    <xf numFmtId="0" fontId="1" fillId="0" borderId="0"/>
    <xf numFmtId="172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3" fillId="0" borderId="0"/>
    <xf numFmtId="0" fontId="1" fillId="0" borderId="0"/>
    <xf numFmtId="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8" fillId="0" borderId="0"/>
  </cellStyleXfs>
  <cellXfs count="492">
    <xf numFmtId="0" fontId="0" fillId="0" borderId="0" xfId="0"/>
    <xf numFmtId="0" fontId="5" fillId="0" borderId="0" xfId="2" applyFont="1" applyAlignment="1">
      <alignment horizontal="left"/>
    </xf>
    <xf numFmtId="0" fontId="4" fillId="0" borderId="0" xfId="2"/>
    <xf numFmtId="0" fontId="5" fillId="0" borderId="0" xfId="2" applyFont="1"/>
    <xf numFmtId="0" fontId="6" fillId="0" borderId="0" xfId="2" applyFont="1"/>
    <xf numFmtId="0" fontId="7" fillId="0" borderId="0" xfId="2" applyFont="1"/>
    <xf numFmtId="0" fontId="7" fillId="0" borderId="1" xfId="2" applyFont="1" applyBorder="1"/>
    <xf numFmtId="0" fontId="7" fillId="0" borderId="1" xfId="2" applyFont="1" applyBorder="1" applyAlignment="1">
      <alignment horizontal="center"/>
    </xf>
    <xf numFmtId="1" fontId="8" fillId="0" borderId="0" xfId="2" applyNumberFormat="1" applyFont="1" applyAlignment="1">
      <alignment horizontal="right"/>
    </xf>
    <xf numFmtId="0" fontId="4" fillId="0" borderId="1" xfId="2" applyBorder="1"/>
    <xf numFmtId="0" fontId="4" fillId="0" borderId="1" xfId="2" applyBorder="1" applyAlignment="1">
      <alignment horizontal="center"/>
    </xf>
    <xf numFmtId="1" fontId="4" fillId="0" borderId="0" xfId="2" applyNumberFormat="1"/>
    <xf numFmtId="1" fontId="4" fillId="0" borderId="1" xfId="2" applyNumberFormat="1" applyBorder="1" applyAlignment="1">
      <alignment horizontal="center"/>
    </xf>
    <xf numFmtId="0" fontId="9" fillId="0" borderId="0" xfId="2" applyFont="1"/>
    <xf numFmtId="0" fontId="10" fillId="2" borderId="1" xfId="2" applyFont="1" applyFill="1" applyBorder="1"/>
    <xf numFmtId="0" fontId="10" fillId="2" borderId="1" xfId="2" applyFont="1" applyFill="1" applyBorder="1" applyAlignment="1">
      <alignment horizontal="center"/>
    </xf>
    <xf numFmtId="164" fontId="4" fillId="0" borderId="1" xfId="2" applyNumberFormat="1" applyBorder="1" applyAlignment="1">
      <alignment horizontal="center"/>
    </xf>
    <xf numFmtId="164" fontId="4" fillId="0" borderId="1" xfId="2" applyNumberFormat="1" applyBorder="1"/>
    <xf numFmtId="0" fontId="4" fillId="0" borderId="0" xfId="2" applyAlignment="1">
      <alignment horizontal="center"/>
    </xf>
    <xf numFmtId="0" fontId="4" fillId="0" borderId="0" xfId="2" applyAlignment="1">
      <alignment horizontal="center" wrapText="1"/>
    </xf>
    <xf numFmtId="0" fontId="8" fillId="0" borderId="0" xfId="2" applyFont="1"/>
    <xf numFmtId="1" fontId="4" fillId="0" borderId="0" xfId="2" applyNumberFormat="1" applyAlignment="1">
      <alignment horizontal="center" wrapText="1"/>
    </xf>
    <xf numFmtId="1" fontId="4" fillId="0" borderId="0" xfId="2" applyNumberFormat="1" applyAlignment="1">
      <alignment horizontal="center"/>
    </xf>
    <xf numFmtId="2" fontId="4" fillId="0" borderId="0" xfId="2" applyNumberFormat="1" applyAlignment="1">
      <alignment horizontal="center"/>
    </xf>
    <xf numFmtId="165" fontId="4" fillId="0" borderId="0" xfId="2" applyNumberFormat="1" applyAlignment="1">
      <alignment horizontal="center"/>
    </xf>
    <xf numFmtId="164" fontId="4" fillId="0" borderId="0" xfId="2" applyNumberFormat="1" applyAlignment="1">
      <alignment horizontal="center"/>
    </xf>
    <xf numFmtId="3" fontId="4" fillId="0" borderId="0" xfId="2" applyNumberFormat="1"/>
    <xf numFmtId="9" fontId="4" fillId="0" borderId="0" xfId="2" applyNumberFormat="1" applyAlignment="1">
      <alignment horizontal="center"/>
    </xf>
    <xf numFmtId="0" fontId="4" fillId="0" borderId="2" xfId="2" applyBorder="1"/>
    <xf numFmtId="164" fontId="4" fillId="0" borderId="0" xfId="2" applyNumberFormat="1"/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9" fillId="0" borderId="0" xfId="0" applyFont="1"/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166" fontId="1" fillId="0" borderId="0" xfId="1" applyNumberFormat="1" applyFont="1" applyAlignment="1">
      <alignment horizontal="center"/>
    </xf>
    <xf numFmtId="0" fontId="8" fillId="0" borderId="0" xfId="0" applyFont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0" fontId="4" fillId="0" borderId="3" xfId="2" applyBorder="1"/>
    <xf numFmtId="0" fontId="11" fillId="3" borderId="0" xfId="3" applyFont="1" applyFill="1" applyAlignment="1">
      <alignment horizontal="left"/>
    </xf>
    <xf numFmtId="0" fontId="8" fillId="3" borderId="0" xfId="3" applyFill="1"/>
    <xf numFmtId="0" fontId="8" fillId="3" borderId="0" xfId="3" applyFill="1" applyAlignment="1">
      <alignment horizontal="center"/>
    </xf>
    <xf numFmtId="0" fontId="8" fillId="0" borderId="0" xfId="3"/>
    <xf numFmtId="0" fontId="4" fillId="0" borderId="0" xfId="3" applyFont="1" applyAlignment="1">
      <alignment horizontal="left"/>
    </xf>
    <xf numFmtId="0" fontId="8" fillId="0" borderId="0" xfId="3" applyAlignment="1">
      <alignment horizontal="center"/>
    </xf>
    <xf numFmtId="0" fontId="11" fillId="0" borderId="0" xfId="3" applyFont="1" applyAlignment="1">
      <alignment horizontal="left"/>
    </xf>
    <xf numFmtId="1" fontId="8" fillId="0" borderId="0" xfId="3" applyNumberFormat="1" applyAlignment="1">
      <alignment horizontal="center"/>
    </xf>
    <xf numFmtId="4" fontId="8" fillId="0" borderId="0" xfId="3" applyNumberFormat="1" applyAlignment="1">
      <alignment horizontal="center"/>
    </xf>
    <xf numFmtId="169" fontId="8" fillId="0" borderId="0" xfId="3" applyNumberFormat="1"/>
    <xf numFmtId="0" fontId="11" fillId="0" borderId="0" xfId="3" applyFont="1"/>
    <xf numFmtId="1" fontId="8" fillId="0" borderId="0" xfId="3" applyNumberFormat="1"/>
    <xf numFmtId="0" fontId="7" fillId="3" borderId="0" xfId="3" applyFont="1" applyFill="1"/>
    <xf numFmtId="0" fontId="8" fillId="0" borderId="0" xfId="3" applyAlignment="1">
      <alignment horizontal="right"/>
    </xf>
    <xf numFmtId="10" fontId="8" fillId="0" borderId="0" xfId="3" applyNumberFormat="1"/>
    <xf numFmtId="0" fontId="8" fillId="4" borderId="0" xfId="3" applyFill="1"/>
    <xf numFmtId="10" fontId="0" fillId="0" borderId="0" xfId="0" applyNumberFormat="1"/>
    <xf numFmtId="0" fontId="0" fillId="4" borderId="0" xfId="0" applyFill="1"/>
    <xf numFmtId="1" fontId="0" fillId="0" borderId="0" xfId="0" applyNumberFormat="1"/>
    <xf numFmtId="0" fontId="0" fillId="0" borderId="0" xfId="0" applyAlignment="1">
      <alignment horizontal="right"/>
    </xf>
    <xf numFmtId="0" fontId="1" fillId="0" borderId="0" xfId="4"/>
    <xf numFmtId="0" fontId="1" fillId="0" borderId="0" xfId="4" applyAlignment="1">
      <alignment horizontal="center"/>
    </xf>
    <xf numFmtId="1" fontId="1" fillId="0" borderId="0" xfId="4" applyNumberFormat="1"/>
    <xf numFmtId="10" fontId="1" fillId="0" borderId="0" xfId="4" applyNumberFormat="1"/>
    <xf numFmtId="0" fontId="1" fillId="4" borderId="0" xfId="4" applyFill="1"/>
    <xf numFmtId="0" fontId="1" fillId="0" borderId="0" xfId="4" applyAlignment="1">
      <alignment horizontal="right"/>
    </xf>
    <xf numFmtId="0" fontId="8" fillId="0" borderId="0" xfId="3" applyAlignment="1">
      <alignment horizontal="center" wrapText="1"/>
    </xf>
    <xf numFmtId="9" fontId="8" fillId="0" borderId="0" xfId="3" applyNumberFormat="1" applyAlignment="1">
      <alignment horizontal="center"/>
    </xf>
    <xf numFmtId="168" fontId="8" fillId="0" borderId="0" xfId="3" applyNumberFormat="1" applyAlignment="1">
      <alignment horizontal="center"/>
    </xf>
    <xf numFmtId="0" fontId="8" fillId="0" borderId="0" xfId="3" applyAlignment="1">
      <alignment wrapText="1"/>
    </xf>
    <xf numFmtId="9" fontId="8" fillId="0" borderId="0" xfId="3" applyNumberFormat="1"/>
    <xf numFmtId="0" fontId="6" fillId="0" borderId="0" xfId="3" applyFont="1"/>
    <xf numFmtId="164" fontId="8" fillId="0" borderId="0" xfId="3" applyNumberFormat="1"/>
    <xf numFmtId="2" fontId="8" fillId="0" borderId="0" xfId="3" applyNumberFormat="1" applyAlignment="1">
      <alignment horizontal="center"/>
    </xf>
    <xf numFmtId="0" fontId="7" fillId="0" borderId="0" xfId="3" applyFont="1" applyAlignment="1">
      <alignment horizontal="center"/>
    </xf>
    <xf numFmtId="0" fontId="11" fillId="3" borderId="0" xfId="0" applyFont="1" applyFill="1" applyAlignment="1">
      <alignment horizontal="center"/>
    </xf>
    <xf numFmtId="0" fontId="11" fillId="3" borderId="0" xfId="0" applyFont="1" applyFill="1"/>
    <xf numFmtId="2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left"/>
    </xf>
    <xf numFmtId="171" fontId="0" fillId="0" borderId="0" xfId="0" applyNumberFormat="1"/>
    <xf numFmtId="4" fontId="0" fillId="0" borderId="0" xfId="0" applyNumberFormat="1"/>
    <xf numFmtId="2" fontId="0" fillId="0" borderId="0" xfId="0" applyNumberFormat="1"/>
    <xf numFmtId="0" fontId="0" fillId="3" borderId="0" xfId="0" applyFill="1" applyAlignment="1">
      <alignment horizontal="left"/>
    </xf>
    <xf numFmtId="1" fontId="0" fillId="3" borderId="0" xfId="0" applyNumberFormat="1" applyFill="1"/>
    <xf numFmtId="0" fontId="0" fillId="3" borderId="0" xfId="0" applyFill="1"/>
    <xf numFmtId="1" fontId="0" fillId="3" borderId="0" xfId="0" applyNumberFormat="1" applyFill="1" applyAlignment="1">
      <alignment horizontal="right"/>
    </xf>
    <xf numFmtId="0" fontId="0" fillId="3" borderId="0" xfId="0" applyFill="1" applyAlignment="1">
      <alignment horizontal="center"/>
    </xf>
    <xf numFmtId="0" fontId="11" fillId="4" borderId="0" xfId="0" applyFont="1" applyFill="1"/>
    <xf numFmtId="0" fontId="11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1" fontId="0" fillId="0" borderId="0" xfId="0" applyNumberFormat="1" applyAlignment="1">
      <alignment horizontal="right"/>
    </xf>
    <xf numFmtId="0" fontId="0" fillId="0" borderId="0" xfId="0" quotePrefix="1" applyAlignment="1">
      <alignment horizontal="right"/>
    </xf>
    <xf numFmtId="165" fontId="0" fillId="0" borderId="0" xfId="0" applyNumberFormat="1" applyAlignment="1">
      <alignment horizontal="center"/>
    </xf>
    <xf numFmtId="0" fontId="2" fillId="5" borderId="0" xfId="0" applyFont="1" applyFill="1"/>
    <xf numFmtId="0" fontId="0" fillId="5" borderId="0" xfId="0" applyFill="1"/>
    <xf numFmtId="2" fontId="0" fillId="6" borderId="0" xfId="0" applyNumberFormat="1" applyFill="1"/>
    <xf numFmtId="173" fontId="0" fillId="0" borderId="0" xfId="5" applyNumberFormat="1" applyFont="1"/>
    <xf numFmtId="173" fontId="0" fillId="0" borderId="0" xfId="0" applyNumberFormat="1"/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9" fontId="13" fillId="0" borderId="5" xfId="1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justify" vertical="center" wrapText="1"/>
    </xf>
    <xf numFmtId="171" fontId="15" fillId="0" borderId="1" xfId="0" applyNumberFormat="1" applyFont="1" applyBorder="1" applyAlignment="1">
      <alignment horizontal="right" vertical="center" wrapText="1"/>
    </xf>
    <xf numFmtId="0" fontId="15" fillId="0" borderId="1" xfId="0" applyFont="1" applyBorder="1" applyAlignment="1">
      <alignment horizontal="right" vertical="center" wrapText="1"/>
    </xf>
    <xf numFmtId="170" fontId="15" fillId="0" borderId="1" xfId="0" applyNumberFormat="1" applyFont="1" applyBorder="1" applyAlignment="1">
      <alignment horizontal="right" vertical="center" wrapText="1"/>
    </xf>
    <xf numFmtId="1" fontId="15" fillId="0" borderId="1" xfId="0" applyNumberFormat="1" applyFont="1" applyBorder="1" applyAlignment="1">
      <alignment horizontal="right" vertical="center" wrapText="1"/>
    </xf>
    <xf numFmtId="9" fontId="15" fillId="0" borderId="1" xfId="1" applyFont="1" applyBorder="1" applyAlignment="1">
      <alignment horizontal="right" vertical="center" wrapText="1"/>
    </xf>
    <xf numFmtId="1" fontId="15" fillId="0" borderId="8" xfId="0" applyNumberFormat="1" applyFont="1" applyBorder="1" applyAlignment="1">
      <alignment horizontal="right" vertical="center" wrapText="1"/>
    </xf>
    <xf numFmtId="1" fontId="16" fillId="0" borderId="1" xfId="0" applyNumberFormat="1" applyFont="1" applyBorder="1" applyAlignment="1">
      <alignment horizontal="right" vertical="center" wrapText="1"/>
    </xf>
    <xf numFmtId="9" fontId="16" fillId="0" borderId="1" xfId="1" applyFont="1" applyBorder="1" applyAlignment="1">
      <alignment horizontal="right" vertical="center" wrapText="1"/>
    </xf>
    <xf numFmtId="0" fontId="15" fillId="0" borderId="9" xfId="0" applyFont="1" applyBorder="1" applyAlignment="1">
      <alignment horizontal="justify" vertical="center" wrapText="1"/>
    </xf>
    <xf numFmtId="171" fontId="15" fillId="0" borderId="10" xfId="0" applyNumberFormat="1" applyFont="1" applyBorder="1" applyAlignment="1">
      <alignment horizontal="right" vertical="center" wrapText="1"/>
    </xf>
    <xf numFmtId="0" fontId="15" fillId="0" borderId="10" xfId="0" applyFont="1" applyBorder="1" applyAlignment="1">
      <alignment horizontal="right" vertical="center" wrapText="1"/>
    </xf>
    <xf numFmtId="170" fontId="15" fillId="0" borderId="10" xfId="0" applyNumberFormat="1" applyFont="1" applyBorder="1" applyAlignment="1">
      <alignment horizontal="right" vertical="center" wrapText="1"/>
    </xf>
    <xf numFmtId="1" fontId="15" fillId="0" borderId="10" xfId="0" applyNumberFormat="1" applyFont="1" applyBorder="1" applyAlignment="1">
      <alignment horizontal="right" vertical="center" wrapText="1"/>
    </xf>
    <xf numFmtId="1" fontId="16" fillId="0" borderId="10" xfId="0" applyNumberFormat="1" applyFont="1" applyBorder="1" applyAlignment="1">
      <alignment horizontal="right" vertical="center" wrapText="1"/>
    </xf>
    <xf numFmtId="9" fontId="16" fillId="0" borderId="10" xfId="1" applyFont="1" applyBorder="1" applyAlignment="1">
      <alignment horizontal="right" vertical="center" wrapText="1"/>
    </xf>
    <xf numFmtId="1" fontId="15" fillId="0" borderId="11" xfId="0" applyNumberFormat="1" applyFont="1" applyBorder="1" applyAlignment="1">
      <alignment horizontal="right" vertical="center" wrapText="1"/>
    </xf>
    <xf numFmtId="0" fontId="15" fillId="0" borderId="1" xfId="0" applyFont="1" applyBorder="1" applyAlignment="1">
      <alignment horizontal="justify" vertical="center" wrapText="1"/>
    </xf>
    <xf numFmtId="0" fontId="15" fillId="0" borderId="8" xfId="0" applyFont="1" applyBorder="1" applyAlignment="1">
      <alignment horizontal="right" vertical="center" wrapText="1"/>
    </xf>
    <xf numFmtId="0" fontId="15" fillId="0" borderId="10" xfId="0" applyFont="1" applyBorder="1" applyAlignment="1">
      <alignment horizontal="justify" vertical="center" wrapText="1"/>
    </xf>
    <xf numFmtId="0" fontId="15" fillId="0" borderId="11" xfId="0" applyFont="1" applyBorder="1" applyAlignment="1">
      <alignment horizontal="right" vertical="center" wrapText="1"/>
    </xf>
    <xf numFmtId="0" fontId="15" fillId="0" borderId="5" xfId="0" applyFont="1" applyBorder="1" applyAlignment="1">
      <alignment horizontal="justify" vertical="center" wrapText="1"/>
    </xf>
    <xf numFmtId="0" fontId="15" fillId="0" borderId="5" xfId="0" applyFont="1" applyBorder="1"/>
    <xf numFmtId="1" fontId="15" fillId="0" borderId="1" xfId="0" applyNumberFormat="1" applyFont="1" applyBorder="1"/>
    <xf numFmtId="170" fontId="15" fillId="0" borderId="1" xfId="0" applyNumberFormat="1" applyFont="1" applyBorder="1"/>
    <xf numFmtId="0" fontId="15" fillId="0" borderId="1" xfId="0" applyFont="1" applyBorder="1"/>
    <xf numFmtId="9" fontId="15" fillId="0" borderId="1" xfId="1" applyFont="1" applyFill="1" applyBorder="1"/>
    <xf numFmtId="0" fontId="15" fillId="0" borderId="0" xfId="0" applyFont="1" applyAlignment="1">
      <alignment horizontal="justify" vertical="center" wrapText="1"/>
    </xf>
    <xf numFmtId="9" fontId="0" fillId="0" borderId="0" xfId="1" applyFont="1"/>
    <xf numFmtId="0" fontId="0" fillId="0" borderId="0" xfId="0" applyAlignment="1">
      <alignment horizontal="center" wrapText="1"/>
    </xf>
    <xf numFmtId="9" fontId="0" fillId="0" borderId="0" xfId="1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7" fillId="0" borderId="0" xfId="0" applyFont="1"/>
    <xf numFmtId="0" fontId="0" fillId="0" borderId="16" xfId="0" applyBorder="1" applyAlignment="1">
      <alignment horizontal="center"/>
    </xf>
    <xf numFmtId="1" fontId="0" fillId="0" borderId="17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" fontId="0" fillId="0" borderId="1" xfId="0" applyNumberFormat="1" applyBorder="1"/>
    <xf numFmtId="2" fontId="0" fillId="0" borderId="17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" fontId="0" fillId="0" borderId="1" xfId="0" applyNumberFormat="1" applyBorder="1" applyAlignment="1">
      <alignment horizontal="right"/>
    </xf>
    <xf numFmtId="2" fontId="0" fillId="0" borderId="20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0" fillId="0" borderId="22" xfId="0" applyBorder="1"/>
    <xf numFmtId="0" fontId="0" fillId="0" borderId="15" xfId="0" applyBorder="1"/>
    <xf numFmtId="0" fontId="0" fillId="0" borderId="18" xfId="0" applyBorder="1"/>
    <xf numFmtId="2" fontId="3" fillId="0" borderId="23" xfId="0" applyNumberFormat="1" applyFont="1" applyBorder="1" applyAlignment="1">
      <alignment horizontal="center"/>
    </xf>
    <xf numFmtId="0" fontId="4" fillId="0" borderId="0" xfId="2" applyAlignment="1">
      <alignment horizontal="left"/>
    </xf>
    <xf numFmtId="171" fontId="4" fillId="0" borderId="0" xfId="2" applyNumberFormat="1"/>
    <xf numFmtId="171" fontId="4" fillId="0" borderId="0" xfId="2" applyNumberFormat="1" applyAlignment="1">
      <alignment horizontal="center"/>
    </xf>
    <xf numFmtId="0" fontId="18" fillId="0" borderId="0" xfId="2" applyFont="1"/>
    <xf numFmtId="2" fontId="4" fillId="0" borderId="0" xfId="2" applyNumberFormat="1"/>
    <xf numFmtId="168" fontId="4" fillId="0" borderId="0" xfId="2" applyNumberFormat="1"/>
    <xf numFmtId="3" fontId="4" fillId="0" borderId="0" xfId="2" applyNumberFormat="1" applyAlignment="1">
      <alignment horizontal="center"/>
    </xf>
    <xf numFmtId="0" fontId="0" fillId="0" borderId="0" xfId="6" applyNumberFormat="1" applyFont="1"/>
    <xf numFmtId="166" fontId="0" fillId="0" borderId="0" xfId="6" applyNumberFormat="1" applyFont="1"/>
    <xf numFmtId="9" fontId="0" fillId="0" borderId="0" xfId="6" applyFont="1"/>
    <xf numFmtId="166" fontId="4" fillId="0" borderId="0" xfId="2" applyNumberFormat="1"/>
    <xf numFmtId="0" fontId="17" fillId="0" borderId="1" xfId="2" applyFont="1" applyBorder="1"/>
    <xf numFmtId="0" fontId="11" fillId="0" borderId="1" xfId="2" applyFont="1" applyBorder="1"/>
    <xf numFmtId="1" fontId="4" fillId="0" borderId="1" xfId="2" applyNumberFormat="1" applyBorder="1"/>
    <xf numFmtId="0" fontId="4" fillId="0" borderId="1" xfId="2" applyBorder="1" applyAlignment="1">
      <alignment horizontal="right"/>
    </xf>
    <xf numFmtId="0" fontId="4" fillId="0" borderId="0" xfId="2" applyAlignment="1">
      <alignment horizontal="right"/>
    </xf>
    <xf numFmtId="0" fontId="11" fillId="0" borderId="0" xfId="2" applyFont="1" applyAlignment="1">
      <alignment horizontal="center"/>
    </xf>
    <xf numFmtId="0" fontId="11" fillId="0" borderId="0" xfId="2" applyFont="1"/>
    <xf numFmtId="0" fontId="4" fillId="0" borderId="16" xfId="2" applyBorder="1"/>
    <xf numFmtId="0" fontId="4" fillId="0" borderId="17" xfId="2" applyBorder="1"/>
    <xf numFmtId="0" fontId="4" fillId="0" borderId="16" xfId="2" applyBorder="1" applyAlignment="1">
      <alignment horizontal="center"/>
    </xf>
    <xf numFmtId="0" fontId="4" fillId="0" borderId="17" xfId="2" applyBorder="1" applyAlignment="1">
      <alignment horizontal="center"/>
    </xf>
    <xf numFmtId="170" fontId="4" fillId="0" borderId="17" xfId="2" applyNumberFormat="1" applyBorder="1"/>
    <xf numFmtId="0" fontId="4" fillId="0" borderId="16" xfId="2" applyBorder="1" applyAlignment="1">
      <alignment horizontal="left"/>
    </xf>
    <xf numFmtId="170" fontId="4" fillId="0" borderId="0" xfId="2" applyNumberFormat="1"/>
    <xf numFmtId="0" fontId="4" fillId="0" borderId="19" xfId="2" applyBorder="1"/>
    <xf numFmtId="0" fontId="4" fillId="0" borderId="20" xfId="2" applyBorder="1"/>
    <xf numFmtId="171" fontId="4" fillId="0" borderId="20" xfId="2" applyNumberFormat="1" applyBorder="1"/>
    <xf numFmtId="0" fontId="4" fillId="0" borderId="21" xfId="2" applyBorder="1"/>
    <xf numFmtId="0" fontId="4" fillId="0" borderId="0" xfId="2" applyAlignment="1">
      <alignment horizontal="center" vertical="center"/>
    </xf>
    <xf numFmtId="0" fontId="11" fillId="7" borderId="0" xfId="2" applyFont="1" applyFill="1"/>
    <xf numFmtId="0" fontId="4" fillId="7" borderId="0" xfId="2" applyFill="1"/>
    <xf numFmtId="0" fontId="11" fillId="3" borderId="0" xfId="2" applyFont="1" applyFill="1"/>
    <xf numFmtId="0" fontId="11" fillId="8" borderId="0" xfId="2" applyFont="1" applyFill="1"/>
    <xf numFmtId="0" fontId="4" fillId="8" borderId="0" xfId="2" applyFill="1"/>
    <xf numFmtId="0" fontId="11" fillId="9" borderId="0" xfId="2" applyFont="1" applyFill="1" applyAlignment="1">
      <alignment horizontal="center"/>
    </xf>
    <xf numFmtId="2" fontId="4" fillId="9" borderId="0" xfId="2" applyNumberFormat="1" applyFill="1"/>
    <xf numFmtId="0" fontId="4" fillId="9" borderId="0" xfId="2" applyFill="1"/>
    <xf numFmtId="0" fontId="11" fillId="4" borderId="0" xfId="2" applyFont="1" applyFill="1"/>
    <xf numFmtId="0" fontId="4" fillId="7" borderId="0" xfId="2" applyFill="1" applyAlignment="1">
      <alignment horizontal="center"/>
    </xf>
    <xf numFmtId="174" fontId="4" fillId="0" borderId="0" xfId="2" applyNumberFormat="1"/>
    <xf numFmtId="0" fontId="11" fillId="10" borderId="0" xfId="2" applyFont="1" applyFill="1"/>
    <xf numFmtId="0" fontId="4" fillId="10" borderId="0" xfId="2" applyFill="1"/>
    <xf numFmtId="0" fontId="4" fillId="11" borderId="0" xfId="2" applyFill="1"/>
    <xf numFmtId="0" fontId="4" fillId="12" borderId="0" xfId="2" applyFill="1" applyAlignment="1">
      <alignment horizontal="left"/>
    </xf>
    <xf numFmtId="0" fontId="11" fillId="11" borderId="0" xfId="2" applyFont="1" applyFill="1"/>
    <xf numFmtId="4" fontId="4" fillId="0" borderId="0" xfId="2" applyNumberFormat="1"/>
    <xf numFmtId="9" fontId="0" fillId="0" borderId="1" xfId="1" applyFont="1" applyBorder="1"/>
    <xf numFmtId="0" fontId="11" fillId="0" borderId="1" xfId="0" applyFont="1" applyBorder="1" applyAlignment="1">
      <alignment horizontal="center"/>
    </xf>
    <xf numFmtId="175" fontId="0" fillId="0" borderId="1" xfId="0" applyNumberFormat="1" applyBorder="1" applyAlignment="1">
      <alignment horizontal="center"/>
    </xf>
    <xf numFmtId="0" fontId="17" fillId="0" borderId="1" xfId="0" applyFont="1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right"/>
    </xf>
    <xf numFmtId="0" fontId="11" fillId="0" borderId="0" xfId="0" applyFont="1" applyAlignment="1">
      <alignment horizontal="center"/>
    </xf>
    <xf numFmtId="0" fontId="22" fillId="0" borderId="0" xfId="0" applyFont="1"/>
    <xf numFmtId="176" fontId="0" fillId="0" borderId="0" xfId="0" applyNumberFormat="1"/>
    <xf numFmtId="0" fontId="23" fillId="0" borderId="0" xfId="7"/>
    <xf numFmtId="0" fontId="23" fillId="0" borderId="0" xfId="7" applyAlignment="1">
      <alignment horizontal="center"/>
    </xf>
    <xf numFmtId="0" fontId="24" fillId="0" borderId="0" xfId="7" applyFont="1" applyAlignment="1">
      <alignment horizontal="center"/>
    </xf>
    <xf numFmtId="0" fontId="25" fillId="0" borderId="0" xfId="7" applyFont="1" applyAlignment="1">
      <alignment horizontal="center"/>
    </xf>
    <xf numFmtId="164" fontId="23" fillId="0" borderId="0" xfId="7" applyNumberFormat="1" applyAlignment="1">
      <alignment horizontal="center"/>
    </xf>
    <xf numFmtId="2" fontId="23" fillId="0" borderId="0" xfId="7" applyNumberFormat="1" applyAlignment="1">
      <alignment horizontal="center"/>
    </xf>
    <xf numFmtId="164" fontId="23" fillId="0" borderId="0" xfId="7" applyNumberFormat="1"/>
    <xf numFmtId="0" fontId="23" fillId="0" borderId="0" xfId="7" applyAlignment="1">
      <alignment horizontal="left"/>
    </xf>
    <xf numFmtId="164" fontId="23" fillId="0" borderId="30" xfId="7" applyNumberFormat="1" applyBorder="1"/>
    <xf numFmtId="0" fontId="23" fillId="3" borderId="0" xfId="7" applyFill="1" applyAlignment="1">
      <alignment horizontal="center"/>
    </xf>
    <xf numFmtId="0" fontId="23" fillId="3" borderId="0" xfId="7" applyFill="1"/>
    <xf numFmtId="1" fontId="23" fillId="0" borderId="0" xfId="7" applyNumberFormat="1" applyAlignment="1">
      <alignment horizontal="center"/>
    </xf>
    <xf numFmtId="1" fontId="23" fillId="0" borderId="0" xfId="7" applyNumberFormat="1"/>
    <xf numFmtId="165" fontId="23" fillId="0" borderId="0" xfId="7" applyNumberFormat="1" applyAlignment="1">
      <alignment horizontal="left"/>
    </xf>
    <xf numFmtId="164" fontId="23" fillId="0" borderId="31" xfId="7" applyNumberFormat="1" applyBorder="1"/>
    <xf numFmtId="174" fontId="23" fillId="0" borderId="0" xfId="7" applyNumberFormat="1" applyAlignment="1">
      <alignment horizontal="center"/>
    </xf>
    <xf numFmtId="0" fontId="23" fillId="3" borderId="0" xfId="7" applyFill="1" applyAlignment="1">
      <alignment horizontal="left"/>
    </xf>
    <xf numFmtId="1" fontId="23" fillId="3" borderId="0" xfId="7" applyNumberFormat="1" applyFill="1"/>
    <xf numFmtId="1" fontId="23" fillId="3" borderId="0" xfId="7" applyNumberFormat="1" applyFill="1" applyAlignment="1">
      <alignment horizontal="right"/>
    </xf>
    <xf numFmtId="0" fontId="23" fillId="4" borderId="0" xfId="7" applyFill="1"/>
    <xf numFmtId="0" fontId="23" fillId="4" borderId="0" xfId="7" applyFill="1" applyAlignment="1">
      <alignment horizontal="center"/>
    </xf>
    <xf numFmtId="0" fontId="23" fillId="4" borderId="0" xfId="7" applyFill="1" applyAlignment="1">
      <alignment horizontal="left"/>
    </xf>
    <xf numFmtId="0" fontId="23" fillId="0" borderId="0" xfId="7" applyAlignment="1">
      <alignment horizontal="right"/>
    </xf>
    <xf numFmtId="1" fontId="23" fillId="0" borderId="0" xfId="7" applyNumberFormat="1" applyAlignment="1">
      <alignment horizontal="right"/>
    </xf>
    <xf numFmtId="164" fontId="23" fillId="4" borderId="0" xfId="7" applyNumberFormat="1" applyFill="1" applyAlignment="1">
      <alignment horizontal="left"/>
    </xf>
    <xf numFmtId="2" fontId="23" fillId="0" borderId="0" xfId="7" applyNumberFormat="1"/>
    <xf numFmtId="0" fontId="26" fillId="13" borderId="0" xfId="7" applyFont="1" applyFill="1" applyAlignment="1">
      <alignment horizontal="left"/>
    </xf>
    <xf numFmtId="0" fontId="23" fillId="13" borderId="0" xfId="7" applyFill="1" applyAlignment="1">
      <alignment horizontal="center"/>
    </xf>
    <xf numFmtId="0" fontId="23" fillId="13" borderId="0" xfId="7" applyFill="1"/>
    <xf numFmtId="0" fontId="23" fillId="0" borderId="0" xfId="7" applyAlignment="1">
      <alignment horizontal="center" wrapText="1"/>
    </xf>
    <xf numFmtId="16" fontId="23" fillId="0" borderId="0" xfId="7" applyNumberFormat="1" applyAlignment="1">
      <alignment horizontal="center"/>
    </xf>
    <xf numFmtId="0" fontId="1" fillId="0" borderId="0" xfId="8"/>
    <xf numFmtId="0" fontId="28" fillId="0" borderId="1" xfId="8" applyFont="1" applyBorder="1" applyAlignment="1">
      <alignment horizontal="justify" vertical="center" wrapText="1"/>
    </xf>
    <xf numFmtId="0" fontId="28" fillId="0" borderId="1" xfId="8" applyFont="1" applyBorder="1" applyAlignment="1">
      <alignment horizontal="center" vertical="center" wrapText="1"/>
    </xf>
    <xf numFmtId="0" fontId="28" fillId="0" borderId="1" xfId="8" applyFont="1" applyBorder="1" applyAlignment="1">
      <alignment horizontal="left" vertical="center" wrapText="1"/>
    </xf>
    <xf numFmtId="0" fontId="1" fillId="0" borderId="0" xfId="8" applyAlignment="1">
      <alignment horizontal="center" vertical="center" wrapText="1"/>
    </xf>
    <xf numFmtId="0" fontId="1" fillId="0" borderId="0" xfId="8" applyAlignment="1">
      <alignment horizontal="center"/>
    </xf>
    <xf numFmtId="170" fontId="1" fillId="0" borderId="0" xfId="8" applyNumberFormat="1"/>
    <xf numFmtId="2" fontId="1" fillId="0" borderId="0" xfId="8" applyNumberFormat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3" fillId="0" borderId="30" xfId="0" applyFont="1" applyBorder="1" applyAlignment="1">
      <alignment horizontal="center"/>
    </xf>
    <xf numFmtId="0" fontId="0" fillId="0" borderId="12" xfId="0" applyBorder="1" applyAlignment="1">
      <alignment wrapText="1"/>
    </xf>
    <xf numFmtId="0" fontId="29" fillId="0" borderId="0" xfId="0" applyFont="1" applyAlignment="1">
      <alignment horizontal="justify" vertical="center"/>
    </xf>
    <xf numFmtId="0" fontId="0" fillId="0" borderId="16" xfId="0" applyBorder="1"/>
    <xf numFmtId="10" fontId="0" fillId="0" borderId="17" xfId="9" applyNumberFormat="1" applyFont="1" applyBorder="1" applyAlignment="1">
      <alignment horizontal="center"/>
    </xf>
    <xf numFmtId="0" fontId="0" fillId="0" borderId="16" xfId="0" applyBorder="1" applyAlignment="1">
      <alignment wrapText="1"/>
    </xf>
    <xf numFmtId="0" fontId="0" fillId="0" borderId="19" xfId="0" applyBorder="1"/>
    <xf numFmtId="0" fontId="0" fillId="0" borderId="25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23" fillId="0" borderId="0" xfId="0" applyFont="1"/>
    <xf numFmtId="0" fontId="23" fillId="0" borderId="33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178" fontId="23" fillId="0" borderId="1" xfId="10" applyNumberFormat="1" applyFont="1" applyBorder="1" applyAlignment="1">
      <alignment vertical="center" wrapText="1"/>
    </xf>
    <xf numFmtId="0" fontId="23" fillId="0" borderId="1" xfId="0" applyFont="1" applyBorder="1" applyAlignment="1">
      <alignment horizontal="center" vertical="center" wrapText="1"/>
    </xf>
    <xf numFmtId="179" fontId="23" fillId="0" borderId="1" xfId="10" applyNumberFormat="1" applyFont="1" applyBorder="1" applyAlignment="1">
      <alignment horizontal="center" vertical="center" wrapText="1"/>
    </xf>
    <xf numFmtId="179" fontId="23" fillId="0" borderId="37" xfId="10" applyNumberFormat="1" applyFont="1" applyBorder="1" applyAlignment="1">
      <alignment horizontal="center" vertical="center" wrapText="1"/>
    </xf>
    <xf numFmtId="2" fontId="23" fillId="0" borderId="0" xfId="0" applyNumberFormat="1" applyFont="1" applyAlignment="1">
      <alignment horizontal="center"/>
    </xf>
    <xf numFmtId="180" fontId="23" fillId="0" borderId="0" xfId="10" applyNumberFormat="1" applyFont="1" applyFill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178" fontId="23" fillId="0" borderId="39" xfId="10" applyNumberFormat="1" applyFont="1" applyBorder="1" applyAlignment="1">
      <alignment vertical="center" wrapText="1"/>
    </xf>
    <xf numFmtId="0" fontId="23" fillId="0" borderId="39" xfId="0" applyFont="1" applyBorder="1" applyAlignment="1">
      <alignment horizontal="center" vertical="center" wrapText="1"/>
    </xf>
    <xf numFmtId="179" fontId="23" fillId="0" borderId="39" xfId="10" applyNumberFormat="1" applyFont="1" applyBorder="1" applyAlignment="1">
      <alignment horizontal="center" vertical="center" wrapText="1"/>
    </xf>
    <xf numFmtId="179" fontId="23" fillId="0" borderId="40" xfId="10" applyNumberFormat="1" applyFont="1" applyBorder="1" applyAlignment="1">
      <alignment horizontal="center" vertical="center" wrapText="1"/>
    </xf>
    <xf numFmtId="0" fontId="30" fillId="0" borderId="0" xfId="0" applyFont="1"/>
    <xf numFmtId="0" fontId="30" fillId="0" borderId="0" xfId="0" applyFont="1" applyAlignment="1">
      <alignment horizontal="center"/>
    </xf>
    <xf numFmtId="3" fontId="23" fillId="0" borderId="0" xfId="0" applyNumberFormat="1" applyFont="1"/>
    <xf numFmtId="0" fontId="23" fillId="0" borderId="0" xfId="0" applyFont="1" applyAlignment="1">
      <alignment horizontal="center"/>
    </xf>
    <xf numFmtId="4" fontId="23" fillId="0" borderId="0" xfId="0" applyNumberFormat="1" applyFont="1"/>
    <xf numFmtId="3" fontId="30" fillId="0" borderId="0" xfId="0" applyNumberFormat="1" applyFont="1"/>
    <xf numFmtId="0" fontId="30" fillId="0" borderId="1" xfId="0" applyFont="1" applyBorder="1" applyAlignment="1">
      <alignment horizontal="center" vertical="center" wrapText="1"/>
    </xf>
    <xf numFmtId="0" fontId="0" fillId="6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6" borderId="41" xfId="0" applyNumberFormat="1" applyFont="1" applyFill="1" applyBorder="1" applyAlignment="1">
      <alignment horizontal="center"/>
    </xf>
    <xf numFmtId="0" fontId="3" fillId="6" borderId="42" xfId="0" applyFont="1" applyFill="1" applyBorder="1" applyAlignment="1">
      <alignment horizontal="center"/>
    </xf>
    <xf numFmtId="0" fontId="7" fillId="0" borderId="0" xfId="3" applyFont="1"/>
    <xf numFmtId="0" fontId="8" fillId="0" borderId="0" xfId="3" applyAlignment="1">
      <alignment horizontal="center" vertical="center"/>
    </xf>
    <xf numFmtId="0" fontId="7" fillId="0" borderId="0" xfId="3" applyFont="1" applyAlignment="1">
      <alignment horizontal="center" vertical="center"/>
    </xf>
    <xf numFmtId="0" fontId="8" fillId="6" borderId="0" xfId="3" applyFill="1" applyAlignment="1">
      <alignment horizontal="center" vertical="center"/>
    </xf>
    <xf numFmtId="0" fontId="8" fillId="0" borderId="1" xfId="3" applyBorder="1" applyAlignment="1">
      <alignment horizontal="center"/>
    </xf>
    <xf numFmtId="0" fontId="8" fillId="14" borderId="1" xfId="3" applyFill="1" applyBorder="1" applyAlignment="1">
      <alignment horizontal="center"/>
    </xf>
    <xf numFmtId="2" fontId="7" fillId="0" borderId="0" xfId="3" applyNumberFormat="1" applyFont="1"/>
    <xf numFmtId="0" fontId="8" fillId="0" borderId="1" xfId="3" applyBorder="1"/>
    <xf numFmtId="0" fontId="8" fillId="15" borderId="1" xfId="3" applyFill="1" applyBorder="1" applyAlignment="1">
      <alignment horizontal="center"/>
    </xf>
    <xf numFmtId="2" fontId="8" fillId="0" borderId="0" xfId="3" applyNumberFormat="1"/>
    <xf numFmtId="0" fontId="7" fillId="0" borderId="0" xfId="3" applyFont="1" applyAlignment="1">
      <alignment horizontal="right"/>
    </xf>
    <xf numFmtId="3" fontId="8" fillId="0" borderId="0" xfId="3" applyNumberFormat="1"/>
    <xf numFmtId="0" fontId="22" fillId="0" borderId="12" xfId="0" applyFont="1" applyBorder="1"/>
    <xf numFmtId="0" fontId="0" fillId="0" borderId="13" xfId="0" applyBorder="1"/>
    <xf numFmtId="0" fontId="0" fillId="0" borderId="17" xfId="0" applyBorder="1" applyAlignment="1">
      <alignment horizontal="center"/>
    </xf>
    <xf numFmtId="0" fontId="31" fillId="0" borderId="0" xfId="0" applyFont="1"/>
    <xf numFmtId="0" fontId="0" fillId="0" borderId="20" xfId="0" applyBorder="1"/>
    <xf numFmtId="0" fontId="32" fillId="0" borderId="0" xfId="3" applyFont="1"/>
    <xf numFmtId="0" fontId="33" fillId="0" borderId="0" xfId="3" applyFont="1"/>
    <xf numFmtId="0" fontId="33" fillId="0" borderId="0" xfId="3" applyFont="1" applyAlignment="1">
      <alignment horizontal="center"/>
    </xf>
    <xf numFmtId="0" fontId="0" fillId="0" borderId="32" xfId="0" applyBorder="1"/>
    <xf numFmtId="0" fontId="0" fillId="0" borderId="32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0" xfId="0" applyBorder="1"/>
    <xf numFmtId="0" fontId="0" fillId="0" borderId="47" xfId="0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16" borderId="1" xfId="0" applyFont="1" applyFill="1" applyBorder="1" applyAlignment="1">
      <alignment horizontal="center"/>
    </xf>
    <xf numFmtId="16" fontId="4" fillId="0" borderId="1" xfId="0" quotePrefix="1" applyNumberFormat="1" applyFont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16" fontId="4" fillId="0" borderId="1" xfId="0" applyNumberFormat="1" applyFont="1" applyBorder="1" applyAlignment="1">
      <alignment horizontal="center"/>
    </xf>
    <xf numFmtId="0" fontId="35" fillId="0" borderId="0" xfId="0" applyFont="1"/>
    <xf numFmtId="0" fontId="35" fillId="0" borderId="0" xfId="0" applyFont="1" applyAlignment="1">
      <alignment horizontal="center"/>
    </xf>
    <xf numFmtId="0" fontId="35" fillId="0" borderId="1" xfId="0" applyFont="1" applyBorder="1"/>
    <xf numFmtId="0" fontId="35" fillId="0" borderId="1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170" fontId="36" fillId="0" borderId="1" xfId="0" applyNumberFormat="1" applyFont="1" applyBorder="1" applyAlignment="1">
      <alignment horizontal="center"/>
    </xf>
    <xf numFmtId="0" fontId="36" fillId="0" borderId="0" xfId="0" applyFont="1"/>
    <xf numFmtId="0" fontId="36" fillId="0" borderId="0" xfId="0" applyFont="1" applyAlignment="1">
      <alignment horizontal="center"/>
    </xf>
    <xf numFmtId="0" fontId="37" fillId="0" borderId="0" xfId="11" applyFont="1" applyAlignment="1">
      <alignment horizontal="center"/>
    </xf>
    <xf numFmtId="0" fontId="38" fillId="0" borderId="0" xfId="11" applyFont="1" applyAlignment="1">
      <alignment horizontal="left"/>
    </xf>
    <xf numFmtId="0" fontId="8" fillId="0" borderId="0" xfId="11"/>
    <xf numFmtId="0" fontId="8" fillId="0" borderId="0" xfId="11" applyAlignment="1">
      <alignment horizontal="center"/>
    </xf>
    <xf numFmtId="0" fontId="8" fillId="0" borderId="48" xfId="11" applyBorder="1" applyAlignment="1">
      <alignment horizontal="center"/>
    </xf>
    <xf numFmtId="0" fontId="8" fillId="0" borderId="50" xfId="11" applyBorder="1" applyAlignment="1">
      <alignment horizontal="center"/>
    </xf>
    <xf numFmtId="0" fontId="8" fillId="0" borderId="34" xfId="1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6" borderId="12" xfId="11" applyFill="1" applyBorder="1" applyAlignment="1">
      <alignment horizontal="center"/>
    </xf>
    <xf numFmtId="0" fontId="8" fillId="6" borderId="15" xfId="11" applyFill="1" applyBorder="1" applyAlignment="1">
      <alignment horizontal="center"/>
    </xf>
    <xf numFmtId="0" fontId="8" fillId="0" borderId="54" xfId="11" applyBorder="1" applyAlignment="1">
      <alignment horizontal="center"/>
    </xf>
    <xf numFmtId="0" fontId="8" fillId="0" borderId="26" xfId="11" applyBorder="1" applyAlignment="1">
      <alignment horizontal="center"/>
    </xf>
    <xf numFmtId="0" fontId="8" fillId="0" borderId="1" xfId="11" applyBorder="1" applyAlignment="1">
      <alignment horizontal="center"/>
    </xf>
    <xf numFmtId="0" fontId="37" fillId="0" borderId="1" xfId="11" applyFont="1" applyBorder="1" applyAlignment="1">
      <alignment horizontal="center"/>
    </xf>
    <xf numFmtId="0" fontId="8" fillId="0" borderId="37" xfId="11" applyBorder="1" applyAlignment="1">
      <alignment horizontal="center"/>
    </xf>
    <xf numFmtId="0" fontId="8" fillId="0" borderId="36" xfId="1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37" fillId="0" borderId="47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2" fontId="8" fillId="6" borderId="48" xfId="11" applyNumberFormat="1" applyFill="1" applyBorder="1" applyAlignment="1">
      <alignment horizontal="center"/>
    </xf>
    <xf numFmtId="0" fontId="8" fillId="6" borderId="53" xfId="11" applyFill="1" applyBorder="1" applyAlignment="1">
      <alignment horizontal="center"/>
    </xf>
    <xf numFmtId="2" fontId="8" fillId="6" borderId="54" xfId="11" applyNumberFormat="1" applyFill="1" applyBorder="1" applyAlignment="1">
      <alignment horizontal="center"/>
    </xf>
    <xf numFmtId="0" fontId="8" fillId="6" borderId="58" xfId="11" applyFill="1" applyBorder="1" applyAlignment="1">
      <alignment horizontal="center"/>
    </xf>
    <xf numFmtId="0" fontId="8" fillId="0" borderId="60" xfId="11" applyBorder="1" applyAlignment="1">
      <alignment horizontal="center"/>
    </xf>
    <xf numFmtId="0" fontId="8" fillId="0" borderId="61" xfId="11" applyBorder="1" applyAlignment="1">
      <alignment horizontal="center"/>
    </xf>
    <xf numFmtId="0" fontId="8" fillId="0" borderId="39" xfId="11" applyBorder="1" applyAlignment="1">
      <alignment horizontal="center"/>
    </xf>
    <xf numFmtId="0" fontId="8" fillId="0" borderId="40" xfId="11" applyBorder="1" applyAlignment="1">
      <alignment horizontal="center"/>
    </xf>
    <xf numFmtId="0" fontId="8" fillId="0" borderId="38" xfId="11" applyBorder="1" applyAlignment="1">
      <alignment horizontal="center"/>
    </xf>
    <xf numFmtId="0" fontId="8" fillId="0" borderId="62" xfId="0" applyFont="1" applyBorder="1" applyAlignment="1">
      <alignment horizontal="center"/>
    </xf>
    <xf numFmtId="0" fontId="8" fillId="0" borderId="63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2" fontId="8" fillId="6" borderId="60" xfId="11" applyNumberFormat="1" applyFill="1" applyBorder="1" applyAlignment="1">
      <alignment horizontal="center"/>
    </xf>
    <xf numFmtId="0" fontId="8" fillId="6" borderId="64" xfId="11" applyFill="1" applyBorder="1" applyAlignment="1">
      <alignment horizontal="center"/>
    </xf>
    <xf numFmtId="1" fontId="8" fillId="0" borderId="0" xfId="11" applyNumberFormat="1" applyAlignment="1">
      <alignment horizontal="center"/>
    </xf>
    <xf numFmtId="0" fontId="8" fillId="0" borderId="0" xfId="11" applyAlignment="1">
      <alignment horizontal="center" vertical="center"/>
    </xf>
    <xf numFmtId="0" fontId="8" fillId="0" borderId="0" xfId="11" applyAlignment="1">
      <alignment horizontal="center" wrapText="1"/>
    </xf>
    <xf numFmtId="0" fontId="8" fillId="0" borderId="51" xfId="11" applyBorder="1" applyAlignment="1">
      <alignment horizontal="center"/>
    </xf>
    <xf numFmtId="0" fontId="8" fillId="0" borderId="53" xfId="11" applyBorder="1" applyAlignment="1">
      <alignment horizontal="center"/>
    </xf>
    <xf numFmtId="0" fontId="8" fillId="6" borderId="48" xfId="11" applyFill="1" applyBorder="1" applyAlignment="1">
      <alignment horizontal="center"/>
    </xf>
    <xf numFmtId="0" fontId="8" fillId="0" borderId="65" xfId="11" applyBorder="1" applyAlignment="1">
      <alignment horizontal="center"/>
    </xf>
    <xf numFmtId="0" fontId="8" fillId="0" borderId="24" xfId="1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37" fillId="0" borderId="1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2" fontId="8" fillId="0" borderId="58" xfId="11" applyNumberFormat="1" applyBorder="1" applyAlignment="1">
      <alignment horizontal="center" vertical="center"/>
    </xf>
    <xf numFmtId="0" fontId="8" fillId="6" borderId="54" xfId="11" applyFill="1" applyBorder="1" applyAlignment="1">
      <alignment horizontal="center"/>
    </xf>
    <xf numFmtId="0" fontId="8" fillId="0" borderId="65" xfId="11" applyBorder="1" applyAlignment="1">
      <alignment horizontal="center" vertical="center"/>
    </xf>
    <xf numFmtId="1" fontId="8" fillId="0" borderId="37" xfId="0" applyNumberFormat="1" applyFont="1" applyBorder="1" applyAlignment="1">
      <alignment horizontal="center"/>
    </xf>
    <xf numFmtId="1" fontId="8" fillId="0" borderId="58" xfId="11" applyNumberFormat="1" applyBorder="1" applyAlignment="1">
      <alignment horizontal="center" vertical="center"/>
    </xf>
    <xf numFmtId="1" fontId="8" fillId="0" borderId="24" xfId="11" applyNumberFormat="1" applyBorder="1" applyAlignment="1">
      <alignment horizontal="center"/>
    </xf>
    <xf numFmtId="2" fontId="8" fillId="0" borderId="58" xfId="11" applyNumberFormat="1" applyBorder="1" applyAlignment="1">
      <alignment horizontal="center"/>
    </xf>
    <xf numFmtId="1" fontId="8" fillId="0" borderId="58" xfId="11" applyNumberFormat="1" applyBorder="1" applyAlignment="1">
      <alignment horizontal="center"/>
    </xf>
    <xf numFmtId="1" fontId="8" fillId="0" borderId="36" xfId="11" applyNumberFormat="1" applyBorder="1" applyAlignment="1">
      <alignment horizontal="center"/>
    </xf>
    <xf numFmtId="1" fontId="8" fillId="0" borderId="1" xfId="11" applyNumberFormat="1" applyBorder="1" applyAlignment="1">
      <alignment horizontal="center"/>
    </xf>
    <xf numFmtId="1" fontId="8" fillId="0" borderId="37" xfId="11" applyNumberFormat="1" applyBorder="1" applyAlignment="1">
      <alignment horizontal="center"/>
    </xf>
    <xf numFmtId="1" fontId="8" fillId="0" borderId="26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1" fontId="8" fillId="0" borderId="24" xfId="0" applyNumberFormat="1" applyFont="1" applyBorder="1" applyAlignment="1">
      <alignment horizontal="center"/>
    </xf>
    <xf numFmtId="0" fontId="8" fillId="0" borderId="58" xfId="11" applyBorder="1" applyAlignment="1">
      <alignment horizontal="center"/>
    </xf>
    <xf numFmtId="1" fontId="8" fillId="6" borderId="54" xfId="11" applyNumberFormat="1" applyFill="1" applyBorder="1" applyAlignment="1">
      <alignment horizontal="center"/>
    </xf>
    <xf numFmtId="0" fontId="8" fillId="0" borderId="66" xfId="11" applyBorder="1" applyAlignment="1">
      <alignment horizontal="center"/>
    </xf>
    <xf numFmtId="1" fontId="8" fillId="0" borderId="39" xfId="11" applyNumberForma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1" fontId="8" fillId="0" borderId="64" xfId="11" applyNumberFormat="1" applyBorder="1" applyAlignment="1">
      <alignment horizontal="center"/>
    </xf>
    <xf numFmtId="0" fontId="8" fillId="6" borderId="60" xfId="11" applyFill="1" applyBorder="1" applyAlignment="1">
      <alignment horizontal="center"/>
    </xf>
    <xf numFmtId="1" fontId="8" fillId="6" borderId="60" xfId="11" applyNumberFormat="1" applyFill="1" applyBorder="1" applyAlignment="1">
      <alignment horizontal="center"/>
    </xf>
    <xf numFmtId="170" fontId="8" fillId="0" borderId="0" xfId="11" applyNumberFormat="1"/>
    <xf numFmtId="0" fontId="8" fillId="0" borderId="0" xfId="3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" fillId="0" borderId="27" xfId="2" applyBorder="1" applyAlignment="1">
      <alignment horizontal="center"/>
    </xf>
    <xf numFmtId="0" fontId="4" fillId="0" borderId="28" xfId="2" applyBorder="1" applyAlignment="1">
      <alignment horizontal="center"/>
    </xf>
    <xf numFmtId="0" fontId="4" fillId="0" borderId="29" xfId="2" applyBorder="1" applyAlignment="1">
      <alignment horizontal="center"/>
    </xf>
    <xf numFmtId="0" fontId="4" fillId="0" borderId="1" xfId="2" applyBorder="1" applyAlignment="1">
      <alignment horizontal="center"/>
    </xf>
    <xf numFmtId="0" fontId="11" fillId="0" borderId="1" xfId="2" applyFont="1" applyBorder="1" applyAlignment="1">
      <alignment horizontal="center"/>
    </xf>
    <xf numFmtId="0" fontId="19" fillId="0" borderId="24" xfId="2" applyFont="1" applyBorder="1" applyAlignment="1">
      <alignment horizontal="center"/>
    </xf>
    <xf numFmtId="0" fontId="19" fillId="0" borderId="25" xfId="2" applyFont="1" applyBorder="1" applyAlignment="1">
      <alignment horizontal="center"/>
    </xf>
    <xf numFmtId="0" fontId="19" fillId="0" borderId="26" xfId="2" applyFont="1" applyBorder="1" applyAlignment="1">
      <alignment horizontal="center"/>
    </xf>
    <xf numFmtId="0" fontId="4" fillId="0" borderId="0" xfId="2" applyAlignment="1">
      <alignment horizontal="center"/>
    </xf>
    <xf numFmtId="0" fontId="0" fillId="0" borderId="1" xfId="0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22" fillId="0" borderId="0" xfId="0" applyFont="1" applyAlignment="1">
      <alignment horizontal="center"/>
    </xf>
    <xf numFmtId="0" fontId="3" fillId="0" borderId="32" xfId="0" applyFont="1" applyBorder="1" applyAlignment="1">
      <alignment horizontal="center"/>
    </xf>
    <xf numFmtId="0" fontId="30" fillId="0" borderId="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4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30" xfId="0" applyFont="1" applyBorder="1" applyAlignment="1">
      <alignment horizontal="center"/>
    </xf>
    <xf numFmtId="0" fontId="35" fillId="0" borderId="41" xfId="0" applyFont="1" applyBorder="1" applyAlignment="1">
      <alignment horizontal="center" vertical="center"/>
    </xf>
    <xf numFmtId="0" fontId="35" fillId="0" borderId="42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/>
    </xf>
    <xf numFmtId="0" fontId="34" fillId="0" borderId="0" xfId="0" applyFont="1" applyAlignment="1">
      <alignment horizontal="center"/>
    </xf>
    <xf numFmtId="1" fontId="8" fillId="0" borderId="57" xfId="11" applyNumberFormat="1" applyBorder="1" applyAlignment="1">
      <alignment horizontal="center" vertical="center"/>
    </xf>
    <xf numFmtId="1" fontId="8" fillId="0" borderId="22" xfId="11" applyNumberFormat="1" applyBorder="1" applyAlignment="1">
      <alignment horizontal="center" vertical="center"/>
    </xf>
    <xf numFmtId="0" fontId="8" fillId="0" borderId="57" xfId="11" applyBorder="1" applyAlignment="1">
      <alignment horizontal="center" vertical="center"/>
    </xf>
    <xf numFmtId="0" fontId="8" fillId="0" borderId="59" xfId="11" applyBorder="1" applyAlignment="1">
      <alignment horizontal="center" vertical="center"/>
    </xf>
    <xf numFmtId="0" fontId="8" fillId="0" borderId="18" xfId="11" applyBorder="1" applyAlignment="1">
      <alignment horizontal="center" vertical="center"/>
    </xf>
    <xf numFmtId="0" fontId="8" fillId="0" borderId="22" xfId="11" applyBorder="1" applyAlignment="1">
      <alignment horizontal="center" vertical="center"/>
    </xf>
    <xf numFmtId="1" fontId="8" fillId="0" borderId="59" xfId="11" applyNumberFormat="1" applyBorder="1" applyAlignment="1">
      <alignment horizontal="center" vertical="center"/>
    </xf>
    <xf numFmtId="2" fontId="8" fillId="6" borderId="54" xfId="11" applyNumberFormat="1" applyFill="1" applyBorder="1" applyAlignment="1">
      <alignment horizontal="center" vertical="center"/>
    </xf>
    <xf numFmtId="0" fontId="8" fillId="6" borderId="58" xfId="11" applyFill="1" applyBorder="1" applyAlignment="1">
      <alignment horizontal="center" vertical="center"/>
    </xf>
    <xf numFmtId="0" fontId="8" fillId="0" borderId="33" xfId="11" applyBorder="1" applyAlignment="1">
      <alignment horizontal="center"/>
    </xf>
    <xf numFmtId="0" fontId="8" fillId="0" borderId="34" xfId="11" applyBorder="1" applyAlignment="1">
      <alignment horizontal="center"/>
    </xf>
    <xf numFmtId="0" fontId="8" fillId="0" borderId="35" xfId="11" applyBorder="1" applyAlignment="1">
      <alignment horizontal="center"/>
    </xf>
    <xf numFmtId="0" fontId="8" fillId="0" borderId="50" xfId="1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8" fillId="0" borderId="49" xfId="11" applyBorder="1" applyAlignment="1">
      <alignment horizontal="center"/>
    </xf>
    <xf numFmtId="0" fontId="7" fillId="0" borderId="0" xfId="11" applyFont="1" applyAlignment="1">
      <alignment horizontal="center"/>
    </xf>
  </cellXfs>
  <cellStyles count="12">
    <cellStyle name="Comma 2" xfId="10" xr:uid="{595D5853-64F2-384A-8A48-E52772888618}"/>
    <cellStyle name="Currency [0] 2" xfId="5" xr:uid="{29A1EB4C-A6B8-CC4F-95A6-71E8701EE295}"/>
    <cellStyle name="Normal" xfId="0" builtinId="0"/>
    <cellStyle name="Normal 2" xfId="2" xr:uid="{248FF0D8-8955-484F-AAF3-4EDF0C8C3D02}"/>
    <cellStyle name="Normal 2 2" xfId="4" xr:uid="{16613D70-6DC6-F145-A074-7109C4DB6025}"/>
    <cellStyle name="Normal 2 3" xfId="11" xr:uid="{E696E371-DC73-CE40-A586-5FAE3C5DD2FC}"/>
    <cellStyle name="Normal 2 4" xfId="8" xr:uid="{61182049-6D49-2746-B497-08862EB1023B}"/>
    <cellStyle name="Normal 3" xfId="3" xr:uid="{356A311E-0D79-9749-912D-861062166C81}"/>
    <cellStyle name="Normal 4" xfId="7" xr:uid="{9AB9B484-246B-4946-8819-5CE129DFE929}"/>
    <cellStyle name="Percent" xfId="1" builtinId="5"/>
    <cellStyle name="Percent 3" xfId="6" xr:uid="{EB99F09B-4195-EB47-9ADF-2C20310B0FA1}"/>
    <cellStyle name="Percent 4" xfId="9" xr:uid="{A51F8C52-A450-FC46-A781-5AD3FB0DF2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457200</xdr:colOff>
      <xdr:row>33</xdr:row>
      <xdr:rowOff>101600</xdr:rowOff>
    </xdr:from>
    <xdr:to>
      <xdr:col>23</xdr:col>
      <xdr:colOff>508000</xdr:colOff>
      <xdr:row>34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659C9861-BD21-204A-87E0-B7BA6B67A35A}"/>
            </a:ext>
          </a:extLst>
        </xdr:cNvPr>
        <xdr:cNvSpPr>
          <a:spLocks noChangeShapeType="1"/>
        </xdr:cNvSpPr>
      </xdr:nvSpPr>
      <xdr:spPr bwMode="auto">
        <a:xfrm flipV="1">
          <a:off x="20510500" y="5549900"/>
          <a:ext cx="1181100" cy="215900"/>
        </a:xfrm>
        <a:prstGeom prst="line">
          <a:avLst/>
        </a:prstGeom>
        <a:noFill/>
        <a:ln w="12700">
          <a:solidFill>
            <a:srgbClr val="DD0806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23</xdr:col>
      <xdr:colOff>457200</xdr:colOff>
      <xdr:row>33</xdr:row>
      <xdr:rowOff>101600</xdr:rowOff>
    </xdr:from>
    <xdr:to>
      <xdr:col>24</xdr:col>
      <xdr:colOff>508000</xdr:colOff>
      <xdr:row>34</xdr:row>
      <xdr:rowOff>152400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531D2723-9457-2F4E-B4BC-59A7524945A6}"/>
            </a:ext>
          </a:extLst>
        </xdr:cNvPr>
        <xdr:cNvSpPr>
          <a:spLocks noChangeShapeType="1"/>
        </xdr:cNvSpPr>
      </xdr:nvSpPr>
      <xdr:spPr bwMode="auto">
        <a:xfrm flipV="1">
          <a:off x="21640800" y="5549900"/>
          <a:ext cx="863600" cy="215900"/>
        </a:xfrm>
        <a:prstGeom prst="line">
          <a:avLst/>
        </a:prstGeom>
        <a:noFill/>
        <a:ln w="12700">
          <a:solidFill>
            <a:srgbClr val="DD0806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24</xdr:col>
      <xdr:colOff>457200</xdr:colOff>
      <xdr:row>33</xdr:row>
      <xdr:rowOff>101600</xdr:rowOff>
    </xdr:from>
    <xdr:to>
      <xdr:col>25</xdr:col>
      <xdr:colOff>508000</xdr:colOff>
      <xdr:row>34</xdr:row>
      <xdr:rowOff>152400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E632732D-D330-4849-B26E-1A440B59F93D}"/>
            </a:ext>
          </a:extLst>
        </xdr:cNvPr>
        <xdr:cNvSpPr>
          <a:spLocks noChangeShapeType="1"/>
        </xdr:cNvSpPr>
      </xdr:nvSpPr>
      <xdr:spPr bwMode="auto">
        <a:xfrm flipV="1">
          <a:off x="22453600" y="5549900"/>
          <a:ext cx="889000" cy="215900"/>
        </a:xfrm>
        <a:prstGeom prst="line">
          <a:avLst/>
        </a:prstGeom>
        <a:noFill/>
        <a:ln w="12700">
          <a:solidFill>
            <a:srgbClr val="DD0806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419100</xdr:colOff>
      <xdr:row>19</xdr:row>
      <xdr:rowOff>0</xdr:rowOff>
    </xdr:from>
    <xdr:to>
      <xdr:col>4</xdr:col>
      <xdr:colOff>419100</xdr:colOff>
      <xdr:row>24</xdr:row>
      <xdr:rowOff>127000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EF7CBC13-8A9E-194B-83A1-DB1B8A0600D5}"/>
            </a:ext>
          </a:extLst>
        </xdr:cNvPr>
        <xdr:cNvCxnSpPr/>
      </xdr:nvCxnSpPr>
      <xdr:spPr>
        <a:xfrm>
          <a:off x="3721100" y="3860800"/>
          <a:ext cx="0" cy="1143000"/>
        </a:xfrm>
        <a:prstGeom prst="line">
          <a:avLst/>
        </a:prstGeom>
        <a:ln w="9525" cmpd="sng">
          <a:solidFill>
            <a:srgbClr val="FF0000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419100</xdr:colOff>
      <xdr:row>19</xdr:row>
      <xdr:rowOff>0</xdr:rowOff>
    </xdr:from>
    <xdr:to>
      <xdr:col>5</xdr:col>
      <xdr:colOff>419100</xdr:colOff>
      <xdr:row>24</xdr:row>
      <xdr:rowOff>127000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FDFD279C-4195-804C-8357-FB39E304537A}"/>
            </a:ext>
          </a:extLst>
        </xdr:cNvPr>
        <xdr:cNvCxnSpPr/>
      </xdr:nvCxnSpPr>
      <xdr:spPr>
        <a:xfrm>
          <a:off x="4546600" y="3860800"/>
          <a:ext cx="0" cy="1143000"/>
        </a:xfrm>
        <a:prstGeom prst="line">
          <a:avLst/>
        </a:prstGeom>
        <a:ln w="9525" cmpd="sng">
          <a:solidFill>
            <a:srgbClr val="FF0000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419100</xdr:colOff>
      <xdr:row>18</xdr:row>
      <xdr:rowOff>139700</xdr:rowOff>
    </xdr:from>
    <xdr:to>
      <xdr:col>3</xdr:col>
      <xdr:colOff>419100</xdr:colOff>
      <xdr:row>24</xdr:row>
      <xdr:rowOff>76200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EB481BE-E4EF-8E4C-8316-3A157C997DFD}"/>
            </a:ext>
          </a:extLst>
        </xdr:cNvPr>
        <xdr:cNvCxnSpPr/>
      </xdr:nvCxnSpPr>
      <xdr:spPr>
        <a:xfrm>
          <a:off x="2895600" y="3797300"/>
          <a:ext cx="0" cy="1155700"/>
        </a:xfrm>
        <a:prstGeom prst="line">
          <a:avLst/>
        </a:prstGeom>
        <a:ln w="9525" cmpd="sng">
          <a:solidFill>
            <a:srgbClr val="FF0000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419100</xdr:colOff>
      <xdr:row>18</xdr:row>
      <xdr:rowOff>152400</xdr:rowOff>
    </xdr:from>
    <xdr:to>
      <xdr:col>2</xdr:col>
      <xdr:colOff>419100</xdr:colOff>
      <xdr:row>24</xdr:row>
      <xdr:rowOff>88900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A79EE6B3-D176-1446-BD97-4508C08EB77E}"/>
            </a:ext>
          </a:extLst>
        </xdr:cNvPr>
        <xdr:cNvCxnSpPr/>
      </xdr:nvCxnSpPr>
      <xdr:spPr>
        <a:xfrm>
          <a:off x="2070100" y="3810000"/>
          <a:ext cx="0" cy="1155700"/>
        </a:xfrm>
        <a:prstGeom prst="line">
          <a:avLst/>
        </a:prstGeom>
        <a:ln w="9525" cmpd="sng">
          <a:solidFill>
            <a:srgbClr val="FF0000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419100</xdr:colOff>
      <xdr:row>18</xdr:row>
      <xdr:rowOff>177800</xdr:rowOff>
    </xdr:from>
    <xdr:to>
      <xdr:col>6</xdr:col>
      <xdr:colOff>419100</xdr:colOff>
      <xdr:row>24</xdr:row>
      <xdr:rowOff>114300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A97355C9-49B1-E64A-A0DC-85DC5D57CA6D}"/>
            </a:ext>
          </a:extLst>
        </xdr:cNvPr>
        <xdr:cNvCxnSpPr/>
      </xdr:nvCxnSpPr>
      <xdr:spPr>
        <a:xfrm>
          <a:off x="5372100" y="3835400"/>
          <a:ext cx="0" cy="1155700"/>
        </a:xfrm>
        <a:prstGeom prst="line">
          <a:avLst/>
        </a:prstGeom>
        <a:ln w="9525" cmpd="sng">
          <a:solidFill>
            <a:srgbClr val="FF0000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nrique/Documents/UCR/Profesor/Ex&#225;menes/Soluci&#243;n%20de%20Ex&#225;menes/Gerencia%20de%20Operaciones/2p-II-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gunta 1"/>
      <sheetName val="Pregunta 2"/>
      <sheetName val="3ra pregunta"/>
      <sheetName val="3ra pregunta piso y UAII"/>
    </sheetNames>
    <sheetDataSet>
      <sheetData sheetId="0" refreshError="1"/>
      <sheetData sheetId="1" refreshError="1"/>
      <sheetData sheetId="2">
        <row r="16">
          <cell r="C16">
            <v>1000</v>
          </cell>
          <cell r="D16">
            <v>1200</v>
          </cell>
          <cell r="E16">
            <v>900</v>
          </cell>
          <cell r="H16">
            <v>500</v>
          </cell>
          <cell r="I16">
            <v>700</v>
          </cell>
          <cell r="J16">
            <v>600</v>
          </cell>
          <cell r="M16">
            <v>850</v>
          </cell>
          <cell r="N16">
            <v>1050</v>
          </cell>
          <cell r="O16">
            <v>920</v>
          </cell>
        </row>
        <row r="17">
          <cell r="C17">
            <v>100.00000000000023</v>
          </cell>
          <cell r="D17">
            <v>120.00000000000023</v>
          </cell>
          <cell r="E17">
            <v>90.000000000000227</v>
          </cell>
          <cell r="H17">
            <v>50.000000000000114</v>
          </cell>
          <cell r="I17">
            <v>70.000000000000227</v>
          </cell>
          <cell r="J17">
            <v>60</v>
          </cell>
          <cell r="M17">
            <v>85.000000000000114</v>
          </cell>
          <cell r="N17">
            <v>105.00000000000023</v>
          </cell>
          <cell r="O17">
            <v>92.000000000000227</v>
          </cell>
        </row>
        <row r="68">
          <cell r="H68">
            <v>15600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EE6DA-4573-9A4B-BDA8-49947E536B4F}">
  <dimension ref="A1:H71"/>
  <sheetViews>
    <sheetView tabSelected="1" workbookViewId="0">
      <selection activeCell="C25" sqref="C25"/>
    </sheetView>
  </sheetViews>
  <sheetFormatPr baseColWidth="10" defaultRowHeight="13"/>
  <cols>
    <col min="1" max="1" width="30.5" style="2" customWidth="1"/>
    <col min="2" max="2" width="11" style="2" bestFit="1" customWidth="1"/>
    <col min="3" max="3" width="13.1640625" style="2" customWidth="1"/>
    <col min="4" max="4" width="10.83203125" style="2"/>
    <col min="5" max="5" width="12.33203125" style="2" customWidth="1"/>
    <col min="6" max="6" width="21.5" style="2" customWidth="1"/>
    <col min="7" max="16384" width="10.83203125" style="2"/>
  </cols>
  <sheetData>
    <row r="1" spans="1:8" ht="16">
      <c r="A1" s="1" t="s">
        <v>0</v>
      </c>
    </row>
    <row r="2" spans="1:8" ht="16">
      <c r="A2" s="3" t="s">
        <v>1</v>
      </c>
    </row>
    <row r="3" spans="1:8" ht="16">
      <c r="A3" s="3" t="s">
        <v>2</v>
      </c>
    </row>
    <row r="4" spans="1:8">
      <c r="A4" s="4" t="s">
        <v>3</v>
      </c>
    </row>
    <row r="6" spans="1:8">
      <c r="A6" s="5" t="s">
        <v>4</v>
      </c>
      <c r="F6" s="2" t="s">
        <v>5</v>
      </c>
      <c r="G6" s="2">
        <f>C8+F26</f>
        <v>18200</v>
      </c>
    </row>
    <row r="7" spans="1:8">
      <c r="A7" s="6" t="s">
        <v>6</v>
      </c>
      <c r="B7" s="7" t="s">
        <v>7</v>
      </c>
      <c r="C7" s="7" t="s">
        <v>8</v>
      </c>
      <c r="D7" s="7" t="s">
        <v>9</v>
      </c>
      <c r="F7" s="2" t="s">
        <v>10</v>
      </c>
      <c r="G7" s="8">
        <f>C9+(B10-B12)</f>
        <v>16800</v>
      </c>
    </row>
    <row r="8" spans="1:8">
      <c r="A8" s="9" t="s">
        <v>11</v>
      </c>
      <c r="B8" s="10">
        <v>6000</v>
      </c>
      <c r="C8" s="10">
        <v>18000</v>
      </c>
      <c r="D8" s="10">
        <v>9000</v>
      </c>
      <c r="F8" s="2" t="s">
        <v>12</v>
      </c>
      <c r="G8" s="11">
        <f>G6-G7</f>
        <v>1400</v>
      </c>
    </row>
    <row r="9" spans="1:8">
      <c r="A9" s="9" t="s">
        <v>13</v>
      </c>
      <c r="B9" s="10">
        <v>2000</v>
      </c>
      <c r="C9" s="12">
        <f>B15</f>
        <v>6400</v>
      </c>
      <c r="D9" s="12">
        <f>C15</f>
        <v>200</v>
      </c>
      <c r="F9" s="2" t="s">
        <v>14</v>
      </c>
      <c r="G9" s="11">
        <f>G8/D33</f>
        <v>1458.3333333333335</v>
      </c>
    </row>
    <row r="10" spans="1:8">
      <c r="A10" s="9" t="s">
        <v>15</v>
      </c>
      <c r="B10" s="12">
        <f>C28</f>
        <v>10833.333333333334</v>
      </c>
      <c r="C10" s="12">
        <f>C28</f>
        <v>10833.333333333334</v>
      </c>
      <c r="D10" s="12">
        <f>C28</f>
        <v>10833.333333333334</v>
      </c>
      <c r="G10" s="11"/>
    </row>
    <row r="11" spans="1:8">
      <c r="A11" s="9" t="s">
        <v>16</v>
      </c>
      <c r="B11" s="12">
        <v>0</v>
      </c>
      <c r="C11" s="12">
        <f>G9</f>
        <v>1458.3333333333335</v>
      </c>
      <c r="D11" s="12">
        <v>0</v>
      </c>
      <c r="G11" s="11"/>
      <c r="H11" s="13"/>
    </row>
    <row r="12" spans="1:8">
      <c r="A12" s="9" t="s">
        <v>17</v>
      </c>
      <c r="B12" s="12">
        <f>B10*(1-$D$33)</f>
        <v>433.33333333333377</v>
      </c>
      <c r="C12" s="12">
        <f>(C10+C11)*(1-D33)</f>
        <v>491.66666666666714</v>
      </c>
      <c r="D12" s="12">
        <f>D10*(1-D33)</f>
        <v>433.33333333333377</v>
      </c>
    </row>
    <row r="13" spans="1:8">
      <c r="A13" s="9" t="s">
        <v>18</v>
      </c>
      <c r="B13" s="12">
        <f>B9+B10+B11-B12</f>
        <v>12400</v>
      </c>
      <c r="C13" s="12">
        <f>C9+C10+C11-C12</f>
        <v>18200</v>
      </c>
      <c r="D13" s="12">
        <f>D9+D10+D11-D12</f>
        <v>10600</v>
      </c>
    </row>
    <row r="14" spans="1:8">
      <c r="A14" s="9" t="s">
        <v>19</v>
      </c>
      <c r="B14" s="10">
        <f>B8</f>
        <v>6000</v>
      </c>
      <c r="C14" s="12">
        <f>C8</f>
        <v>18000</v>
      </c>
      <c r="D14" s="10">
        <f>D8</f>
        <v>9000</v>
      </c>
    </row>
    <row r="15" spans="1:8">
      <c r="A15" s="9" t="s">
        <v>20</v>
      </c>
      <c r="B15" s="12">
        <f>B13-B14</f>
        <v>6400</v>
      </c>
      <c r="C15" s="12">
        <f>C13-C14</f>
        <v>200</v>
      </c>
      <c r="D15" s="12">
        <f>D13-D14</f>
        <v>1600</v>
      </c>
    </row>
    <row r="16" spans="1:8">
      <c r="A16" s="14"/>
      <c r="B16" s="15"/>
      <c r="C16" s="15"/>
      <c r="D16" s="15"/>
    </row>
    <row r="17" spans="1:8">
      <c r="A17" s="9" t="s">
        <v>21</v>
      </c>
      <c r="B17" s="10"/>
      <c r="C17" s="10"/>
      <c r="D17" s="10"/>
    </row>
    <row r="18" spans="1:8">
      <c r="A18" s="9" t="s">
        <v>22</v>
      </c>
      <c r="B18" s="16">
        <f>(B13/2)*$B$30</f>
        <v>31000</v>
      </c>
      <c r="C18" s="16">
        <f t="shared" ref="C18:D18" si="0">(C13/2)*$B$30</f>
        <v>45500</v>
      </c>
      <c r="D18" s="16">
        <f t="shared" si="0"/>
        <v>26500</v>
      </c>
    </row>
    <row r="19" spans="1:8">
      <c r="A19" s="9" t="s">
        <v>23</v>
      </c>
      <c r="B19" s="12">
        <f>C25-B25</f>
        <v>28.333333333333343</v>
      </c>
      <c r="C19" s="10">
        <v>0</v>
      </c>
      <c r="D19" s="10">
        <v>0</v>
      </c>
    </row>
    <row r="20" spans="1:8">
      <c r="A20" s="9" t="s">
        <v>24</v>
      </c>
      <c r="B20" s="10">
        <v>0</v>
      </c>
      <c r="C20" s="12">
        <f>C11/B27</f>
        <v>14.583333333333336</v>
      </c>
      <c r="D20" s="10">
        <v>0</v>
      </c>
    </row>
    <row r="21" spans="1:8">
      <c r="A21" s="9" t="s">
        <v>25</v>
      </c>
      <c r="B21" s="12">
        <f>C25</f>
        <v>108.33333333333334</v>
      </c>
      <c r="C21" s="12">
        <f>B21</f>
        <v>108.33333333333334</v>
      </c>
      <c r="D21" s="12">
        <f>B21</f>
        <v>108.33333333333334</v>
      </c>
    </row>
    <row r="22" spans="1:8">
      <c r="A22" s="9" t="s">
        <v>26</v>
      </c>
      <c r="B22" s="10">
        <v>0</v>
      </c>
      <c r="C22" s="12">
        <f>C8-C14</f>
        <v>0</v>
      </c>
      <c r="D22" s="10">
        <v>0</v>
      </c>
    </row>
    <row r="23" spans="1:8">
      <c r="A23" s="9" t="s">
        <v>27</v>
      </c>
      <c r="B23" s="16">
        <f>B18+(B21*B32)+(B19*B31)</f>
        <v>80000.000000000015</v>
      </c>
      <c r="C23" s="16">
        <f>C18+(C20*B33)+(C21*B32)+(C22*B34)</f>
        <v>97583.333333333343</v>
      </c>
      <c r="D23" s="16">
        <f>D18+(D21*B32)</f>
        <v>69833.333333333343</v>
      </c>
      <c r="E23" s="17">
        <f>SUM(B23:D23)</f>
        <v>247416.66666666672</v>
      </c>
    </row>
    <row r="24" spans="1:8">
      <c r="B24" s="18"/>
      <c r="C24" s="19"/>
      <c r="D24" s="18"/>
      <c r="E24" s="19"/>
      <c r="F24" s="2" t="s">
        <v>28</v>
      </c>
      <c r="H24" s="20"/>
    </row>
    <row r="25" spans="1:8">
      <c r="A25" s="2" t="s">
        <v>29</v>
      </c>
      <c r="B25" s="18">
        <v>80</v>
      </c>
      <c r="C25" s="21">
        <f>C28/B27</f>
        <v>108.33333333333334</v>
      </c>
      <c r="D25" s="18"/>
      <c r="E25" s="19"/>
      <c r="H25" s="20"/>
    </row>
    <row r="26" spans="1:8">
      <c r="A26" s="2" t="s">
        <v>30</v>
      </c>
      <c r="B26" s="18">
        <v>8000</v>
      </c>
      <c r="C26" s="18"/>
      <c r="D26" s="18"/>
      <c r="E26" s="22"/>
      <c r="F26" s="18">
        <v>200</v>
      </c>
    </row>
    <row r="27" spans="1:8">
      <c r="A27" s="2" t="s">
        <v>31</v>
      </c>
      <c r="B27" s="18">
        <f>B26/B25</f>
        <v>100</v>
      </c>
      <c r="C27" s="18"/>
      <c r="D27" s="18"/>
      <c r="E27" s="18"/>
    </row>
    <row r="28" spans="1:8">
      <c r="A28" s="2" t="s">
        <v>32</v>
      </c>
      <c r="B28" s="22">
        <f>((B8+C8+D8+F26-B9)/3)</f>
        <v>10400</v>
      </c>
      <c r="C28" s="22">
        <f>B28/D33</f>
        <v>10833.333333333334</v>
      </c>
      <c r="D28" s="22"/>
    </row>
    <row r="29" spans="1:8">
      <c r="A29" s="2" t="s">
        <v>33</v>
      </c>
      <c r="B29" s="22"/>
      <c r="C29" s="23"/>
      <c r="D29" s="24"/>
      <c r="E29" s="18"/>
    </row>
    <row r="30" spans="1:8">
      <c r="A30" s="2" t="s">
        <v>34</v>
      </c>
      <c r="B30" s="25">
        <v>5</v>
      </c>
      <c r="C30" s="18"/>
      <c r="D30" s="18"/>
      <c r="E30" s="2" t="s">
        <v>35</v>
      </c>
      <c r="G30" s="26">
        <f>C28</f>
        <v>10833.333333333334</v>
      </c>
    </row>
    <row r="31" spans="1:8">
      <c r="A31" s="2" t="s">
        <v>36</v>
      </c>
      <c r="B31" s="25">
        <v>200</v>
      </c>
      <c r="C31" s="18"/>
      <c r="D31" s="18"/>
      <c r="E31" s="2" t="s">
        <v>37</v>
      </c>
      <c r="G31" s="26">
        <f>G30*0.5</f>
        <v>5416.666666666667</v>
      </c>
    </row>
    <row r="32" spans="1:8">
      <c r="A32" s="2" t="s">
        <v>38</v>
      </c>
      <c r="B32" s="25">
        <v>400</v>
      </c>
      <c r="C32" s="18"/>
      <c r="D32" s="18"/>
      <c r="E32" s="2" t="s">
        <v>39</v>
      </c>
      <c r="G32" s="26">
        <f>SUM(G30:G31)</f>
        <v>16250</v>
      </c>
    </row>
    <row r="33" spans="1:4">
      <c r="A33" s="2" t="s">
        <v>40</v>
      </c>
      <c r="B33" s="25">
        <v>600</v>
      </c>
      <c r="C33" s="18" t="s">
        <v>17</v>
      </c>
      <c r="D33" s="27">
        <v>0.96</v>
      </c>
    </row>
    <row r="34" spans="1:4">
      <c r="A34" s="2" t="s">
        <v>41</v>
      </c>
      <c r="B34" s="25">
        <v>3</v>
      </c>
      <c r="C34" s="18"/>
      <c r="D34" s="27"/>
    </row>
    <row r="35" spans="1:4">
      <c r="B35" s="18"/>
      <c r="C35" s="18"/>
      <c r="D35" s="27"/>
    </row>
    <row r="36" spans="1:4">
      <c r="B36" s="18"/>
      <c r="C36" s="18"/>
      <c r="D36" s="18"/>
    </row>
    <row r="37" spans="1:4">
      <c r="B37" s="18"/>
      <c r="C37" s="18"/>
      <c r="D37" s="18"/>
    </row>
    <row r="38" spans="1:4" ht="16">
      <c r="A38" s="1" t="s">
        <v>0</v>
      </c>
    </row>
    <row r="39" spans="1:4" ht="16">
      <c r="A39" s="3" t="s">
        <v>1</v>
      </c>
    </row>
    <row r="40" spans="1:4" ht="16">
      <c r="A40" s="3" t="s">
        <v>2</v>
      </c>
    </row>
    <row r="41" spans="1:4" ht="16" customHeight="1">
      <c r="A41" s="4" t="s">
        <v>42</v>
      </c>
    </row>
    <row r="43" spans="1:4">
      <c r="A43" s="5" t="s">
        <v>4</v>
      </c>
    </row>
    <row r="44" spans="1:4">
      <c r="A44" s="6" t="s">
        <v>6</v>
      </c>
      <c r="B44" s="7" t="s">
        <v>7</v>
      </c>
      <c r="C44" s="7" t="s">
        <v>8</v>
      </c>
      <c r="D44" s="7" t="s">
        <v>9</v>
      </c>
    </row>
    <row r="45" spans="1:4">
      <c r="A45" s="9" t="s">
        <v>11</v>
      </c>
      <c r="B45" s="10">
        <v>6000</v>
      </c>
      <c r="C45" s="10">
        <v>18000</v>
      </c>
      <c r="D45" s="10">
        <v>9000</v>
      </c>
    </row>
    <row r="46" spans="1:4">
      <c r="A46" s="9" t="s">
        <v>13</v>
      </c>
      <c r="B46" s="10">
        <v>2000</v>
      </c>
      <c r="C46" s="12">
        <f>B51</f>
        <v>200</v>
      </c>
      <c r="D46" s="12">
        <f>C51</f>
        <v>200</v>
      </c>
    </row>
    <row r="47" spans="1:4">
      <c r="A47" s="9" t="s">
        <v>15</v>
      </c>
      <c r="B47" s="12">
        <f>(B45-B46+$B$61)/$D$70</f>
        <v>4375</v>
      </c>
      <c r="C47" s="12">
        <f t="shared" ref="C47:D47" si="1">(C45-C46+$B$61)/$D$70</f>
        <v>18750</v>
      </c>
      <c r="D47" s="12">
        <f t="shared" si="1"/>
        <v>9375</v>
      </c>
    </row>
    <row r="48" spans="1:4">
      <c r="A48" s="9" t="s">
        <v>17</v>
      </c>
      <c r="B48" s="12">
        <f>B47*(1-$D$70)</f>
        <v>175.00000000000014</v>
      </c>
      <c r="C48" s="12">
        <f t="shared" ref="C48:D48" si="2">C47*(1-$D$70)</f>
        <v>750.00000000000068</v>
      </c>
      <c r="D48" s="12">
        <f t="shared" si="2"/>
        <v>375.00000000000034</v>
      </c>
    </row>
    <row r="49" spans="1:8">
      <c r="A49" s="9" t="s">
        <v>18</v>
      </c>
      <c r="B49" s="12">
        <f>B46+B47-B48</f>
        <v>6200</v>
      </c>
      <c r="C49" s="12">
        <f t="shared" ref="C49:D49" si="3">C46+C47-C48</f>
        <v>18200</v>
      </c>
      <c r="D49" s="12">
        <f t="shared" si="3"/>
        <v>9200</v>
      </c>
    </row>
    <row r="50" spans="1:8">
      <c r="A50" s="9" t="s">
        <v>19</v>
      </c>
      <c r="B50" s="10">
        <f>B45</f>
        <v>6000</v>
      </c>
      <c r="C50" s="10">
        <f t="shared" ref="C50:D50" si="4">C45</f>
        <v>18000</v>
      </c>
      <c r="D50" s="10">
        <f t="shared" si="4"/>
        <v>9000</v>
      </c>
    </row>
    <row r="51" spans="1:8">
      <c r="A51" s="9" t="s">
        <v>20</v>
      </c>
      <c r="B51" s="12">
        <f>B49-B50</f>
        <v>200</v>
      </c>
      <c r="C51" s="12">
        <f t="shared" ref="C51:D51" si="5">C49-C50</f>
        <v>200</v>
      </c>
      <c r="D51" s="12">
        <f t="shared" si="5"/>
        <v>200</v>
      </c>
    </row>
    <row r="52" spans="1:8">
      <c r="A52" s="14"/>
      <c r="B52" s="15"/>
      <c r="C52" s="15"/>
      <c r="D52" s="15"/>
    </row>
    <row r="53" spans="1:8">
      <c r="A53" s="9" t="s">
        <v>21</v>
      </c>
      <c r="B53" s="10"/>
      <c r="C53" s="10"/>
      <c r="D53" s="10"/>
    </row>
    <row r="54" spans="1:8">
      <c r="A54" s="9" t="s">
        <v>22</v>
      </c>
      <c r="B54" s="12">
        <f>B49/2</f>
        <v>3100</v>
      </c>
      <c r="C54" s="12">
        <f t="shared" ref="C54:D54" si="6">C49/2</f>
        <v>9100</v>
      </c>
      <c r="D54" s="12">
        <f t="shared" si="6"/>
        <v>4600</v>
      </c>
    </row>
    <row r="55" spans="1:8">
      <c r="A55" s="9" t="s">
        <v>23</v>
      </c>
      <c r="B55" s="12">
        <f>B62-B65</f>
        <v>36.25</v>
      </c>
      <c r="C55" s="12">
        <f>C57-B57</f>
        <v>143.75</v>
      </c>
      <c r="D55" s="12">
        <f>C57-D57</f>
        <v>93.75</v>
      </c>
    </row>
    <row r="56" spans="1:8">
      <c r="A56" s="9" t="s">
        <v>24</v>
      </c>
      <c r="B56" s="10" t="s">
        <v>43</v>
      </c>
      <c r="C56" s="12" t="s">
        <v>43</v>
      </c>
      <c r="D56" s="10"/>
    </row>
    <row r="57" spans="1:8">
      <c r="A57" s="9" t="s">
        <v>25</v>
      </c>
      <c r="B57" s="12">
        <f>B65</f>
        <v>43.75</v>
      </c>
      <c r="C57" s="12">
        <f>C65</f>
        <v>187.5</v>
      </c>
      <c r="D57" s="12">
        <f>D65</f>
        <v>93.75</v>
      </c>
    </row>
    <row r="58" spans="1:8">
      <c r="A58" s="9" t="s">
        <v>26</v>
      </c>
      <c r="B58" s="10" t="s">
        <v>43</v>
      </c>
      <c r="C58" s="12" t="s">
        <v>43</v>
      </c>
      <c r="D58" s="10" t="s">
        <v>43</v>
      </c>
    </row>
    <row r="59" spans="1:8">
      <c r="A59" s="9" t="s">
        <v>27</v>
      </c>
      <c r="B59" s="16">
        <f>(B54*$B$67)+(B55*$B$68)+(B57*$B$69)</f>
        <v>40250</v>
      </c>
      <c r="C59" s="16">
        <f t="shared" ref="C59:D59" si="7">(C54*$B$67)+(C55*$B$68)+(C57*$B$69)</f>
        <v>149250</v>
      </c>
      <c r="D59" s="16">
        <f t="shared" si="7"/>
        <v>79250</v>
      </c>
      <c r="E59" s="17">
        <f>SUM(B59:D59)</f>
        <v>268750</v>
      </c>
    </row>
    <row r="60" spans="1:8">
      <c r="A60" s="28"/>
      <c r="B60" s="25"/>
      <c r="C60" s="25"/>
      <c r="D60" s="25"/>
      <c r="E60" s="29"/>
    </row>
    <row r="61" spans="1:8">
      <c r="A61" s="28" t="s">
        <v>44</v>
      </c>
      <c r="B61" s="2">
        <v>200</v>
      </c>
      <c r="H61" s="20"/>
    </row>
    <row r="62" spans="1:8">
      <c r="A62" s="2" t="s">
        <v>45</v>
      </c>
      <c r="B62" s="2">
        <v>80</v>
      </c>
      <c r="C62" s="11">
        <f>B65</f>
        <v>43.75</v>
      </c>
      <c r="D62" s="11">
        <f>C65</f>
        <v>187.5</v>
      </c>
      <c r="H62" s="20"/>
    </row>
    <row r="63" spans="1:8">
      <c r="A63" s="2" t="s">
        <v>46</v>
      </c>
      <c r="B63" s="2">
        <v>8000</v>
      </c>
      <c r="C63" s="11">
        <f>B64</f>
        <v>4375</v>
      </c>
      <c r="D63" s="11">
        <f>C64</f>
        <v>18750</v>
      </c>
    </row>
    <row r="64" spans="1:8">
      <c r="A64" s="2" t="s">
        <v>47</v>
      </c>
      <c r="B64" s="11">
        <f>B47</f>
        <v>4375</v>
      </c>
      <c r="C64" s="11">
        <f>C47</f>
        <v>18750</v>
      </c>
      <c r="D64" s="11">
        <f>D47</f>
        <v>9375</v>
      </c>
    </row>
    <row r="65" spans="1:4">
      <c r="A65" s="2" t="s">
        <v>48</v>
      </c>
      <c r="B65" s="11">
        <f>B64/100</f>
        <v>43.75</v>
      </c>
      <c r="C65" s="11">
        <f>C64/100</f>
        <v>187.5</v>
      </c>
      <c r="D65" s="11">
        <f>D64/100</f>
        <v>93.75</v>
      </c>
    </row>
    <row r="66" spans="1:4">
      <c r="A66" s="2" t="s">
        <v>33</v>
      </c>
    </row>
    <row r="67" spans="1:4">
      <c r="A67" s="2" t="s">
        <v>34</v>
      </c>
      <c r="B67" s="25">
        <v>5</v>
      </c>
      <c r="C67" s="18"/>
      <c r="D67" s="18"/>
    </row>
    <row r="68" spans="1:4">
      <c r="A68" s="2" t="s">
        <v>36</v>
      </c>
      <c r="B68" s="25">
        <v>200</v>
      </c>
      <c r="C68" s="18"/>
      <c r="D68" s="18"/>
    </row>
    <row r="69" spans="1:4">
      <c r="A69" s="2" t="s">
        <v>38</v>
      </c>
      <c r="B69" s="25">
        <v>400</v>
      </c>
      <c r="C69" s="18"/>
      <c r="D69" s="18"/>
    </row>
    <row r="70" spans="1:4">
      <c r="A70" s="2" t="s">
        <v>40</v>
      </c>
      <c r="B70" s="25">
        <v>600</v>
      </c>
      <c r="C70" s="18" t="s">
        <v>17</v>
      </c>
      <c r="D70" s="27">
        <v>0.96</v>
      </c>
    </row>
    <row r="71" spans="1:4">
      <c r="A71" s="2" t="s">
        <v>41</v>
      </c>
      <c r="B71" s="25">
        <v>3</v>
      </c>
      <c r="C71" s="18"/>
      <c r="D71" s="27"/>
    </row>
  </sheetData>
  <pageMargins left="0.75" right="0.75" top="1" bottom="1" header="0.5" footer="0.5"/>
  <pageSetup paperSize="9" orientation="portrait" horizontalDpi="4294967292" verticalDpi="429496729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27850-6E04-C740-B760-B3679E0F8323}">
  <dimension ref="A1:S36"/>
  <sheetViews>
    <sheetView workbookViewId="0">
      <selection activeCell="G2" sqref="G2"/>
    </sheetView>
  </sheetViews>
  <sheetFormatPr baseColWidth="10" defaultRowHeight="16"/>
  <cols>
    <col min="1" max="1" width="34.33203125" customWidth="1"/>
    <col min="2" max="2" width="18.83203125" customWidth="1"/>
    <col min="3" max="3" width="18.5" customWidth="1"/>
    <col min="4" max="4" width="13.6640625" customWidth="1"/>
    <col min="5" max="5" width="7.6640625" customWidth="1"/>
    <col min="6" max="6" width="8.1640625" customWidth="1"/>
    <col min="7" max="7" width="9.6640625" customWidth="1"/>
    <col min="8" max="8" width="18" customWidth="1"/>
    <col min="13" max="13" width="13.6640625" customWidth="1"/>
    <col min="16" max="16" width="8.83203125" customWidth="1"/>
    <col min="17" max="17" width="13" customWidth="1"/>
    <col min="18" max="18" width="13.5" customWidth="1"/>
    <col min="19" max="19" width="12.5" bestFit="1" customWidth="1"/>
  </cols>
  <sheetData>
    <row r="1" spans="1:19" ht="51">
      <c r="A1" s="112" t="s">
        <v>305</v>
      </c>
      <c r="B1" s="113" t="s">
        <v>306</v>
      </c>
      <c r="C1" s="113" t="s">
        <v>307</v>
      </c>
      <c r="D1" s="113" t="s">
        <v>308</v>
      </c>
      <c r="E1" s="113" t="s">
        <v>309</v>
      </c>
      <c r="F1" s="113" t="s">
        <v>310</v>
      </c>
      <c r="G1" s="113" t="s">
        <v>311</v>
      </c>
      <c r="H1" s="113" t="s">
        <v>312</v>
      </c>
      <c r="I1" s="113" t="s">
        <v>284</v>
      </c>
      <c r="J1" s="113" t="s">
        <v>313</v>
      </c>
      <c r="K1" s="113" t="s">
        <v>314</v>
      </c>
      <c r="L1" s="113" t="s">
        <v>315</v>
      </c>
      <c r="M1" s="113" t="s">
        <v>316</v>
      </c>
      <c r="N1" s="113" t="s">
        <v>317</v>
      </c>
      <c r="O1" s="113" t="s">
        <v>318</v>
      </c>
      <c r="P1" s="114" t="s">
        <v>319</v>
      </c>
      <c r="Q1" s="113" t="s">
        <v>320</v>
      </c>
      <c r="R1" s="113" t="s">
        <v>321</v>
      </c>
      <c r="S1" s="115" t="s">
        <v>322</v>
      </c>
    </row>
    <row r="2" spans="1:19" ht="17">
      <c r="A2" s="116" t="s">
        <v>323</v>
      </c>
      <c r="B2" s="117">
        <v>12000</v>
      </c>
      <c r="C2" s="118">
        <v>250</v>
      </c>
      <c r="D2" s="118">
        <v>1</v>
      </c>
      <c r="E2" s="118">
        <v>0.98</v>
      </c>
      <c r="F2" s="119">
        <f t="shared" ref="F2:F11" si="0">E2*F3</f>
        <v>0.75463920000000007</v>
      </c>
      <c r="G2" s="119">
        <f>60/C2</f>
        <v>0.24</v>
      </c>
      <c r="H2" s="119">
        <f>G2*$B$15*$B$16*(1/F2)</f>
        <v>0.3180327764579417</v>
      </c>
      <c r="I2" s="119">
        <f>H2/$B$19</f>
        <v>1.369307787527249</v>
      </c>
      <c r="J2" s="120">
        <v>2</v>
      </c>
      <c r="K2" s="119">
        <f>H2/J2</f>
        <v>0.15901638822897085</v>
      </c>
      <c r="L2" s="120">
        <f>J2*D2</f>
        <v>2</v>
      </c>
      <c r="M2" s="120">
        <f>K2*53000</f>
        <v>8427.8685761354554</v>
      </c>
      <c r="N2" s="120">
        <f>$B$17</f>
        <v>11520</v>
      </c>
      <c r="O2" s="120">
        <f>N2-M2</f>
        <v>3092.1314238645446</v>
      </c>
      <c r="P2" s="121">
        <f>M2/N2</f>
        <v>0.73158581390064714</v>
      </c>
      <c r="Q2" s="120"/>
      <c r="R2" s="120">
        <f>L2*$B$21</f>
        <v>400</v>
      </c>
      <c r="S2" s="122">
        <f>B2*J2</f>
        <v>24000</v>
      </c>
    </row>
    <row r="3" spans="1:19" ht="17">
      <c r="A3" s="116" t="s">
        <v>324</v>
      </c>
      <c r="B3" s="117">
        <v>2000</v>
      </c>
      <c r="C3" s="118">
        <v>125</v>
      </c>
      <c r="D3" s="118" t="s">
        <v>127</v>
      </c>
      <c r="E3" s="118">
        <v>1</v>
      </c>
      <c r="F3" s="119">
        <f t="shared" si="0"/>
        <v>0.77004000000000006</v>
      </c>
      <c r="G3" s="119">
        <f t="shared" ref="G3:G13" si="1">60/C3</f>
        <v>0.48</v>
      </c>
      <c r="H3" s="119">
        <f t="shared" ref="H3:H13" si="2">G3*$B$15*$B$16*(1/F3)</f>
        <v>0.62334424185756576</v>
      </c>
      <c r="I3" s="119">
        <f t="shared" ref="I3:I13" si="3">H3/$B$19</f>
        <v>2.683843263553408</v>
      </c>
      <c r="J3" s="120">
        <v>3</v>
      </c>
      <c r="K3" s="119">
        <f t="shared" ref="K3:K13" si="4">H3/J3</f>
        <v>0.20778141395252192</v>
      </c>
      <c r="L3" s="120" t="s">
        <v>127</v>
      </c>
      <c r="M3" s="120">
        <f t="shared" ref="M3:M13" si="5">K3*53000</f>
        <v>11012.414939483662</v>
      </c>
      <c r="N3" s="120">
        <f t="shared" ref="N3:N13" si="6">$B$17</f>
        <v>11520</v>
      </c>
      <c r="O3" s="120">
        <f t="shared" ref="O3:O13" si="7">N3-M3</f>
        <v>507.58506051633776</v>
      </c>
      <c r="P3" s="121">
        <f t="shared" ref="P3:P13" si="8">M3/N3</f>
        <v>0.95593879683017902</v>
      </c>
      <c r="Q3" s="120"/>
      <c r="R3" s="120"/>
      <c r="S3" s="122">
        <f t="shared" ref="S3:S13" si="9">B3*J3</f>
        <v>6000</v>
      </c>
    </row>
    <row r="4" spans="1:19" ht="17">
      <c r="A4" s="116" t="s">
        <v>325</v>
      </c>
      <c r="B4" s="117">
        <v>25000</v>
      </c>
      <c r="C4" s="118">
        <v>250</v>
      </c>
      <c r="D4" s="118">
        <v>1</v>
      </c>
      <c r="E4" s="118">
        <v>0.93</v>
      </c>
      <c r="F4" s="119">
        <f t="shared" si="0"/>
        <v>0.77004000000000006</v>
      </c>
      <c r="G4" s="119">
        <f t="shared" si="1"/>
        <v>0.24</v>
      </c>
      <c r="H4" s="119">
        <f t="shared" si="2"/>
        <v>0.31167212092878288</v>
      </c>
      <c r="I4" s="119">
        <f t="shared" si="3"/>
        <v>1.341921631776704</v>
      </c>
      <c r="J4" s="120">
        <v>2</v>
      </c>
      <c r="K4" s="119">
        <f t="shared" si="4"/>
        <v>0.15583606046439144</v>
      </c>
      <c r="L4" s="120">
        <f t="shared" ref="L4:L13" si="10">J4*D4</f>
        <v>2</v>
      </c>
      <c r="M4" s="120">
        <f t="shared" si="5"/>
        <v>8259.3112046127462</v>
      </c>
      <c r="N4" s="120">
        <f t="shared" si="6"/>
        <v>11520</v>
      </c>
      <c r="O4" s="120">
        <f t="shared" si="7"/>
        <v>3260.6887953872538</v>
      </c>
      <c r="P4" s="121">
        <f t="shared" si="8"/>
        <v>0.71695409762263418</v>
      </c>
      <c r="Q4" s="120"/>
      <c r="R4" s="120">
        <f t="shared" ref="R4:R12" si="11">L4*$B$21</f>
        <v>400</v>
      </c>
      <c r="S4" s="122">
        <f t="shared" si="9"/>
        <v>50000</v>
      </c>
    </row>
    <row r="5" spans="1:19" ht="17">
      <c r="A5" s="116" t="s">
        <v>326</v>
      </c>
      <c r="B5" s="117">
        <v>15000</v>
      </c>
      <c r="C5" s="118">
        <v>250</v>
      </c>
      <c r="D5" s="118" t="s">
        <v>127</v>
      </c>
      <c r="E5" s="118">
        <v>1</v>
      </c>
      <c r="F5" s="119">
        <f t="shared" si="0"/>
        <v>0.82800000000000007</v>
      </c>
      <c r="G5" s="119">
        <f t="shared" si="1"/>
        <v>0.24</v>
      </c>
      <c r="H5" s="119">
        <f t="shared" si="2"/>
        <v>0.28985507246376807</v>
      </c>
      <c r="I5" s="119">
        <f t="shared" si="3"/>
        <v>1.2479871175523347</v>
      </c>
      <c r="J5" s="120">
        <v>2</v>
      </c>
      <c r="K5" s="119">
        <f t="shared" si="4"/>
        <v>0.14492753623188404</v>
      </c>
      <c r="L5" s="120" t="s">
        <v>127</v>
      </c>
      <c r="M5" s="120">
        <f t="shared" si="5"/>
        <v>7681.1594202898541</v>
      </c>
      <c r="N5" s="120">
        <f t="shared" si="6"/>
        <v>11520</v>
      </c>
      <c r="O5" s="120">
        <f t="shared" si="7"/>
        <v>3838.8405797101459</v>
      </c>
      <c r="P5" s="121">
        <f t="shared" si="8"/>
        <v>0.66676731078904983</v>
      </c>
      <c r="Q5" s="120"/>
      <c r="R5" s="120"/>
      <c r="S5" s="122">
        <f t="shared" si="9"/>
        <v>30000</v>
      </c>
    </row>
    <row r="6" spans="1:19" ht="17">
      <c r="A6" s="116" t="s">
        <v>327</v>
      </c>
      <c r="B6" s="117">
        <v>10000</v>
      </c>
      <c r="C6" s="118">
        <v>84</v>
      </c>
      <c r="D6" s="118" t="s">
        <v>127</v>
      </c>
      <c r="E6" s="118">
        <v>1</v>
      </c>
      <c r="F6" s="119">
        <f t="shared" si="0"/>
        <v>0.82800000000000007</v>
      </c>
      <c r="G6" s="119">
        <f t="shared" si="1"/>
        <v>0.7142857142857143</v>
      </c>
      <c r="H6" s="119">
        <f t="shared" si="2"/>
        <v>0.86266390614216693</v>
      </c>
      <c r="I6" s="119">
        <f t="shared" si="3"/>
        <v>3.7142473736676629</v>
      </c>
      <c r="J6" s="120">
        <v>4</v>
      </c>
      <c r="K6" s="119">
        <f t="shared" si="4"/>
        <v>0.21566597653554173</v>
      </c>
      <c r="L6" s="120" t="s">
        <v>127</v>
      </c>
      <c r="M6" s="120">
        <f t="shared" si="5"/>
        <v>11430.296756383712</v>
      </c>
      <c r="N6" s="120">
        <f t="shared" si="6"/>
        <v>11520</v>
      </c>
      <c r="O6" s="120">
        <f t="shared" si="7"/>
        <v>89.703243616288091</v>
      </c>
      <c r="P6" s="121">
        <f t="shared" si="8"/>
        <v>0.99221326010275279</v>
      </c>
      <c r="Q6" s="120"/>
      <c r="R6" s="120"/>
      <c r="S6" s="122">
        <f t="shared" si="9"/>
        <v>40000</v>
      </c>
    </row>
    <row r="7" spans="1:19" ht="17">
      <c r="A7" s="116" t="s">
        <v>328</v>
      </c>
      <c r="B7" s="117">
        <v>5300</v>
      </c>
      <c r="C7" s="118">
        <v>125</v>
      </c>
      <c r="D7" s="118" t="s">
        <v>127</v>
      </c>
      <c r="E7" s="118">
        <v>0.92</v>
      </c>
      <c r="F7" s="119">
        <f t="shared" si="0"/>
        <v>0.82800000000000007</v>
      </c>
      <c r="G7" s="119">
        <f t="shared" si="1"/>
        <v>0.48</v>
      </c>
      <c r="H7" s="119">
        <f t="shared" si="2"/>
        <v>0.57971014492753614</v>
      </c>
      <c r="I7" s="119">
        <f t="shared" si="3"/>
        <v>2.4959742351046694</v>
      </c>
      <c r="J7" s="120">
        <v>3</v>
      </c>
      <c r="K7" s="119">
        <f t="shared" si="4"/>
        <v>0.19323671497584538</v>
      </c>
      <c r="L7" s="120" t="s">
        <v>127</v>
      </c>
      <c r="M7" s="120">
        <f t="shared" si="5"/>
        <v>10241.545893719805</v>
      </c>
      <c r="N7" s="120">
        <f t="shared" si="6"/>
        <v>11520</v>
      </c>
      <c r="O7" s="120">
        <f t="shared" si="7"/>
        <v>1278.4541062801945</v>
      </c>
      <c r="P7" s="121">
        <f t="shared" si="8"/>
        <v>0.8890230810520664</v>
      </c>
      <c r="Q7" s="120"/>
      <c r="R7" s="120"/>
      <c r="S7" s="122">
        <f t="shared" si="9"/>
        <v>15900</v>
      </c>
    </row>
    <row r="8" spans="1:19" ht="17">
      <c r="A8" s="116" t="s">
        <v>329</v>
      </c>
      <c r="B8" s="117">
        <v>2000</v>
      </c>
      <c r="C8" s="118">
        <v>125</v>
      </c>
      <c r="D8" s="118" t="s">
        <v>127</v>
      </c>
      <c r="E8" s="118">
        <v>1</v>
      </c>
      <c r="F8" s="119">
        <f t="shared" si="0"/>
        <v>0.9</v>
      </c>
      <c r="G8" s="119">
        <f t="shared" si="1"/>
        <v>0.48</v>
      </c>
      <c r="H8" s="119">
        <f t="shared" si="2"/>
        <v>0.53333333333333333</v>
      </c>
      <c r="I8" s="119">
        <f t="shared" si="3"/>
        <v>2.2962962962962963</v>
      </c>
      <c r="J8" s="120">
        <v>3</v>
      </c>
      <c r="K8" s="119">
        <f t="shared" si="4"/>
        <v>0.17777777777777778</v>
      </c>
      <c r="L8" s="120" t="s">
        <v>127</v>
      </c>
      <c r="M8" s="120">
        <f t="shared" si="5"/>
        <v>9422.2222222222226</v>
      </c>
      <c r="N8" s="120">
        <f t="shared" si="6"/>
        <v>11520</v>
      </c>
      <c r="O8" s="120">
        <f t="shared" si="7"/>
        <v>2097.7777777777774</v>
      </c>
      <c r="P8" s="121">
        <f t="shared" si="8"/>
        <v>0.81790123456790131</v>
      </c>
      <c r="Q8" s="120"/>
      <c r="R8" s="120"/>
      <c r="S8" s="122">
        <f t="shared" si="9"/>
        <v>6000</v>
      </c>
    </row>
    <row r="9" spans="1:19" ht="17">
      <c r="A9" s="116" t="s">
        <v>330</v>
      </c>
      <c r="B9" s="117">
        <v>4500</v>
      </c>
      <c r="C9" s="118">
        <v>125</v>
      </c>
      <c r="D9" s="118" t="s">
        <v>127</v>
      </c>
      <c r="E9" s="118">
        <v>1</v>
      </c>
      <c r="F9" s="119">
        <f t="shared" si="0"/>
        <v>0.9</v>
      </c>
      <c r="G9" s="119">
        <f t="shared" si="1"/>
        <v>0.48</v>
      </c>
      <c r="H9" s="119">
        <f t="shared" si="2"/>
        <v>0.53333333333333333</v>
      </c>
      <c r="I9" s="119">
        <f t="shared" si="3"/>
        <v>2.2962962962962963</v>
      </c>
      <c r="J9" s="120">
        <v>3</v>
      </c>
      <c r="K9" s="119">
        <f t="shared" si="4"/>
        <v>0.17777777777777778</v>
      </c>
      <c r="L9" s="120" t="s">
        <v>127</v>
      </c>
      <c r="M9" s="120">
        <f t="shared" si="5"/>
        <v>9422.2222222222226</v>
      </c>
      <c r="N9" s="120">
        <f t="shared" si="6"/>
        <v>11520</v>
      </c>
      <c r="O9" s="120">
        <f t="shared" si="7"/>
        <v>2097.7777777777774</v>
      </c>
      <c r="P9" s="121">
        <f t="shared" si="8"/>
        <v>0.81790123456790131</v>
      </c>
      <c r="Q9" s="120"/>
      <c r="R9" s="120"/>
      <c r="S9" s="122">
        <f t="shared" si="9"/>
        <v>13500</v>
      </c>
    </row>
    <row r="10" spans="1:19" ht="17">
      <c r="A10" s="116" t="s">
        <v>331</v>
      </c>
      <c r="B10" s="117">
        <v>5000</v>
      </c>
      <c r="C10" s="118">
        <v>125</v>
      </c>
      <c r="D10" s="118" t="s">
        <v>127</v>
      </c>
      <c r="E10" s="118">
        <v>1</v>
      </c>
      <c r="F10" s="119">
        <f t="shared" si="0"/>
        <v>0.9</v>
      </c>
      <c r="G10" s="119">
        <f t="shared" si="1"/>
        <v>0.48</v>
      </c>
      <c r="H10" s="119">
        <f t="shared" si="2"/>
        <v>0.53333333333333333</v>
      </c>
      <c r="I10" s="119">
        <f t="shared" si="3"/>
        <v>2.2962962962962963</v>
      </c>
      <c r="J10" s="120">
        <v>3</v>
      </c>
      <c r="K10" s="119">
        <f t="shared" si="4"/>
        <v>0.17777777777777778</v>
      </c>
      <c r="L10" s="120" t="s">
        <v>127</v>
      </c>
      <c r="M10" s="120">
        <f t="shared" si="5"/>
        <v>9422.2222222222226</v>
      </c>
      <c r="N10" s="120">
        <f t="shared" si="6"/>
        <v>11520</v>
      </c>
      <c r="O10" s="120">
        <f t="shared" si="7"/>
        <v>2097.7777777777774</v>
      </c>
      <c r="P10" s="121">
        <f t="shared" si="8"/>
        <v>0.81790123456790131</v>
      </c>
      <c r="Q10" s="120"/>
      <c r="R10" s="120"/>
      <c r="S10" s="122">
        <f t="shared" si="9"/>
        <v>15000</v>
      </c>
    </row>
    <row r="11" spans="1:19" ht="17">
      <c r="A11" s="116" t="s">
        <v>332</v>
      </c>
      <c r="B11" s="117">
        <v>11000</v>
      </c>
      <c r="C11" s="118">
        <v>125</v>
      </c>
      <c r="D11" s="118">
        <v>2</v>
      </c>
      <c r="E11" s="118">
        <v>0.9</v>
      </c>
      <c r="F11" s="119">
        <f t="shared" si="0"/>
        <v>0.9</v>
      </c>
      <c r="G11" s="119">
        <f t="shared" si="1"/>
        <v>0.48</v>
      </c>
      <c r="H11" s="119">
        <f t="shared" si="2"/>
        <v>0.53333333333333333</v>
      </c>
      <c r="I11" s="119">
        <f t="shared" si="3"/>
        <v>2.2962962962962963</v>
      </c>
      <c r="J11" s="120">
        <v>3</v>
      </c>
      <c r="K11" s="119">
        <f t="shared" si="4"/>
        <v>0.17777777777777778</v>
      </c>
      <c r="L11" s="120">
        <f t="shared" si="10"/>
        <v>6</v>
      </c>
      <c r="M11" s="120">
        <f t="shared" si="5"/>
        <v>9422.2222222222226</v>
      </c>
      <c r="N11" s="120">
        <f t="shared" si="6"/>
        <v>11520</v>
      </c>
      <c r="O11" s="120">
        <f t="shared" si="7"/>
        <v>2097.7777777777774</v>
      </c>
      <c r="P11" s="121">
        <f t="shared" si="8"/>
        <v>0.81790123456790131</v>
      </c>
      <c r="Q11" s="120"/>
      <c r="R11" s="120">
        <f t="shared" si="11"/>
        <v>1200</v>
      </c>
      <c r="S11" s="122">
        <f t="shared" si="9"/>
        <v>33000</v>
      </c>
    </row>
    <row r="12" spans="1:19" ht="17">
      <c r="A12" s="116" t="s">
        <v>333</v>
      </c>
      <c r="B12" s="117">
        <v>2000</v>
      </c>
      <c r="C12" s="118">
        <v>84</v>
      </c>
      <c r="D12" s="118">
        <v>2</v>
      </c>
      <c r="E12" s="118">
        <v>1</v>
      </c>
      <c r="F12" s="119">
        <f>E12*F13</f>
        <v>1</v>
      </c>
      <c r="G12" s="119">
        <f t="shared" si="1"/>
        <v>0.7142857142857143</v>
      </c>
      <c r="H12" s="119">
        <f t="shared" si="2"/>
        <v>0.7142857142857143</v>
      </c>
      <c r="I12" s="119">
        <f t="shared" si="3"/>
        <v>3.0753968253968251</v>
      </c>
      <c r="J12" s="120">
        <v>3</v>
      </c>
      <c r="K12" s="119">
        <f t="shared" si="4"/>
        <v>0.23809523809523811</v>
      </c>
      <c r="L12" s="120">
        <f t="shared" si="10"/>
        <v>6</v>
      </c>
      <c r="M12" s="120">
        <f t="shared" si="5"/>
        <v>12619.04761904762</v>
      </c>
      <c r="N12" s="120">
        <f t="shared" si="6"/>
        <v>11520</v>
      </c>
      <c r="O12" s="123">
        <f t="shared" si="7"/>
        <v>-1099.0476190476202</v>
      </c>
      <c r="P12" s="124">
        <f t="shared" si="8"/>
        <v>1.0954034391534393</v>
      </c>
      <c r="Q12" s="117">
        <f>-1*(O12/60)*$B$20</f>
        <v>137.38095238095252</v>
      </c>
      <c r="R12" s="117">
        <f t="shared" si="11"/>
        <v>1200</v>
      </c>
      <c r="S12" s="122">
        <f t="shared" si="9"/>
        <v>6000</v>
      </c>
    </row>
    <row r="13" spans="1:19" ht="17">
      <c r="A13" s="125" t="s">
        <v>334</v>
      </c>
      <c r="B13" s="126">
        <v>6000</v>
      </c>
      <c r="C13" s="127">
        <v>65</v>
      </c>
      <c r="D13" s="127">
        <v>12</v>
      </c>
      <c r="E13" s="127">
        <v>1</v>
      </c>
      <c r="F13" s="127">
        <f>E13</f>
        <v>1</v>
      </c>
      <c r="G13" s="128">
        <f t="shared" si="1"/>
        <v>0.92307692307692313</v>
      </c>
      <c r="H13" s="128">
        <f t="shared" si="2"/>
        <v>0.92307692307692313</v>
      </c>
      <c r="I13" s="128">
        <f t="shared" si="3"/>
        <v>3.9743589743589745</v>
      </c>
      <c r="J13" s="129">
        <v>4</v>
      </c>
      <c r="K13" s="128">
        <f t="shared" si="4"/>
        <v>0.23076923076923078</v>
      </c>
      <c r="L13" s="129">
        <f t="shared" si="10"/>
        <v>48</v>
      </c>
      <c r="M13" s="129">
        <f t="shared" si="5"/>
        <v>12230.769230769232</v>
      </c>
      <c r="N13" s="129">
        <f t="shared" si="6"/>
        <v>11520</v>
      </c>
      <c r="O13" s="130">
        <f t="shared" si="7"/>
        <v>-710.76923076923231</v>
      </c>
      <c r="P13" s="131">
        <f t="shared" si="8"/>
        <v>1.0616987179487181</v>
      </c>
      <c r="Q13" s="126">
        <f>-1*(O13/60)*$B$20</f>
        <v>88.846153846154039</v>
      </c>
      <c r="R13" s="126">
        <f>L13*$B$21</f>
        <v>9600</v>
      </c>
      <c r="S13" s="132">
        <f t="shared" si="9"/>
        <v>24000</v>
      </c>
    </row>
    <row r="14" spans="1:19">
      <c r="Q14" s="93">
        <f>+Q13+Q12</f>
        <v>226.22710622710656</v>
      </c>
      <c r="R14" s="93">
        <f>SUM(R2:R13)</f>
        <v>12800</v>
      </c>
      <c r="S14" s="93">
        <f>SUM(S2:S13)</f>
        <v>263400</v>
      </c>
    </row>
    <row r="15" spans="1:19" ht="17">
      <c r="A15" s="133" t="s">
        <v>335</v>
      </c>
      <c r="B15" s="134">
        <v>1</v>
      </c>
    </row>
    <row r="16" spans="1:19" ht="17">
      <c r="A16" s="135" t="s">
        <v>336</v>
      </c>
      <c r="B16" s="136">
        <v>1</v>
      </c>
    </row>
    <row r="17" spans="1:4" ht="17">
      <c r="A17" s="137" t="s">
        <v>337</v>
      </c>
      <c r="B17" s="138">
        <v>11520</v>
      </c>
    </row>
    <row r="18" spans="1:4" ht="17">
      <c r="A18" s="133" t="s">
        <v>338</v>
      </c>
      <c r="B18" s="139">
        <f>AVERAGE(B36:D36)*4</f>
        <v>49600</v>
      </c>
    </row>
    <row r="19" spans="1:4" ht="17">
      <c r="A19" s="133" t="s">
        <v>274</v>
      </c>
      <c r="B19" s="140">
        <f>B17/B18</f>
        <v>0.23225806451612904</v>
      </c>
    </row>
    <row r="20" spans="1:4" ht="17">
      <c r="A20" s="133" t="s">
        <v>339</v>
      </c>
      <c r="B20" s="141">
        <v>7.5</v>
      </c>
    </row>
    <row r="21" spans="1:4" ht="17">
      <c r="A21" s="133" t="s">
        <v>340</v>
      </c>
      <c r="B21" s="141">
        <v>200</v>
      </c>
    </row>
    <row r="22" spans="1:4" ht="17">
      <c r="A22" s="133" t="s">
        <v>341</v>
      </c>
      <c r="B22" s="142">
        <v>0.1</v>
      </c>
    </row>
    <row r="24" spans="1:4" ht="17">
      <c r="A24" s="143" t="s">
        <v>342</v>
      </c>
    </row>
    <row r="25" spans="1:4">
      <c r="A25" s="143"/>
    </row>
    <row r="26" spans="1:4" ht="17">
      <c r="A26" s="143" t="s">
        <v>6</v>
      </c>
      <c r="B26">
        <v>1</v>
      </c>
      <c r="C26">
        <v>2</v>
      </c>
      <c r="D26">
        <v>3</v>
      </c>
    </row>
    <row r="27" spans="1:4" ht="17">
      <c r="A27" s="143" t="s">
        <v>11</v>
      </c>
      <c r="B27">
        <f>500*24</f>
        <v>12000</v>
      </c>
      <c r="C27">
        <f t="shared" ref="C27:D27" si="12">500*24</f>
        <v>12000</v>
      </c>
      <c r="D27">
        <f t="shared" si="12"/>
        <v>12000</v>
      </c>
    </row>
    <row r="28" spans="1:4" ht="17">
      <c r="A28" s="143" t="s">
        <v>13</v>
      </c>
      <c r="B28">
        <v>0</v>
      </c>
      <c r="C28" s="70">
        <f>B33</f>
        <v>1200</v>
      </c>
      <c r="D28" s="70">
        <f>C33</f>
        <v>1200</v>
      </c>
    </row>
    <row r="29" spans="1:4" ht="17">
      <c r="A29" s="143" t="s">
        <v>343</v>
      </c>
      <c r="B29" s="70">
        <f>((B27-B28)+(B27*$B$22))/$F$2</f>
        <v>17491.802705186794</v>
      </c>
      <c r="C29" s="70">
        <f t="shared" ref="C29:D29" si="13">((C27-C28)+(C27*$B$22))/$F$2</f>
        <v>15901.638822897086</v>
      </c>
      <c r="D29" s="70">
        <f t="shared" si="13"/>
        <v>15901.638822897086</v>
      </c>
    </row>
    <row r="30" spans="1:4" ht="17">
      <c r="A30" s="143" t="s">
        <v>251</v>
      </c>
      <c r="B30" s="70">
        <f>(1-$F$2)*B29</f>
        <v>4291.8027051867948</v>
      </c>
      <c r="C30" s="70">
        <f t="shared" ref="C30:D30" si="14">(1-$F$2)*C29</f>
        <v>3901.6388228970864</v>
      </c>
      <c r="D30" s="70">
        <f t="shared" si="14"/>
        <v>3901.6388228970864</v>
      </c>
    </row>
    <row r="31" spans="1:4" ht="17">
      <c r="A31" s="143" t="s">
        <v>18</v>
      </c>
      <c r="B31" s="70">
        <f>B28+B29-B30</f>
        <v>13200</v>
      </c>
      <c r="C31" s="70">
        <f t="shared" ref="C31:D31" si="15">C28+C29-C30</f>
        <v>13200</v>
      </c>
      <c r="D31" s="70">
        <f t="shared" si="15"/>
        <v>13200</v>
      </c>
    </row>
    <row r="32" spans="1:4" ht="17">
      <c r="A32" s="143" t="s">
        <v>19</v>
      </c>
      <c r="B32">
        <f>B27</f>
        <v>12000</v>
      </c>
      <c r="C32">
        <f t="shared" ref="C32:D32" si="16">C27</f>
        <v>12000</v>
      </c>
      <c r="D32">
        <f t="shared" si="16"/>
        <v>12000</v>
      </c>
    </row>
    <row r="33" spans="1:4" ht="17">
      <c r="A33" s="143" t="s">
        <v>20</v>
      </c>
      <c r="B33" s="70">
        <f>B31-B32</f>
        <v>1200</v>
      </c>
      <c r="C33" s="70">
        <f t="shared" ref="C33:D33" si="17">C31-C32</f>
        <v>1200</v>
      </c>
      <c r="D33" s="70">
        <f t="shared" si="17"/>
        <v>1200</v>
      </c>
    </row>
    <row r="35" spans="1:4" ht="30" customHeight="1">
      <c r="A35" s="431" t="s">
        <v>344</v>
      </c>
      <c r="B35" s="431"/>
      <c r="C35" s="431"/>
      <c r="D35" s="431"/>
    </row>
    <row r="36" spans="1:4">
      <c r="B36" s="70">
        <f>B29-B30</f>
        <v>13200</v>
      </c>
      <c r="C36" s="70">
        <f t="shared" ref="C36:D36" si="18">C29-C30</f>
        <v>12000</v>
      </c>
      <c r="D36" s="70">
        <f t="shared" si="18"/>
        <v>12000</v>
      </c>
    </row>
  </sheetData>
  <mergeCells count="1">
    <mergeCell ref="A35:D35"/>
  </mergeCells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F6351-F14E-8F49-963E-EDABF4F27653}">
  <dimension ref="A1:S37"/>
  <sheetViews>
    <sheetView workbookViewId="0">
      <selection activeCell="G36" sqref="G36"/>
    </sheetView>
  </sheetViews>
  <sheetFormatPr baseColWidth="10" defaultRowHeight="16"/>
  <cols>
    <col min="5" max="5" width="15.83203125" customWidth="1"/>
    <col min="9" max="9" width="21.83203125" customWidth="1"/>
    <col min="15" max="15" width="21.5" customWidth="1"/>
  </cols>
  <sheetData>
    <row r="1" spans="1:19">
      <c r="A1" t="s">
        <v>345</v>
      </c>
      <c r="C1" s="144">
        <v>0.1</v>
      </c>
    </row>
    <row r="2" spans="1:19">
      <c r="A2" s="32" t="s">
        <v>346</v>
      </c>
    </row>
    <row r="3" spans="1:19" ht="34">
      <c r="A3" s="145" t="s">
        <v>347</v>
      </c>
      <c r="B3" s="145" t="s">
        <v>348</v>
      </c>
      <c r="C3" s="145" t="s">
        <v>239</v>
      </c>
      <c r="D3" s="145" t="s">
        <v>310</v>
      </c>
      <c r="E3" s="145" t="s">
        <v>349</v>
      </c>
      <c r="I3" s="32" t="s">
        <v>350</v>
      </c>
      <c r="O3" s="32" t="s">
        <v>351</v>
      </c>
    </row>
    <row r="4" spans="1:19">
      <c r="A4" s="47">
        <v>1</v>
      </c>
      <c r="B4" s="47">
        <v>2</v>
      </c>
      <c r="C4" s="47">
        <v>0.99</v>
      </c>
      <c r="D4" s="146">
        <f t="shared" ref="D4:D5" si="0">D5*C4</f>
        <v>0.97029899999999991</v>
      </c>
      <c r="E4" s="89">
        <f>B4/D4</f>
        <v>2.0612203042567292</v>
      </c>
    </row>
    <row r="5" spans="1:19">
      <c r="A5" s="47">
        <v>2</v>
      </c>
      <c r="B5" s="47">
        <v>3</v>
      </c>
      <c r="C5" s="47">
        <v>0.99</v>
      </c>
      <c r="D5" s="146">
        <f t="shared" si="0"/>
        <v>0.98009999999999997</v>
      </c>
      <c r="E5" s="89">
        <f t="shared" ref="E5:E7" si="1">B5/D5</f>
        <v>3.0609121518212428</v>
      </c>
      <c r="I5" s="34" t="s">
        <v>6</v>
      </c>
      <c r="J5" s="35" t="s">
        <v>7</v>
      </c>
      <c r="K5" s="35" t="s">
        <v>8</v>
      </c>
      <c r="L5" s="35" t="s">
        <v>9</v>
      </c>
      <c r="O5" s="34" t="s">
        <v>6</v>
      </c>
      <c r="P5" s="35" t="s">
        <v>7</v>
      </c>
      <c r="Q5" s="35" t="s">
        <v>8</v>
      </c>
      <c r="R5" s="35" t="s">
        <v>9</v>
      </c>
    </row>
    <row r="6" spans="1:19">
      <c r="A6" s="47">
        <v>3</v>
      </c>
      <c r="B6" s="47">
        <v>4</v>
      </c>
      <c r="C6" s="47">
        <v>0.99</v>
      </c>
      <c r="D6" s="146">
        <f>D7*C6</f>
        <v>0.99</v>
      </c>
      <c r="E6" s="89">
        <f t="shared" si="1"/>
        <v>4.0404040404040407</v>
      </c>
      <c r="I6" s="36" t="s">
        <v>11</v>
      </c>
      <c r="J6" s="37">
        <v>20000</v>
      </c>
      <c r="K6" s="37">
        <v>15000</v>
      </c>
      <c r="L6" s="37">
        <v>10000</v>
      </c>
      <c r="O6" s="36" t="s">
        <v>11</v>
      </c>
      <c r="P6" s="37">
        <v>10000</v>
      </c>
      <c r="Q6" s="37">
        <v>12000</v>
      </c>
      <c r="R6" s="37">
        <v>11000</v>
      </c>
    </row>
    <row r="7" spans="1:19">
      <c r="A7" s="47">
        <v>4</v>
      </c>
      <c r="B7" s="47">
        <v>2</v>
      </c>
      <c r="C7" s="47">
        <v>1</v>
      </c>
      <c r="D7" s="146">
        <f>C7</f>
        <v>1</v>
      </c>
      <c r="E7" s="89">
        <f t="shared" si="1"/>
        <v>2</v>
      </c>
      <c r="I7" s="36" t="s">
        <v>13</v>
      </c>
      <c r="J7" s="37">
        <v>0</v>
      </c>
      <c r="K7" s="38">
        <f>J12</f>
        <v>2000</v>
      </c>
      <c r="L7" s="38">
        <f>K12</f>
        <v>1500.0000000000036</v>
      </c>
      <c r="O7" s="36" t="s">
        <v>13</v>
      </c>
      <c r="P7" s="37">
        <v>0</v>
      </c>
      <c r="Q7" s="38">
        <f>P12</f>
        <v>1000</v>
      </c>
      <c r="R7" s="38">
        <f>Q12</f>
        <v>1200</v>
      </c>
    </row>
    <row r="8" spans="1:19">
      <c r="A8" s="47"/>
      <c r="B8" s="47"/>
      <c r="C8" s="47"/>
      <c r="D8" s="47"/>
      <c r="E8" s="47"/>
      <c r="I8" s="36" t="s">
        <v>15</v>
      </c>
      <c r="J8" s="38">
        <f>(J6-J7+(J6*$C$1))/$D$4</f>
        <v>22673.423346824024</v>
      </c>
      <c r="K8" s="38">
        <f t="shared" ref="K8:L8" si="2">(K6-K7+(K6*$C$1))/$D$4</f>
        <v>14943.847205861288</v>
      </c>
      <c r="L8" s="38">
        <f t="shared" si="2"/>
        <v>9790.796445219461</v>
      </c>
      <c r="M8" s="70">
        <f>AVERAGE(J8:L8)</f>
        <v>15802.688999301588</v>
      </c>
      <c r="O8" s="36" t="s">
        <v>15</v>
      </c>
      <c r="P8" s="38">
        <f>(P6-P7+(P6*$C$1))/$D$4</f>
        <v>11336.711673412012</v>
      </c>
      <c r="Q8" s="38">
        <f t="shared" ref="Q8:R8" si="3">(Q6-Q7+(Q6*$C$1))/$D$4</f>
        <v>12573.443855966048</v>
      </c>
      <c r="R8" s="38">
        <f t="shared" si="3"/>
        <v>11233.650658199174</v>
      </c>
      <c r="S8" s="70">
        <f>AVERAGE(P8:R8)</f>
        <v>11714.602062525746</v>
      </c>
    </row>
    <row r="9" spans="1:19">
      <c r="A9" s="32" t="s">
        <v>352</v>
      </c>
      <c r="B9" s="47"/>
      <c r="C9" s="47"/>
      <c r="D9" s="47"/>
      <c r="E9" s="47"/>
      <c r="I9" s="36" t="s">
        <v>17</v>
      </c>
      <c r="J9" s="38">
        <f>J8*(1-$D$4)</f>
        <v>673.42334682402236</v>
      </c>
      <c r="K9" s="38">
        <f t="shared" ref="K9:L9" si="4">K8*(1-$D$4)</f>
        <v>443.84720586128742</v>
      </c>
      <c r="L9" s="38">
        <f t="shared" si="4"/>
        <v>290.79644521946409</v>
      </c>
      <c r="M9" s="70">
        <f>M8*(1-$D$4)</f>
        <v>469.35566596825788</v>
      </c>
      <c r="O9" s="36" t="s">
        <v>17</v>
      </c>
      <c r="P9" s="38">
        <f>P8*(1-$D$4)</f>
        <v>336.71167341201118</v>
      </c>
      <c r="Q9" s="38">
        <f t="shared" ref="Q9:R9" si="5">Q8*(1-$D$4)</f>
        <v>373.44385596604872</v>
      </c>
      <c r="R9" s="38">
        <f t="shared" si="5"/>
        <v>333.65065819917464</v>
      </c>
      <c r="S9" s="70">
        <f>S8*(1-$D$4)</f>
        <v>347.9353958590782</v>
      </c>
    </row>
    <row r="10" spans="1:19">
      <c r="A10" s="47" t="s">
        <v>353</v>
      </c>
      <c r="B10" s="47" t="s">
        <v>238</v>
      </c>
      <c r="C10" s="47" t="s">
        <v>284</v>
      </c>
      <c r="D10" s="47" t="s">
        <v>354</v>
      </c>
      <c r="E10" s="47" t="s">
        <v>355</v>
      </c>
      <c r="F10" s="47" t="s">
        <v>356</v>
      </c>
      <c r="G10" s="147" t="s">
        <v>274</v>
      </c>
      <c r="I10" s="36" t="s">
        <v>18</v>
      </c>
      <c r="J10" s="38">
        <f>J7+J8-J9</f>
        <v>22000</v>
      </c>
      <c r="K10" s="38">
        <f>K7+K8-K9</f>
        <v>16500.000000000004</v>
      </c>
      <c r="L10" s="38">
        <f>L7+L8-L9</f>
        <v>11000</v>
      </c>
      <c r="M10" s="70">
        <f>M8-M9</f>
        <v>15333.33333333333</v>
      </c>
      <c r="O10" s="36" t="s">
        <v>18</v>
      </c>
      <c r="P10" s="38">
        <f>P7+P8-P9</f>
        <v>11000</v>
      </c>
      <c r="Q10" s="38">
        <f>Q7+Q8-Q9</f>
        <v>13200</v>
      </c>
      <c r="R10" s="38">
        <f>R7+R8-R9</f>
        <v>12100</v>
      </c>
      <c r="S10" s="70">
        <f>S8-S9</f>
        <v>11366.666666666668</v>
      </c>
    </row>
    <row r="11" spans="1:19">
      <c r="A11" s="47">
        <v>1</v>
      </c>
      <c r="B11" s="89">
        <f>E4</f>
        <v>2.0612203042567292</v>
      </c>
      <c r="C11" s="89">
        <f>B11/$G$11</f>
        <v>3.6689721415769778</v>
      </c>
      <c r="D11" s="47">
        <v>4</v>
      </c>
      <c r="E11" s="89">
        <f>B11/D11</f>
        <v>0.5153050760641823</v>
      </c>
      <c r="F11" s="47">
        <f>D11*1</f>
        <v>4</v>
      </c>
      <c r="G11" s="89">
        <f>15000/(M10+S10)</f>
        <v>0.5617977528089888</v>
      </c>
      <c r="I11" s="36" t="s">
        <v>19</v>
      </c>
      <c r="J11" s="37">
        <f>J6</f>
        <v>20000</v>
      </c>
      <c r="K11" s="37">
        <f>K6</f>
        <v>15000</v>
      </c>
      <c r="L11" s="37">
        <f>L6</f>
        <v>10000</v>
      </c>
      <c r="O11" s="36" t="s">
        <v>19</v>
      </c>
      <c r="P11" s="37">
        <f>P6</f>
        <v>10000</v>
      </c>
      <c r="Q11" s="37">
        <f>Q6</f>
        <v>12000</v>
      </c>
      <c r="R11" s="37">
        <f>R6</f>
        <v>11000</v>
      </c>
    </row>
    <row r="12" spans="1:19">
      <c r="A12" s="47">
        <v>2</v>
      </c>
      <c r="B12" s="89">
        <f t="shared" ref="B12:B14" si="6">E5</f>
        <v>3.0609121518212428</v>
      </c>
      <c r="C12" s="89">
        <f t="shared" ref="C12:C14" si="7">B12/$G$11</f>
        <v>5.4484236302418116</v>
      </c>
      <c r="D12" s="47">
        <v>6</v>
      </c>
      <c r="E12" s="89">
        <f t="shared" ref="E12:E14" si="8">B12/D12</f>
        <v>0.51015202530354042</v>
      </c>
      <c r="F12" s="47">
        <f t="shared" ref="F12:F13" si="9">D12*1</f>
        <v>6</v>
      </c>
      <c r="G12" s="147" t="s">
        <v>357</v>
      </c>
      <c r="I12" s="36" t="s">
        <v>20</v>
      </c>
      <c r="J12" s="38">
        <f>J10-J11</f>
        <v>2000</v>
      </c>
      <c r="K12" s="38">
        <f>K10-K11</f>
        <v>1500.0000000000036</v>
      </c>
      <c r="L12" s="38">
        <f>L10-L11</f>
        <v>1000</v>
      </c>
      <c r="O12" s="36" t="s">
        <v>20</v>
      </c>
      <c r="P12" s="38">
        <f>P10-P11</f>
        <v>1000</v>
      </c>
      <c r="Q12" s="38">
        <f>Q10-Q11</f>
        <v>1200</v>
      </c>
      <c r="R12" s="38">
        <f>R10-R11</f>
        <v>1100</v>
      </c>
    </row>
    <row r="13" spans="1:19">
      <c r="A13" s="47">
        <v>3</v>
      </c>
      <c r="B13" s="89">
        <f t="shared" si="6"/>
        <v>4.0404040404040407</v>
      </c>
      <c r="C13" s="89">
        <f t="shared" si="7"/>
        <v>7.191919191919192</v>
      </c>
      <c r="D13" s="47">
        <v>8</v>
      </c>
      <c r="E13" s="89">
        <f t="shared" si="8"/>
        <v>0.50505050505050508</v>
      </c>
      <c r="F13" s="47">
        <f t="shared" si="9"/>
        <v>8</v>
      </c>
      <c r="G13" s="90">
        <f>(E11+E12+E13+E14)/(E11*4)</f>
        <v>0.98509974999999994</v>
      </c>
    </row>
    <row r="14" spans="1:19">
      <c r="A14" s="47">
        <v>4</v>
      </c>
      <c r="B14" s="89">
        <f t="shared" si="6"/>
        <v>2</v>
      </c>
      <c r="C14" s="89">
        <f t="shared" si="7"/>
        <v>3.5599999999999996</v>
      </c>
      <c r="D14" s="47">
        <v>4</v>
      </c>
      <c r="E14" s="89">
        <f t="shared" si="8"/>
        <v>0.5</v>
      </c>
      <c r="F14" s="47">
        <f>D14*2</f>
        <v>8</v>
      </c>
    </row>
    <row r="15" spans="1:19">
      <c r="A15" s="47"/>
      <c r="B15" s="47"/>
      <c r="C15" s="47"/>
      <c r="D15" s="47"/>
      <c r="E15" s="47"/>
      <c r="I15" s="71" t="s">
        <v>358</v>
      </c>
      <c r="J15" s="146">
        <f>1-0.03</f>
        <v>0.97</v>
      </c>
      <c r="O15" s="71" t="s">
        <v>358</v>
      </c>
      <c r="P15" s="146">
        <f>1-0.02</f>
        <v>0.98</v>
      </c>
    </row>
    <row r="16" spans="1:19">
      <c r="A16" s="32" t="s">
        <v>359</v>
      </c>
      <c r="B16" s="47"/>
      <c r="C16" s="47"/>
      <c r="D16" s="47"/>
      <c r="E16" s="47"/>
      <c r="I16" s="71" t="s">
        <v>360</v>
      </c>
      <c r="J16" s="146">
        <f>1-0.1</f>
        <v>0.9</v>
      </c>
      <c r="O16" s="71" t="s">
        <v>360</v>
      </c>
      <c r="P16" s="146">
        <f>1-0.01</f>
        <v>0.99</v>
      </c>
    </row>
    <row r="17" spans="1:19" ht="17" thickBot="1"/>
    <row r="18" spans="1:19">
      <c r="A18" s="148"/>
      <c r="B18" s="149" t="s">
        <v>7</v>
      </c>
      <c r="C18" s="149" t="s">
        <v>8</v>
      </c>
      <c r="D18" s="150" t="s">
        <v>9</v>
      </c>
      <c r="E18" s="432" t="s">
        <v>361</v>
      </c>
      <c r="I18" s="151" t="s">
        <v>362</v>
      </c>
      <c r="O18" s="151" t="s">
        <v>363</v>
      </c>
    </row>
    <row r="19" spans="1:19">
      <c r="A19" s="152" t="s">
        <v>270</v>
      </c>
      <c r="B19" s="48">
        <f>(J8-J9)+(P8-P9)</f>
        <v>33000</v>
      </c>
      <c r="C19" s="48">
        <f t="shared" ref="C19:D19" si="10">(K8-K9)+(Q8-Q9)</f>
        <v>26700</v>
      </c>
      <c r="D19" s="153">
        <f t="shared" si="10"/>
        <v>20399.999999999996</v>
      </c>
      <c r="E19" s="433"/>
      <c r="I19" s="36"/>
      <c r="J19" s="36">
        <v>0</v>
      </c>
      <c r="K19" s="36">
        <v>1</v>
      </c>
      <c r="L19" s="36">
        <v>2</v>
      </c>
      <c r="M19" s="36">
        <v>3</v>
      </c>
      <c r="O19" s="36"/>
      <c r="P19" s="36">
        <v>0</v>
      </c>
      <c r="Q19" s="36">
        <v>1</v>
      </c>
      <c r="R19" s="36">
        <v>2</v>
      </c>
      <c r="S19" s="36">
        <v>3</v>
      </c>
    </row>
    <row r="20" spans="1:19" ht="17" thickBot="1">
      <c r="A20" s="154" t="s">
        <v>353</v>
      </c>
      <c r="B20" s="155" t="s">
        <v>364</v>
      </c>
      <c r="C20" s="155" t="s">
        <v>364</v>
      </c>
      <c r="D20" s="156" t="s">
        <v>364</v>
      </c>
      <c r="E20" s="434"/>
      <c r="I20" s="36" t="s">
        <v>220</v>
      </c>
      <c r="J20" s="36"/>
      <c r="K20" s="157">
        <v>0</v>
      </c>
      <c r="L20" s="157">
        <f>K25</f>
        <v>6802.0270040472096</v>
      </c>
      <c r="M20" s="157">
        <f>L25</f>
        <v>5503.4582123654691</v>
      </c>
      <c r="N20" s="70"/>
      <c r="O20" s="157" t="s">
        <v>220</v>
      </c>
      <c r="P20" s="36"/>
      <c r="Q20" s="157">
        <v>0</v>
      </c>
      <c r="R20" s="157">
        <f>Q25</f>
        <v>68.020270040472155</v>
      </c>
      <c r="S20" s="157">
        <f>R25</f>
        <v>55.034582123654673</v>
      </c>
    </row>
    <row r="21" spans="1:19">
      <c r="A21" s="152">
        <v>1</v>
      </c>
      <c r="B21" s="89">
        <f>$B$19*E11</f>
        <v>17005.067510118017</v>
      </c>
      <c r="C21" s="89">
        <f>$C$19*E11</f>
        <v>13758.645530913667</v>
      </c>
      <c r="D21" s="158">
        <f>$D$19*E11</f>
        <v>10512.223551709318</v>
      </c>
      <c r="E21" s="159"/>
      <c r="I21" s="36" t="s">
        <v>200</v>
      </c>
      <c r="J21" s="36"/>
      <c r="K21" s="157">
        <f>J26*$J$15</f>
        <v>83135.885605021424</v>
      </c>
      <c r="L21" s="157">
        <f t="shared" ref="L21:M21" si="11">K26*$J$15</f>
        <v>60462.462258197396</v>
      </c>
      <c r="M21" s="157">
        <f t="shared" si="11"/>
        <v>45889.634707102305</v>
      </c>
      <c r="N21" s="70"/>
      <c r="O21" s="157" t="s">
        <v>200</v>
      </c>
      <c r="P21" s="36"/>
      <c r="Q21" s="157">
        <f>P26*$P$15</f>
        <v>755.78077822746752</v>
      </c>
      <c r="R21" s="157">
        <f t="shared" ref="R21:S21" si="12">Q26*$P$15</f>
        <v>543.47508688902417</v>
      </c>
      <c r="S21" s="157">
        <f t="shared" si="12"/>
        <v>412.17535350787057</v>
      </c>
    </row>
    <row r="22" spans="1:19">
      <c r="A22" s="152" t="s">
        <v>365</v>
      </c>
      <c r="B22" s="89">
        <v>15000</v>
      </c>
      <c r="C22" s="89">
        <v>15000</v>
      </c>
      <c r="D22" s="158">
        <v>15000</v>
      </c>
      <c r="E22" s="160"/>
      <c r="I22" s="36" t="s">
        <v>137</v>
      </c>
      <c r="J22" s="36"/>
      <c r="K22" s="157">
        <f>(K20+K21)*(1-$J$16)</f>
        <v>8313.5885605021413</v>
      </c>
      <c r="L22" s="157">
        <f>(L20+L21)*(1-$J$16)</f>
        <v>6726.4489262244588</v>
      </c>
      <c r="M22" s="157">
        <f>(M20+M21)*(1-$J$16)</f>
        <v>5139.3092919467763</v>
      </c>
      <c r="N22" s="70"/>
      <c r="O22" s="157" t="s">
        <v>137</v>
      </c>
      <c r="P22" s="36"/>
      <c r="Q22" s="157">
        <f>(Q20+Q21)*(1-$P$16)</f>
        <v>7.5578077822746819</v>
      </c>
      <c r="R22" s="157">
        <f>(R20+R21)*(1-$P$16)</f>
        <v>6.1149535692949684</v>
      </c>
      <c r="S22" s="157">
        <f>(S20+S21)*(1-$P$16)</f>
        <v>4.6720993563152566</v>
      </c>
    </row>
    <row r="23" spans="1:19">
      <c r="A23" s="152" t="s">
        <v>366</v>
      </c>
      <c r="B23" s="89">
        <f>B21-B22</f>
        <v>2005.0675101180168</v>
      </c>
      <c r="C23" s="89">
        <v>0</v>
      </c>
      <c r="D23" s="158">
        <v>0</v>
      </c>
      <c r="E23" s="161">
        <f>SUM(B23:D23)</f>
        <v>2005.0675101180168</v>
      </c>
      <c r="I23" s="36" t="s">
        <v>201</v>
      </c>
      <c r="J23" s="36"/>
      <c r="K23" s="157">
        <f>K20+K21-K22</f>
        <v>74822.297044519277</v>
      </c>
      <c r="L23" s="157">
        <f>L20+L21-L22</f>
        <v>60538.040336020145</v>
      </c>
      <c r="M23" s="157">
        <f>M20+M21-M22</f>
        <v>46253.783627520999</v>
      </c>
      <c r="N23" s="70"/>
      <c r="O23" s="157" t="s">
        <v>201</v>
      </c>
      <c r="P23" s="36"/>
      <c r="Q23" s="157">
        <f>Q20+Q21-Q22</f>
        <v>748.2229704451928</v>
      </c>
      <c r="R23" s="157">
        <f>R20+R21-R22</f>
        <v>605.3804033602014</v>
      </c>
      <c r="S23" s="157">
        <f>S20+S21-S22</f>
        <v>462.53783627521</v>
      </c>
    </row>
    <row r="24" spans="1:19" ht="17" thickBot="1">
      <c r="A24" s="152" t="s">
        <v>367</v>
      </c>
      <c r="B24" s="89">
        <f>B21/B22</f>
        <v>1.1336711673412012</v>
      </c>
      <c r="C24" s="89">
        <f t="shared" ref="C24:D24" si="13">C21/C22</f>
        <v>0.91724303539424445</v>
      </c>
      <c r="D24" s="158">
        <f t="shared" si="13"/>
        <v>0.70081490344728781</v>
      </c>
      <c r="E24" s="162"/>
      <c r="I24" s="36" t="s">
        <v>225</v>
      </c>
      <c r="J24" s="36"/>
      <c r="K24" s="157">
        <f>J28</f>
        <v>68020.270040472067</v>
      </c>
      <c r="L24" s="157">
        <f t="shared" ref="L24:M24" si="14">K28</f>
        <v>55034.582123654676</v>
      </c>
      <c r="M24" s="157">
        <f t="shared" si="14"/>
        <v>42048.894206837271</v>
      </c>
      <c r="N24" s="70"/>
      <c r="O24" s="157" t="s">
        <v>225</v>
      </c>
      <c r="P24" s="36"/>
      <c r="Q24" s="157">
        <f>P28</f>
        <v>680.20270040472064</v>
      </c>
      <c r="R24" s="157">
        <f t="shared" ref="R24:S24" si="15">Q28</f>
        <v>550.34582123654673</v>
      </c>
      <c r="S24" s="157">
        <f t="shared" si="15"/>
        <v>420.48894206837269</v>
      </c>
    </row>
    <row r="25" spans="1:19">
      <c r="A25" s="148">
        <v>2</v>
      </c>
      <c r="B25" s="163">
        <f>$B$19*E12</f>
        <v>16835.016835016835</v>
      </c>
      <c r="C25" s="163">
        <f>$C$19*E12</f>
        <v>13621.059075604529</v>
      </c>
      <c r="D25" s="164">
        <f>$D$19*E12</f>
        <v>10407.101316192222</v>
      </c>
      <c r="E25" s="159"/>
      <c r="I25" s="36" t="s">
        <v>227</v>
      </c>
      <c r="J25" s="36"/>
      <c r="K25" s="157">
        <f>K23-K24</f>
        <v>6802.0270040472096</v>
      </c>
      <c r="L25" s="157">
        <f>L23-L24</f>
        <v>5503.4582123654691</v>
      </c>
      <c r="M25" s="157">
        <f>M23-M24</f>
        <v>4204.8894206837285</v>
      </c>
      <c r="N25" s="70"/>
      <c r="O25" s="157" t="s">
        <v>227</v>
      </c>
      <c r="P25" s="36"/>
      <c r="Q25" s="157">
        <f>Q23-Q24</f>
        <v>68.020270040472155</v>
      </c>
      <c r="R25" s="157">
        <f>R23-R24</f>
        <v>55.034582123654673</v>
      </c>
      <c r="S25" s="157">
        <f>S23-S24</f>
        <v>42.048894206837303</v>
      </c>
    </row>
    <row r="26" spans="1:19">
      <c r="A26" s="152" t="s">
        <v>365</v>
      </c>
      <c r="B26" s="89">
        <v>15000</v>
      </c>
      <c r="C26" s="89">
        <v>15000</v>
      </c>
      <c r="D26" s="158">
        <v>15000</v>
      </c>
      <c r="E26" s="160"/>
      <c r="I26" s="36" t="s">
        <v>228</v>
      </c>
      <c r="J26" s="157">
        <f>J29</f>
        <v>85707.098561877763</v>
      </c>
      <c r="K26" s="157">
        <f>K29</f>
        <v>62332.43531772928</v>
      </c>
      <c r="L26" s="157">
        <f>L29</f>
        <v>47308.901759899287</v>
      </c>
      <c r="M26" s="165" t="s">
        <v>43</v>
      </c>
      <c r="N26" s="70"/>
      <c r="O26" s="157" t="s">
        <v>228</v>
      </c>
      <c r="P26" s="157">
        <f>P29</f>
        <v>771.20487574231379</v>
      </c>
      <c r="Q26" s="157">
        <f>Q29</f>
        <v>554.56641519288178</v>
      </c>
      <c r="R26" s="157">
        <f>R29</f>
        <v>420.58709541619447</v>
      </c>
      <c r="S26" s="165" t="s">
        <v>43</v>
      </c>
    </row>
    <row r="27" spans="1:19">
      <c r="A27" s="152" t="s">
        <v>366</v>
      </c>
      <c r="B27" s="89">
        <f>B25-B26</f>
        <v>1835.0168350168351</v>
      </c>
      <c r="C27" s="89">
        <v>0</v>
      </c>
      <c r="D27" s="158">
        <v>0</v>
      </c>
      <c r="E27" s="161">
        <f>SUM(B27:D27)</f>
        <v>1835.0168350168351</v>
      </c>
    </row>
    <row r="28" spans="1:19" ht="17" thickBot="1">
      <c r="A28" s="154" t="s">
        <v>367</v>
      </c>
      <c r="B28" s="166">
        <f>B25/B26</f>
        <v>1.122334455667789</v>
      </c>
      <c r="C28" s="166">
        <f t="shared" ref="C28:D28" si="16">C25/C26</f>
        <v>0.90807060504030201</v>
      </c>
      <c r="D28" s="167">
        <f t="shared" si="16"/>
        <v>0.69380675441281481</v>
      </c>
      <c r="E28" s="168"/>
      <c r="I28" t="s">
        <v>368</v>
      </c>
      <c r="J28" s="70">
        <f>(2*J8)+(2*P8)</f>
        <v>68020.270040472067</v>
      </c>
      <c r="K28" s="70">
        <f>(2*K8)+(2*Q8)</f>
        <v>55034.582123654676</v>
      </c>
      <c r="L28" s="70">
        <f>(2*L8)+(2*R8)</f>
        <v>42048.894206837271</v>
      </c>
      <c r="O28" t="s">
        <v>368</v>
      </c>
      <c r="P28" s="70">
        <f>(J8/50)+(P8/50)</f>
        <v>680.20270040472064</v>
      </c>
      <c r="Q28" s="70">
        <f>(K8/50)+(Q8/50)</f>
        <v>550.34582123654673</v>
      </c>
      <c r="R28" s="70">
        <f>(L8/50)+(R8/50)</f>
        <v>420.48894206837269</v>
      </c>
    </row>
    <row r="29" spans="1:19">
      <c r="A29" s="148">
        <v>3</v>
      </c>
      <c r="B29" s="163">
        <f>$B$19*E13</f>
        <v>16666.666666666668</v>
      </c>
      <c r="C29" s="163">
        <f>$C$19*E13</f>
        <v>13484.848484848486</v>
      </c>
      <c r="D29" s="164">
        <f>$D$19*E13</f>
        <v>10303.030303030302</v>
      </c>
      <c r="E29" s="169"/>
      <c r="I29" t="s">
        <v>369</v>
      </c>
      <c r="J29" s="70">
        <f>((J28*(1+$C$1)-(K20*$J$16))/$J$16)/$J$15</f>
        <v>85707.098561877763</v>
      </c>
      <c r="K29" s="70">
        <f>((K28*(1+$C$1)-(L20*$J$16))/$J$16)/$J$15</f>
        <v>62332.43531772928</v>
      </c>
      <c r="L29" s="70">
        <f>((L28*(1+$C$1)-(M20*$J$16))/$J$16)/$J$15</f>
        <v>47308.901759899287</v>
      </c>
      <c r="O29" t="s">
        <v>369</v>
      </c>
      <c r="P29" s="70">
        <f>((P28*(1+$C$1)-(Q20*$P$16))/$P$16)/$P$15</f>
        <v>771.20487574231379</v>
      </c>
      <c r="Q29" s="70">
        <f>((Q28*(1+$C$1)-(R20*$P$16))/$P$16)/$P$15</f>
        <v>554.56641519288178</v>
      </c>
      <c r="R29" s="70">
        <f>((R28*(1+$C$1)-(S20*$P$16))/$P$16)/$P$15</f>
        <v>420.58709541619447</v>
      </c>
    </row>
    <row r="30" spans="1:19">
      <c r="A30" s="152" t="s">
        <v>365</v>
      </c>
      <c r="B30" s="89">
        <v>15000</v>
      </c>
      <c r="C30" s="89">
        <v>15000</v>
      </c>
      <c r="D30" s="158">
        <v>15000</v>
      </c>
      <c r="E30" s="170"/>
    </row>
    <row r="31" spans="1:19">
      <c r="A31" s="152" t="s">
        <v>366</v>
      </c>
      <c r="B31" s="89">
        <f>B29-B30</f>
        <v>1666.6666666666679</v>
      </c>
      <c r="C31" s="89">
        <v>0</v>
      </c>
      <c r="D31" s="158">
        <v>0</v>
      </c>
      <c r="E31" s="161">
        <f>SUM(B31:D31)</f>
        <v>1666.6666666666679</v>
      </c>
    </row>
    <row r="32" spans="1:19" ht="17" thickBot="1">
      <c r="A32" s="154" t="s">
        <v>367</v>
      </c>
      <c r="B32" s="166">
        <f>B29/B30</f>
        <v>1.1111111111111112</v>
      </c>
      <c r="C32" s="166">
        <f t="shared" ref="C32:D32" si="17">C29/C30</f>
        <v>0.89898989898989901</v>
      </c>
      <c r="D32" s="167">
        <f t="shared" si="17"/>
        <v>0.68686868686868685</v>
      </c>
      <c r="E32" s="168"/>
    </row>
    <row r="33" spans="1:9">
      <c r="A33" s="152">
        <v>4</v>
      </c>
      <c r="B33" s="89">
        <f>$B$19*E14</f>
        <v>16500</v>
      </c>
      <c r="C33" s="89">
        <f>$C$19*E14</f>
        <v>13350</v>
      </c>
      <c r="D33" s="158">
        <f>$D$19*E14</f>
        <v>10199.999999999998</v>
      </c>
      <c r="E33" s="169"/>
      <c r="I33" t="s">
        <v>370</v>
      </c>
    </row>
    <row r="34" spans="1:9">
      <c r="A34" s="152" t="s">
        <v>365</v>
      </c>
      <c r="B34" s="89">
        <v>15000</v>
      </c>
      <c r="C34" s="89">
        <v>15000</v>
      </c>
      <c r="D34" s="158">
        <v>15000</v>
      </c>
      <c r="E34" s="170"/>
      <c r="I34" t="s">
        <v>371</v>
      </c>
    </row>
    <row r="35" spans="1:9">
      <c r="A35" s="152" t="s">
        <v>366</v>
      </c>
      <c r="B35" s="89">
        <f>B33-B34</f>
        <v>1500</v>
      </c>
      <c r="C35" s="89">
        <v>0</v>
      </c>
      <c r="D35" s="158">
        <v>0</v>
      </c>
      <c r="E35" s="161">
        <f>SUM(B35:D35)</f>
        <v>1500</v>
      </c>
    </row>
    <row r="36" spans="1:9" ht="17" thickBot="1">
      <c r="A36" s="154" t="s">
        <v>367</v>
      </c>
      <c r="B36" s="166">
        <f>B33/B34</f>
        <v>1.1000000000000001</v>
      </c>
      <c r="C36" s="166">
        <f t="shared" ref="C36:D36" si="18">C33/C34</f>
        <v>0.89</v>
      </c>
      <c r="D36" s="167">
        <f t="shared" si="18"/>
        <v>0.67999999999999983</v>
      </c>
      <c r="E36" s="168"/>
    </row>
    <row r="37" spans="1:9" ht="17" thickBot="1">
      <c r="E37" s="171">
        <f>E23+E27+E31+E35</f>
        <v>7006.7510118015198</v>
      </c>
    </row>
  </sheetData>
  <mergeCells count="1">
    <mergeCell ref="E18:E20"/>
  </mergeCells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DC637-0224-4942-BA28-D50A8B6C4CCC}">
  <dimension ref="A1:R95"/>
  <sheetViews>
    <sheetView zoomScaleNormal="100" zoomScalePageLayoutView="150" workbookViewId="0">
      <selection activeCell="C86" sqref="C86"/>
    </sheetView>
  </sheetViews>
  <sheetFormatPr baseColWidth="10" defaultRowHeight="13"/>
  <cols>
    <col min="1" max="1" width="30.5" style="2" customWidth="1"/>
    <col min="2" max="3" width="13.33203125" style="2" customWidth="1"/>
    <col min="4" max="4" width="10.83203125" style="2"/>
    <col min="5" max="5" width="13.1640625" style="2" customWidth="1"/>
    <col min="6" max="6" width="12.6640625" style="2" customWidth="1"/>
    <col min="7" max="7" width="12.5" style="2" bestFit="1" customWidth="1"/>
    <col min="8" max="8" width="29" style="2" customWidth="1"/>
    <col min="9" max="9" width="14.1640625" style="2" customWidth="1"/>
    <col min="10" max="10" width="14" style="2" customWidth="1"/>
    <col min="11" max="11" width="12.83203125" style="2" bestFit="1" customWidth="1"/>
    <col min="12" max="12" width="10.83203125" style="2"/>
    <col min="13" max="13" width="15.33203125" style="2" customWidth="1"/>
    <col min="14" max="14" width="21.6640625" style="2" customWidth="1"/>
    <col min="15" max="15" width="15.33203125" style="2" customWidth="1"/>
    <col min="16" max="18" width="10.83203125" style="2"/>
    <col min="19" max="19" width="5.5" style="2" customWidth="1"/>
    <col min="20" max="21" width="6.33203125" style="2" customWidth="1"/>
    <col min="22" max="22" width="6.1640625" style="2" customWidth="1"/>
    <col min="23" max="16384" width="10.83203125" style="2"/>
  </cols>
  <sheetData>
    <row r="1" spans="1:18">
      <c r="B1" s="438" t="s">
        <v>300</v>
      </c>
      <c r="C1" s="438"/>
      <c r="D1" s="438"/>
      <c r="E1" s="438"/>
      <c r="H1" s="2" t="s">
        <v>372</v>
      </c>
      <c r="I1" s="2">
        <f>Q9*0.4</f>
        <v>1008</v>
      </c>
      <c r="K1" s="18" t="s">
        <v>373</v>
      </c>
      <c r="L1" s="18" t="s">
        <v>235</v>
      </c>
      <c r="M1" s="18" t="s">
        <v>236</v>
      </c>
    </row>
    <row r="2" spans="1:18">
      <c r="B2" s="10"/>
      <c r="C2" s="10" t="s">
        <v>155</v>
      </c>
      <c r="D2" s="10" t="s">
        <v>374</v>
      </c>
      <c r="E2" s="10" t="s">
        <v>154</v>
      </c>
      <c r="H2" s="172" t="s">
        <v>375</v>
      </c>
      <c r="I2" s="173">
        <v>2.5</v>
      </c>
      <c r="K2" s="18" t="s">
        <v>244</v>
      </c>
      <c r="L2" s="174">
        <v>650</v>
      </c>
      <c r="M2" s="18">
        <v>500</v>
      </c>
    </row>
    <row r="3" spans="1:18">
      <c r="B3" s="10" t="s">
        <v>244</v>
      </c>
      <c r="C3" s="10">
        <v>2</v>
      </c>
      <c r="D3" s="10" t="s">
        <v>127</v>
      </c>
      <c r="E3" s="10">
        <v>1</v>
      </c>
      <c r="H3" s="2" t="s">
        <v>376</v>
      </c>
      <c r="I3" s="173">
        <f>I2*1.5</f>
        <v>3.75</v>
      </c>
      <c r="K3" s="18" t="s">
        <v>377</v>
      </c>
      <c r="L3" s="174">
        <v>950</v>
      </c>
      <c r="M3" s="18">
        <v>800</v>
      </c>
    </row>
    <row r="4" spans="1:18">
      <c r="B4" s="10" t="s">
        <v>377</v>
      </c>
      <c r="C4" s="10">
        <v>2</v>
      </c>
      <c r="D4" s="10" t="s">
        <v>127</v>
      </c>
      <c r="E4" s="10">
        <v>1</v>
      </c>
      <c r="H4" s="2" t="s">
        <v>378</v>
      </c>
      <c r="I4" s="173">
        <v>0.12</v>
      </c>
    </row>
    <row r="5" spans="1:18">
      <c r="B5" s="10" t="s">
        <v>155</v>
      </c>
      <c r="C5" s="10" t="s">
        <v>127</v>
      </c>
      <c r="D5" s="10">
        <v>2</v>
      </c>
      <c r="E5" s="10">
        <v>3</v>
      </c>
      <c r="H5" s="172" t="s">
        <v>379</v>
      </c>
      <c r="I5" s="173">
        <f>(100000/10)/12</f>
        <v>833.33333333333337</v>
      </c>
    </row>
    <row r="6" spans="1:18">
      <c r="B6" s="10" t="s">
        <v>374</v>
      </c>
      <c r="C6" s="10" t="s">
        <v>127</v>
      </c>
      <c r="D6" s="10" t="s">
        <v>127</v>
      </c>
      <c r="E6" s="10">
        <v>4</v>
      </c>
      <c r="H6" s="2" t="s">
        <v>380</v>
      </c>
      <c r="I6" s="173">
        <v>100000</v>
      </c>
    </row>
    <row r="7" spans="1:18" ht="16" customHeight="1"/>
    <row r="8" spans="1:18" ht="29">
      <c r="A8" s="175" t="s">
        <v>381</v>
      </c>
      <c r="H8" s="175" t="s">
        <v>381</v>
      </c>
      <c r="O8" s="19" t="s">
        <v>382</v>
      </c>
      <c r="P8" s="19" t="s">
        <v>383</v>
      </c>
      <c r="Q8" s="19" t="s">
        <v>384</v>
      </c>
      <c r="R8" s="19" t="s">
        <v>385</v>
      </c>
    </row>
    <row r="9" spans="1:18">
      <c r="A9" s="5" t="s">
        <v>386</v>
      </c>
      <c r="H9" s="5" t="s">
        <v>387</v>
      </c>
      <c r="N9" s="2" t="s">
        <v>386</v>
      </c>
      <c r="O9" s="11">
        <f>(B13+C13+D13)-(B15+C15+D15)</f>
        <v>9300</v>
      </c>
      <c r="P9" s="2">
        <f>O9/3</f>
        <v>3100</v>
      </c>
      <c r="Q9" s="2">
        <v>2520</v>
      </c>
      <c r="R9" s="176">
        <f>Q9/(P9+P10)</f>
        <v>0.34626482847066364</v>
      </c>
    </row>
    <row r="10" spans="1:18">
      <c r="A10" s="6" t="s">
        <v>6</v>
      </c>
      <c r="B10" s="7">
        <v>1</v>
      </c>
      <c r="C10" s="7">
        <v>2</v>
      </c>
      <c r="D10" s="7">
        <v>3</v>
      </c>
      <c r="H10" s="6" t="s">
        <v>6</v>
      </c>
      <c r="I10" s="7">
        <v>1</v>
      </c>
      <c r="J10" s="7">
        <v>2</v>
      </c>
      <c r="K10" s="7">
        <v>3</v>
      </c>
      <c r="N10" s="2" t="s">
        <v>387</v>
      </c>
      <c r="O10" s="11">
        <f>(I13+J13+K13+J14)-(I15+J15+K15)</f>
        <v>12533</v>
      </c>
      <c r="P10" s="11">
        <f>O10/3</f>
        <v>4177.666666666667</v>
      </c>
      <c r="Q10" s="2">
        <f>Q9</f>
        <v>2520</v>
      </c>
      <c r="R10" s="176"/>
    </row>
    <row r="11" spans="1:18">
      <c r="A11" s="9" t="s">
        <v>11</v>
      </c>
      <c r="B11" s="10">
        <v>2500</v>
      </c>
      <c r="C11" s="10">
        <v>3000</v>
      </c>
      <c r="D11" s="10">
        <v>4000</v>
      </c>
      <c r="H11" s="9" t="s">
        <v>11</v>
      </c>
      <c r="I11" s="10">
        <v>3000</v>
      </c>
      <c r="J11" s="10">
        <v>5800</v>
      </c>
      <c r="K11" s="10">
        <v>3200</v>
      </c>
      <c r="N11" s="2" t="s">
        <v>162</v>
      </c>
      <c r="O11" s="11">
        <f>(B41+C41+D41)-(C37+D37+E37)</f>
        <v>46706.382978723406</v>
      </c>
      <c r="P11" s="11">
        <f>O11/3</f>
        <v>15568.794326241135</v>
      </c>
      <c r="Q11" s="2">
        <f>Q10</f>
        <v>2520</v>
      </c>
      <c r="R11" s="176">
        <f>Q11/P11</f>
        <v>0.16186224489795917</v>
      </c>
    </row>
    <row r="12" spans="1:18">
      <c r="A12" s="9" t="s">
        <v>13</v>
      </c>
      <c r="B12" s="10">
        <v>500</v>
      </c>
      <c r="C12" s="12">
        <f>B18</f>
        <v>1100</v>
      </c>
      <c r="D12" s="12">
        <f>C18</f>
        <v>1200</v>
      </c>
      <c r="H12" s="9" t="s">
        <v>13</v>
      </c>
      <c r="I12" s="10">
        <v>500</v>
      </c>
      <c r="J12" s="12">
        <f>I18</f>
        <v>1433.333333333333</v>
      </c>
      <c r="K12" s="12">
        <f>J18</f>
        <v>299.66666666666697</v>
      </c>
      <c r="O12" s="11"/>
      <c r="P12" s="11"/>
      <c r="R12" s="176"/>
    </row>
    <row r="13" spans="1:18">
      <c r="A13" s="9" t="s">
        <v>15</v>
      </c>
      <c r="B13" s="12">
        <f>C21</f>
        <v>3297.872340425532</v>
      </c>
      <c r="C13" s="12">
        <f>C21</f>
        <v>3297.872340425532</v>
      </c>
      <c r="D13" s="12">
        <f>C21</f>
        <v>3297.872340425532</v>
      </c>
      <c r="H13" s="9" t="s">
        <v>15</v>
      </c>
      <c r="I13" s="12">
        <f>J21</f>
        <v>4184.3971631205677</v>
      </c>
      <c r="J13" s="12">
        <f>J21</f>
        <v>4184.3971631205677</v>
      </c>
      <c r="K13" s="12">
        <f>J21</f>
        <v>4184.3971631205677</v>
      </c>
    </row>
    <row r="14" spans="1:18">
      <c r="A14" s="9" t="s">
        <v>164</v>
      </c>
      <c r="B14" s="10">
        <v>0</v>
      </c>
      <c r="C14" s="10">
        <v>0</v>
      </c>
      <c r="D14" s="10">
        <v>0</v>
      </c>
      <c r="H14" s="9" t="s">
        <v>164</v>
      </c>
      <c r="I14" s="10">
        <v>0</v>
      </c>
      <c r="J14" s="12">
        <f>K22</f>
        <v>779.78723404255322</v>
      </c>
      <c r="K14" s="10">
        <v>0</v>
      </c>
    </row>
    <row r="15" spans="1:18">
      <c r="A15" s="9" t="s">
        <v>17</v>
      </c>
      <c r="B15" s="12">
        <f>(B13+B14)*$B$27</f>
        <v>197.87234042553209</v>
      </c>
      <c r="C15" s="12">
        <f>(C13+C14)*$B$27</f>
        <v>197.87234042553209</v>
      </c>
      <c r="D15" s="12">
        <f>(D13+D14)*$B$27</f>
        <v>197.87234042553209</v>
      </c>
      <c r="H15" s="9" t="s">
        <v>17</v>
      </c>
      <c r="I15" s="12">
        <f>(I13+I14)*$C$27</f>
        <v>251.06382978723428</v>
      </c>
      <c r="J15" s="12">
        <f>(J13+J14)*$C$27</f>
        <v>297.85106382978751</v>
      </c>
      <c r="K15" s="12">
        <f>(K13+K14)*$C$27</f>
        <v>251.06382978723428</v>
      </c>
    </row>
    <row r="16" spans="1:18">
      <c r="A16" s="9" t="s">
        <v>18</v>
      </c>
      <c r="B16" s="12">
        <f>B12+B14+B13-B15</f>
        <v>3600</v>
      </c>
      <c r="C16" s="12">
        <f>C12+C14+C13-C15</f>
        <v>4200</v>
      </c>
      <c r="D16" s="12">
        <f>D12+D14+D13-D15</f>
        <v>4300</v>
      </c>
      <c r="H16" s="9" t="s">
        <v>18</v>
      </c>
      <c r="I16" s="12">
        <f>I12+I14+I13-I15</f>
        <v>4433.333333333333</v>
      </c>
      <c r="J16" s="12">
        <f>J12+J14+J13-J15</f>
        <v>6099.666666666667</v>
      </c>
      <c r="K16" s="12">
        <f>K12+K14+K13-K15</f>
        <v>4233</v>
      </c>
      <c r="N16" s="2" t="s">
        <v>252</v>
      </c>
      <c r="O16" s="26">
        <f>((B17+C17+D17)*L2)+((I17+J17+K17)*L3)</f>
        <v>17575000</v>
      </c>
    </row>
    <row r="17" spans="1:18">
      <c r="A17" s="9" t="s">
        <v>19</v>
      </c>
      <c r="B17" s="12">
        <f>B11</f>
        <v>2500</v>
      </c>
      <c r="C17" s="12">
        <f>C11</f>
        <v>3000</v>
      </c>
      <c r="D17" s="12">
        <f>D11</f>
        <v>4000</v>
      </c>
      <c r="H17" s="9" t="s">
        <v>19</v>
      </c>
      <c r="I17" s="12">
        <f>I11</f>
        <v>3000</v>
      </c>
      <c r="J17" s="12">
        <f>J11</f>
        <v>5800</v>
      </c>
      <c r="K17" s="12">
        <f>K11</f>
        <v>3200</v>
      </c>
      <c r="N17" s="2" t="s">
        <v>236</v>
      </c>
      <c r="O17" s="26">
        <f>((B13+C13+D13)*M2)+((I14+J14+K14)*M3)</f>
        <v>5570638.2978723403</v>
      </c>
    </row>
    <row r="18" spans="1:18">
      <c r="A18" s="9" t="s">
        <v>20</v>
      </c>
      <c r="B18" s="12">
        <f>B16-B17</f>
        <v>1100</v>
      </c>
      <c r="C18" s="12">
        <f>C16-C17</f>
        <v>1200</v>
      </c>
      <c r="D18" s="12">
        <f>D16-D17</f>
        <v>300</v>
      </c>
      <c r="H18" s="9" t="s">
        <v>20</v>
      </c>
      <c r="I18" s="12">
        <f>I16-I17</f>
        <v>1433.333333333333</v>
      </c>
      <c r="J18" s="12">
        <f>J16-J17</f>
        <v>299.66666666666697</v>
      </c>
      <c r="K18" s="12">
        <f>K16-K17</f>
        <v>1033</v>
      </c>
      <c r="N18" s="2" t="s">
        <v>256</v>
      </c>
      <c r="O18" s="177">
        <f>O16-O17</f>
        <v>12004361.70212766</v>
      </c>
    </row>
    <row r="19" spans="1:18">
      <c r="A19" s="14"/>
      <c r="B19" s="15"/>
      <c r="C19" s="15"/>
      <c r="D19" s="15"/>
      <c r="H19" s="14"/>
      <c r="I19" s="15"/>
      <c r="J19" s="15"/>
      <c r="K19" s="15"/>
      <c r="N19" s="2" t="s">
        <v>248</v>
      </c>
      <c r="O19" s="26">
        <f>I6*3</f>
        <v>300000</v>
      </c>
    </row>
    <row r="20" spans="1:18">
      <c r="B20" s="25"/>
      <c r="C20" s="25"/>
      <c r="D20" s="25"/>
      <c r="E20" s="29"/>
      <c r="F20" s="29"/>
      <c r="G20" s="29"/>
      <c r="N20" s="2" t="s">
        <v>388</v>
      </c>
      <c r="O20" s="26">
        <f>((F77+F78+F79)*((8600/60)*I2)*3)+F87</f>
        <v>15050</v>
      </c>
    </row>
    <row r="21" spans="1:18">
      <c r="A21" s="2" t="s">
        <v>389</v>
      </c>
      <c r="B21" s="178">
        <f>((B11+C11+D11)+B25-B12)/3</f>
        <v>3100</v>
      </c>
      <c r="C21" s="178">
        <f>B21/B26</f>
        <v>3297.872340425532</v>
      </c>
      <c r="D21" s="25"/>
      <c r="E21" s="29"/>
      <c r="F21" s="29"/>
      <c r="G21" s="29"/>
      <c r="H21" s="2" t="s">
        <v>389</v>
      </c>
      <c r="I21" s="178">
        <f>((I11+J11+K11)+C25-I12)/3</f>
        <v>3933.3333333333335</v>
      </c>
      <c r="J21" s="178">
        <f>I21/C26</f>
        <v>4184.3971631205677</v>
      </c>
      <c r="O21" s="26"/>
    </row>
    <row r="22" spans="1:18">
      <c r="B22" s="25"/>
      <c r="C22" s="25"/>
      <c r="D22" s="25"/>
      <c r="E22" s="29"/>
      <c r="F22" s="29"/>
      <c r="G22" s="29"/>
      <c r="H22" s="2" t="s">
        <v>164</v>
      </c>
      <c r="I22" s="2">
        <f>J11+C25</f>
        <v>6100</v>
      </c>
      <c r="J22" s="11">
        <f>1433+4184-250</f>
        <v>5367</v>
      </c>
      <c r="K22" s="11">
        <f>(I22-J22)/C26</f>
        <v>779.78723404255322</v>
      </c>
      <c r="O22" s="26"/>
    </row>
    <row r="23" spans="1:18">
      <c r="B23" s="25"/>
      <c r="C23" s="25"/>
      <c r="D23" s="25"/>
      <c r="E23" s="29"/>
      <c r="F23" s="29"/>
      <c r="G23" s="29"/>
      <c r="O23" s="26"/>
    </row>
    <row r="24" spans="1:18">
      <c r="B24" s="25" t="s">
        <v>244</v>
      </c>
      <c r="C24" s="25" t="s">
        <v>377</v>
      </c>
      <c r="D24" s="25" t="s">
        <v>155</v>
      </c>
      <c r="E24" s="25" t="s">
        <v>374</v>
      </c>
      <c r="F24" s="25" t="s">
        <v>154</v>
      </c>
      <c r="G24" s="25"/>
      <c r="N24" s="2" t="s">
        <v>259</v>
      </c>
      <c r="O24" s="26">
        <f>C95</f>
        <v>35878.883411060531</v>
      </c>
    </row>
    <row r="25" spans="1:18" ht="16">
      <c r="A25" s="2" t="s">
        <v>44</v>
      </c>
      <c r="B25" s="179">
        <v>300</v>
      </c>
      <c r="C25" s="179">
        <v>300</v>
      </c>
      <c r="D25" s="179">
        <v>500</v>
      </c>
      <c r="E25" s="179">
        <v>500</v>
      </c>
      <c r="F25" s="179">
        <v>500</v>
      </c>
      <c r="G25" s="179"/>
      <c r="J25" s="20"/>
      <c r="N25" s="2" t="s">
        <v>390</v>
      </c>
      <c r="O25" s="26">
        <f>(D77+D78+D79)*I5*3</f>
        <v>35000</v>
      </c>
    </row>
    <row r="26" spans="1:18" ht="16">
      <c r="A26" s="2" t="s">
        <v>391</v>
      </c>
      <c r="B26" s="180">
        <f>F73</f>
        <v>0.94</v>
      </c>
      <c r="C26" s="180">
        <f>F73</f>
        <v>0.94</v>
      </c>
      <c r="D26" s="181">
        <f>F71</f>
        <v>0.92149999999999999</v>
      </c>
      <c r="E26" s="181"/>
      <c r="J26" s="20"/>
      <c r="N26" s="2" t="s">
        <v>264</v>
      </c>
      <c r="O26" s="177">
        <f>O18-O19-O20-O24-O25</f>
        <v>11618432.818716599</v>
      </c>
    </row>
    <row r="27" spans="1:18">
      <c r="A27" s="2" t="s">
        <v>251</v>
      </c>
      <c r="B27" s="182">
        <f>1-B26</f>
        <v>6.0000000000000053E-2</v>
      </c>
      <c r="C27" s="182">
        <f>B27</f>
        <v>6.0000000000000053E-2</v>
      </c>
      <c r="D27" s="182">
        <f>1-D26</f>
        <v>7.8500000000000014E-2</v>
      </c>
      <c r="E27" s="182"/>
      <c r="O27" s="26"/>
    </row>
    <row r="28" spans="1:18">
      <c r="A28" s="2" t="s">
        <v>123</v>
      </c>
      <c r="B28" s="11"/>
      <c r="C28" s="11"/>
      <c r="D28" s="11"/>
      <c r="E28" s="182">
        <v>0.05</v>
      </c>
      <c r="F28" s="182">
        <v>0.04</v>
      </c>
      <c r="G28" s="182"/>
    </row>
    <row r="29" spans="1:18">
      <c r="A29" s="2" t="s">
        <v>392</v>
      </c>
      <c r="B29" s="11">
        <v>500</v>
      </c>
      <c r="C29" s="11">
        <v>500</v>
      </c>
      <c r="D29" s="11">
        <v>700</v>
      </c>
      <c r="E29" s="11">
        <v>700</v>
      </c>
      <c r="F29" s="11">
        <v>700</v>
      </c>
      <c r="G29" s="11"/>
    </row>
    <row r="31" spans="1:18" ht="28">
      <c r="O31" s="18"/>
      <c r="P31" s="18" t="s">
        <v>393</v>
      </c>
      <c r="Q31" s="18" t="s">
        <v>394</v>
      </c>
      <c r="R31" s="19" t="s">
        <v>395</v>
      </c>
    </row>
    <row r="32" spans="1:18">
      <c r="A32" s="9"/>
      <c r="B32" s="439" t="s">
        <v>396</v>
      </c>
      <c r="C32" s="439"/>
      <c r="D32" s="439"/>
      <c r="E32" s="439"/>
      <c r="F32" s="18"/>
      <c r="G32" s="18"/>
      <c r="H32" s="440" t="s">
        <v>397</v>
      </c>
      <c r="I32" s="441"/>
      <c r="J32" s="441"/>
      <c r="K32" s="441"/>
      <c r="L32" s="441"/>
      <c r="M32" s="442"/>
      <c r="O32" s="18" t="s">
        <v>398</v>
      </c>
      <c r="P32" s="18" t="s">
        <v>399</v>
      </c>
      <c r="Q32" s="18" t="s">
        <v>400</v>
      </c>
      <c r="R32" s="23">
        <f>(1.6*60)/100</f>
        <v>0.96</v>
      </c>
    </row>
    <row r="33" spans="1:18">
      <c r="A33" s="183" t="s">
        <v>401</v>
      </c>
      <c r="B33" s="184">
        <v>0</v>
      </c>
      <c r="C33" s="184">
        <v>1</v>
      </c>
      <c r="D33" s="184">
        <v>2</v>
      </c>
      <c r="E33" s="184">
        <v>3</v>
      </c>
      <c r="H33" s="9"/>
      <c r="I33" s="9">
        <v>-1</v>
      </c>
      <c r="J33" s="9">
        <v>0</v>
      </c>
      <c r="K33" s="9">
        <v>1</v>
      </c>
      <c r="L33" s="9">
        <v>2</v>
      </c>
      <c r="M33" s="9">
        <v>3</v>
      </c>
      <c r="O33" s="18" t="s">
        <v>402</v>
      </c>
      <c r="P33" s="18" t="s">
        <v>403</v>
      </c>
      <c r="Q33" s="18" t="s">
        <v>127</v>
      </c>
      <c r="R33" s="18"/>
    </row>
    <row r="34" spans="1:18">
      <c r="A34" s="9" t="s">
        <v>220</v>
      </c>
      <c r="B34" s="9"/>
      <c r="C34" s="185">
        <f>D29</f>
        <v>700</v>
      </c>
      <c r="D34" s="185">
        <f>C40</f>
        <v>1153.1914893616995</v>
      </c>
      <c r="E34" s="185">
        <f>D40</f>
        <v>500</v>
      </c>
      <c r="H34" s="10" t="s">
        <v>404</v>
      </c>
      <c r="I34" s="9"/>
      <c r="J34" s="9"/>
      <c r="K34" s="185">
        <f>I13*E4</f>
        <v>4184.3971631205677</v>
      </c>
      <c r="L34" s="185">
        <f>(J13+J14)*E3</f>
        <v>4964.1843971631206</v>
      </c>
      <c r="M34" s="185">
        <f>K13*E3</f>
        <v>4184.3971631205677</v>
      </c>
      <c r="O34" s="18" t="s">
        <v>405</v>
      </c>
      <c r="P34" s="18" t="s">
        <v>406</v>
      </c>
      <c r="Q34" s="18" t="s">
        <v>407</v>
      </c>
      <c r="R34" s="23">
        <f>(1.3*60)/100</f>
        <v>0.78</v>
      </c>
    </row>
    <row r="35" spans="1:18">
      <c r="A35" s="9" t="s">
        <v>200</v>
      </c>
      <c r="B35" s="9"/>
      <c r="C35" s="185">
        <f>B41</f>
        <v>16731.123707492025</v>
      </c>
      <c r="D35" s="185">
        <f>C46</f>
        <v>16731.123707492025</v>
      </c>
      <c r="E35" s="185">
        <f>D41</f>
        <v>16731.123707492025</v>
      </c>
      <c r="F35" s="11"/>
      <c r="G35" s="11"/>
      <c r="H35" s="10" t="s">
        <v>408</v>
      </c>
      <c r="I35" s="9"/>
      <c r="J35" s="9"/>
      <c r="K35" s="185">
        <f>B13*$E$3</f>
        <v>3297.872340425532</v>
      </c>
      <c r="L35" s="185">
        <f>C13*$E$3</f>
        <v>3297.872340425532</v>
      </c>
      <c r="M35" s="185">
        <f>D13*$E$3</f>
        <v>3297.872340425532</v>
      </c>
      <c r="O35" s="18" t="s">
        <v>409</v>
      </c>
      <c r="P35" s="18" t="s">
        <v>410</v>
      </c>
      <c r="Q35" s="18" t="s">
        <v>411</v>
      </c>
      <c r="R35" s="23">
        <f>(1.2*60)/100</f>
        <v>0.72</v>
      </c>
    </row>
    <row r="36" spans="1:18">
      <c r="A36" s="2" t="s">
        <v>164</v>
      </c>
      <c r="B36" s="9"/>
      <c r="C36" s="9">
        <v>0</v>
      </c>
      <c r="D36" s="185">
        <f>B48</f>
        <v>491.79760104363231</v>
      </c>
      <c r="E36" s="9">
        <v>0</v>
      </c>
      <c r="H36" s="10" t="s">
        <v>412</v>
      </c>
      <c r="I36" s="185"/>
      <c r="J36" s="185">
        <f>B41*$E$5</f>
        <v>50193.371122476077</v>
      </c>
      <c r="K36" s="185">
        <f>C41*$E$5</f>
        <v>51668.763925606967</v>
      </c>
      <c r="L36" s="185">
        <f>D41*$E$5</f>
        <v>50193.371122476077</v>
      </c>
      <c r="M36" s="9"/>
    </row>
    <row r="37" spans="1:18">
      <c r="A37" s="9" t="s">
        <v>17</v>
      </c>
      <c r="B37" s="9"/>
      <c r="C37" s="185">
        <f>C35*$D$27</f>
        <v>1313.3932110381243</v>
      </c>
      <c r="D37" s="185">
        <f>(D35+D36)*$D$27</f>
        <v>1351.9993227200493</v>
      </c>
      <c r="E37" s="185">
        <f>E35*$D$27</f>
        <v>1313.3932110381243</v>
      </c>
      <c r="F37" s="11"/>
      <c r="G37" s="11"/>
      <c r="H37" s="10" t="s">
        <v>413</v>
      </c>
      <c r="I37" s="185">
        <f>B58*$E$6</f>
        <v>141993.45606602021</v>
      </c>
      <c r="J37" s="185">
        <f>C58*$E$6</f>
        <v>143093.23880579186</v>
      </c>
      <c r="K37" s="185">
        <f>D58*$E$6</f>
        <v>141993.45606602021</v>
      </c>
      <c r="L37" s="185"/>
      <c r="M37" s="185"/>
    </row>
    <row r="38" spans="1:18">
      <c r="A38" s="9" t="s">
        <v>201</v>
      </c>
      <c r="B38" s="9"/>
      <c r="C38" s="185">
        <f>C34+C35-C37</f>
        <v>16117.7304964539</v>
      </c>
      <c r="D38" s="185">
        <f>D34+D35+D36-D37</f>
        <v>17024.113475177306</v>
      </c>
      <c r="E38" s="185">
        <f>E34+E35-E37</f>
        <v>15917.7304964539</v>
      </c>
      <c r="H38" s="10" t="s">
        <v>361</v>
      </c>
      <c r="I38" s="185">
        <f>SUM(I34:I37)</f>
        <v>141993.45606602021</v>
      </c>
      <c r="J38" s="185">
        <f>SUM(J34:J37)</f>
        <v>193286.60992826795</v>
      </c>
      <c r="K38" s="185">
        <f>SUM(K34:K37)</f>
        <v>201144.48949517327</v>
      </c>
      <c r="L38" s="185">
        <f>SUM(L34:L37)</f>
        <v>58455.42786006473</v>
      </c>
      <c r="M38" s="185">
        <f>SUM(M34:M37)</f>
        <v>7482.2695035461002</v>
      </c>
    </row>
    <row r="39" spans="1:18">
      <c r="A39" s="9" t="s">
        <v>225</v>
      </c>
      <c r="B39" s="9"/>
      <c r="C39" s="185">
        <f>B43</f>
        <v>14964.5390070922</v>
      </c>
      <c r="D39" s="185">
        <f>B44</f>
        <v>16524.113475177306</v>
      </c>
      <c r="E39" s="185">
        <f>B45</f>
        <v>14964.5390070922</v>
      </c>
    </row>
    <row r="40" spans="1:18">
      <c r="A40" s="9" t="s">
        <v>227</v>
      </c>
      <c r="B40" s="9"/>
      <c r="C40" s="185">
        <f>C38-C39</f>
        <v>1153.1914893616995</v>
      </c>
      <c r="D40" s="185">
        <f>D38-D39</f>
        <v>500</v>
      </c>
      <c r="E40" s="185">
        <f>E38-E39</f>
        <v>953.1914893616995</v>
      </c>
      <c r="I40" s="443" t="s">
        <v>396</v>
      </c>
      <c r="J40" s="443"/>
      <c r="K40" s="443"/>
      <c r="L40" s="443"/>
      <c r="M40" s="443"/>
    </row>
    <row r="41" spans="1:18">
      <c r="A41" s="9" t="s">
        <v>228</v>
      </c>
      <c r="B41" s="185">
        <f>C46</f>
        <v>16731.123707492025</v>
      </c>
      <c r="C41" s="185">
        <f>B47</f>
        <v>17222.921308535657</v>
      </c>
      <c r="D41" s="185">
        <f>C46</f>
        <v>16731.123707492025</v>
      </c>
      <c r="E41" s="186"/>
      <c r="F41" s="187"/>
      <c r="G41" s="187"/>
      <c r="I41" s="2">
        <v>-2</v>
      </c>
      <c r="J41" s="2">
        <v>-1</v>
      </c>
      <c r="K41" s="2">
        <v>0</v>
      </c>
      <c r="L41" s="2">
        <v>1</v>
      </c>
      <c r="M41" s="2">
        <v>2</v>
      </c>
    </row>
    <row r="42" spans="1:18">
      <c r="H42" s="18" t="s">
        <v>414</v>
      </c>
      <c r="I42" s="11">
        <f>(I38-J52+$F$25)/(1-$F$28)</f>
        <v>147701.51673543773</v>
      </c>
      <c r="J42" s="11">
        <f t="shared" ref="J42:M42" si="0">(J38-K52+$F$25)/(1-$F$28)</f>
        <v>201340.21867527912</v>
      </c>
      <c r="K42" s="11">
        <f t="shared" si="0"/>
        <v>209525.50989080549</v>
      </c>
      <c r="L42" s="11">
        <f t="shared" si="0"/>
        <v>60891.07068756743</v>
      </c>
      <c r="M42" s="11">
        <f t="shared" si="0"/>
        <v>7794.0307328605213</v>
      </c>
    </row>
    <row r="43" spans="1:18" ht="16">
      <c r="A43" s="2" t="s">
        <v>415</v>
      </c>
      <c r="B43" s="22">
        <f>(B13*$C$3)+(I13*$C$4)</f>
        <v>14964.5390070922</v>
      </c>
      <c r="C43" s="18"/>
    </row>
    <row r="44" spans="1:18" ht="16">
      <c r="A44" s="2" t="s">
        <v>416</v>
      </c>
      <c r="B44" s="22">
        <f>(C13*$C$3)+((J13+J14)*$C$4)</f>
        <v>16524.113475177306</v>
      </c>
      <c r="C44" s="18"/>
    </row>
    <row r="45" spans="1:18" ht="16">
      <c r="A45" s="2" t="s">
        <v>417</v>
      </c>
      <c r="B45" s="22">
        <f>(D13*$C$3)+(K13*$C$4)</f>
        <v>14964.5390070922</v>
      </c>
      <c r="C45" s="18"/>
    </row>
    <row r="46" spans="1:18">
      <c r="A46" s="2" t="s">
        <v>418</v>
      </c>
      <c r="B46" s="22">
        <f>(B43+B44+B45+D25-D29)/3</f>
        <v>15417.730496453902</v>
      </c>
      <c r="C46" s="22">
        <f>B46/D26</f>
        <v>16731.123707492025</v>
      </c>
    </row>
    <row r="47" spans="1:18" ht="16">
      <c r="A47" s="2" t="s">
        <v>419</v>
      </c>
      <c r="B47" s="22">
        <f>((B44+D25)-D34)/D26</f>
        <v>17222.921308535657</v>
      </c>
      <c r="C47" s="18"/>
    </row>
    <row r="48" spans="1:18">
      <c r="A48" s="2" t="s">
        <v>164</v>
      </c>
      <c r="B48" s="22">
        <f>B47-C46</f>
        <v>491.79760104363231</v>
      </c>
      <c r="C48" s="18"/>
    </row>
    <row r="50" spans="1:14">
      <c r="A50" s="9"/>
      <c r="B50" s="439" t="s">
        <v>396</v>
      </c>
      <c r="C50" s="439"/>
      <c r="D50" s="439"/>
      <c r="E50" s="439"/>
      <c r="F50" s="439"/>
      <c r="G50" s="188"/>
      <c r="H50" s="9"/>
      <c r="I50" s="439" t="s">
        <v>396</v>
      </c>
      <c r="J50" s="439"/>
      <c r="K50" s="439"/>
      <c r="L50" s="439"/>
      <c r="M50" s="439"/>
      <c r="N50" s="439"/>
    </row>
    <row r="51" spans="1:14">
      <c r="A51" s="183" t="s">
        <v>420</v>
      </c>
      <c r="B51" s="184">
        <v>-1</v>
      </c>
      <c r="C51" s="184">
        <v>0</v>
      </c>
      <c r="D51" s="184">
        <v>1</v>
      </c>
      <c r="E51" s="184">
        <v>2</v>
      </c>
      <c r="F51" s="184">
        <v>3</v>
      </c>
      <c r="G51" s="189"/>
      <c r="H51" s="183" t="s">
        <v>421</v>
      </c>
      <c r="I51" s="184">
        <v>-2</v>
      </c>
      <c r="J51" s="184">
        <v>-1</v>
      </c>
      <c r="K51" s="184">
        <v>0</v>
      </c>
      <c r="L51" s="184">
        <v>1</v>
      </c>
      <c r="M51" s="184">
        <v>2</v>
      </c>
      <c r="N51" s="184">
        <v>3</v>
      </c>
    </row>
    <row r="52" spans="1:14">
      <c r="A52" s="9" t="s">
        <v>422</v>
      </c>
      <c r="B52" s="9"/>
      <c r="C52" s="185">
        <f>E29</f>
        <v>700</v>
      </c>
      <c r="D52" s="185">
        <f>C57</f>
        <v>961.19840069575002</v>
      </c>
      <c r="E52" s="185">
        <f>D57</f>
        <v>500</v>
      </c>
      <c r="F52" s="185"/>
      <c r="G52" s="11"/>
      <c r="H52" s="9" t="s">
        <v>422</v>
      </c>
      <c r="I52" s="9"/>
      <c r="J52" s="9">
        <v>700</v>
      </c>
      <c r="K52" s="185">
        <f>J57</f>
        <v>500</v>
      </c>
      <c r="L52" s="185">
        <f t="shared" ref="L52:N52" si="1">K57</f>
        <v>500</v>
      </c>
      <c r="M52" s="185">
        <f t="shared" si="1"/>
        <v>500</v>
      </c>
      <c r="N52" s="185">
        <f t="shared" si="1"/>
        <v>500</v>
      </c>
    </row>
    <row r="53" spans="1:14">
      <c r="A53" s="9" t="s">
        <v>423</v>
      </c>
      <c r="B53" s="9"/>
      <c r="C53" s="185">
        <f>B58*(1-$E$28)</f>
        <v>33723.445815679799</v>
      </c>
      <c r="D53" s="185">
        <f>C53</f>
        <v>33723.445815679799</v>
      </c>
      <c r="E53" s="185">
        <f>C53</f>
        <v>33723.445815679799</v>
      </c>
      <c r="F53" s="185"/>
      <c r="G53" s="11"/>
      <c r="H53" s="9" t="s">
        <v>423</v>
      </c>
      <c r="I53" s="9"/>
      <c r="J53" s="185">
        <f>I58*(1-$F$28)</f>
        <v>141793.45606602021</v>
      </c>
      <c r="K53" s="185">
        <f t="shared" ref="K53:N53" si="2">J58*(1-$F$28)</f>
        <v>193286.60992826795</v>
      </c>
      <c r="L53" s="185">
        <f t="shared" si="2"/>
        <v>201144.48949517327</v>
      </c>
      <c r="M53" s="185">
        <f t="shared" si="2"/>
        <v>58455.42786006473</v>
      </c>
      <c r="N53" s="185">
        <f t="shared" si="2"/>
        <v>7482.2695035461002</v>
      </c>
    </row>
    <row r="54" spans="1:14">
      <c r="A54" s="9" t="s">
        <v>163</v>
      </c>
      <c r="B54" s="9"/>
      <c r="C54" s="9">
        <v>0</v>
      </c>
      <c r="D54" s="185">
        <f>(B65*(1-E28))</f>
        <v>261.198400695766</v>
      </c>
      <c r="E54" s="9">
        <v>0</v>
      </c>
      <c r="F54" s="185"/>
      <c r="G54" s="11"/>
      <c r="H54" s="9" t="s">
        <v>163</v>
      </c>
      <c r="I54" s="9"/>
      <c r="J54" s="9">
        <v>0</v>
      </c>
      <c r="K54" s="9">
        <v>0</v>
      </c>
      <c r="L54" s="9">
        <v>0</v>
      </c>
      <c r="M54" s="9">
        <v>0</v>
      </c>
      <c r="N54" s="9">
        <v>0</v>
      </c>
    </row>
    <row r="55" spans="1:14">
      <c r="A55" s="9" t="s">
        <v>201</v>
      </c>
      <c r="B55" s="9"/>
      <c r="C55" s="185">
        <f>C52+C53+C54</f>
        <v>34423.445815679799</v>
      </c>
      <c r="D55" s="185">
        <f t="shared" ref="D55:E55" si="3">D52+D53+D54</f>
        <v>34945.842617071314</v>
      </c>
      <c r="E55" s="185">
        <f t="shared" si="3"/>
        <v>34223.445815679799</v>
      </c>
      <c r="F55" s="185"/>
      <c r="G55" s="11"/>
      <c r="H55" s="9" t="s">
        <v>201</v>
      </c>
      <c r="I55" s="9"/>
      <c r="J55" s="185">
        <f>J52+J53+J54</f>
        <v>142493.45606602021</v>
      </c>
      <c r="K55" s="185">
        <f t="shared" ref="K55:N55" si="4">K52+K53+K54</f>
        <v>193786.60992826795</v>
      </c>
      <c r="L55" s="185">
        <f t="shared" si="4"/>
        <v>201644.48949517327</v>
      </c>
      <c r="M55" s="185">
        <f t="shared" si="4"/>
        <v>58955.42786006473</v>
      </c>
      <c r="N55" s="185">
        <f t="shared" si="4"/>
        <v>7982.2695035461002</v>
      </c>
    </row>
    <row r="56" spans="1:14">
      <c r="A56" s="9" t="s">
        <v>225</v>
      </c>
      <c r="B56" s="9"/>
      <c r="C56" s="185">
        <f>B60</f>
        <v>33462.247414984049</v>
      </c>
      <c r="D56" s="185">
        <f>B61</f>
        <v>34445.842617071314</v>
      </c>
      <c r="E56" s="185">
        <f>B62</f>
        <v>33462.247414984049</v>
      </c>
      <c r="F56" s="185"/>
      <c r="G56" s="11"/>
      <c r="H56" s="9" t="s">
        <v>225</v>
      </c>
      <c r="I56" s="9"/>
      <c r="J56" s="185">
        <f>I38</f>
        <v>141993.45606602021</v>
      </c>
      <c r="K56" s="185">
        <f t="shared" ref="K56:M56" si="5">J38</f>
        <v>193286.60992826795</v>
      </c>
      <c r="L56" s="185">
        <f t="shared" si="5"/>
        <v>201144.48949517327</v>
      </c>
      <c r="M56" s="185">
        <f t="shared" si="5"/>
        <v>58455.42786006473</v>
      </c>
      <c r="N56" s="185">
        <f>M38</f>
        <v>7482.2695035461002</v>
      </c>
    </row>
    <row r="57" spans="1:14">
      <c r="A57" s="9" t="s">
        <v>227</v>
      </c>
      <c r="B57" s="9"/>
      <c r="C57" s="185">
        <f>C55-C56</f>
        <v>961.19840069575002</v>
      </c>
      <c r="D57" s="185">
        <f t="shared" ref="D57:E57" si="6">D55-D56</f>
        <v>500</v>
      </c>
      <c r="E57" s="185">
        <f t="shared" si="6"/>
        <v>761.19840069575002</v>
      </c>
      <c r="F57" s="185"/>
      <c r="G57" s="11"/>
      <c r="H57" s="9" t="s">
        <v>227</v>
      </c>
      <c r="I57" s="9"/>
      <c r="J57" s="185">
        <f>J55-J56</f>
        <v>500</v>
      </c>
      <c r="K57" s="185">
        <f t="shared" ref="K57:M57" si="7">K55-K56</f>
        <v>500</v>
      </c>
      <c r="L57" s="185">
        <f t="shared" si="7"/>
        <v>500</v>
      </c>
      <c r="M57" s="185">
        <f t="shared" si="7"/>
        <v>500</v>
      </c>
      <c r="N57" s="185">
        <f>N55-N56</f>
        <v>500</v>
      </c>
    </row>
    <row r="58" spans="1:14">
      <c r="A58" s="9" t="s">
        <v>228</v>
      </c>
      <c r="B58" s="185">
        <f>C63</f>
        <v>35498.364016505053</v>
      </c>
      <c r="C58" s="185">
        <f>B64</f>
        <v>35773.309701447964</v>
      </c>
      <c r="D58" s="185">
        <f>C63</f>
        <v>35498.364016505053</v>
      </c>
      <c r="E58" s="9"/>
      <c r="F58" s="9"/>
      <c r="H58" s="9" t="s">
        <v>228</v>
      </c>
      <c r="I58" s="185">
        <f>I42</f>
        <v>147701.51673543773</v>
      </c>
      <c r="J58" s="185">
        <f t="shared" ref="J58:M58" si="8">J42</f>
        <v>201340.21867527912</v>
      </c>
      <c r="K58" s="185">
        <f t="shared" si="8"/>
        <v>209525.50989080549</v>
      </c>
      <c r="L58" s="185">
        <f t="shared" si="8"/>
        <v>60891.07068756743</v>
      </c>
      <c r="M58" s="185">
        <f t="shared" si="8"/>
        <v>7794.0307328605213</v>
      </c>
      <c r="N58" s="9"/>
    </row>
    <row r="60" spans="1:14" ht="16">
      <c r="A60" s="2" t="s">
        <v>424</v>
      </c>
      <c r="B60" s="22">
        <f>B41*D5</f>
        <v>33462.247414984049</v>
      </c>
      <c r="C60" s="18"/>
    </row>
    <row r="61" spans="1:14" ht="16">
      <c r="A61" s="2" t="s">
        <v>425</v>
      </c>
      <c r="B61" s="22">
        <f>C41*D5</f>
        <v>34445.842617071314</v>
      </c>
      <c r="C61" s="18"/>
    </row>
    <row r="62" spans="1:14" ht="16">
      <c r="A62" s="2" t="s">
        <v>426</v>
      </c>
      <c r="B62" s="22">
        <f>D41*D5</f>
        <v>33462.247414984049</v>
      </c>
      <c r="C62" s="18"/>
    </row>
    <row r="63" spans="1:14">
      <c r="A63" s="2" t="s">
        <v>418</v>
      </c>
      <c r="B63" s="22">
        <f>(B60+B61+B62+E25-C52)/3</f>
        <v>33723.445815679799</v>
      </c>
      <c r="C63" s="22">
        <f>B63/(1-E28)</f>
        <v>35498.364016505053</v>
      </c>
    </row>
    <row r="64" spans="1:14" ht="16">
      <c r="A64" s="2" t="s">
        <v>427</v>
      </c>
      <c r="B64" s="22">
        <f>((B61+E25)-D52)/(1-E28)</f>
        <v>35773.309701447964</v>
      </c>
      <c r="C64" s="18"/>
    </row>
    <row r="65" spans="1:8">
      <c r="A65" s="2" t="s">
        <v>164</v>
      </c>
      <c r="B65" s="22">
        <f>B64-C63</f>
        <v>274.94568494291161</v>
      </c>
      <c r="C65" s="18"/>
    </row>
    <row r="67" spans="1:8" ht="14" thickBot="1"/>
    <row r="68" spans="1:8" ht="14" thickBot="1">
      <c r="A68" s="435" t="s">
        <v>428</v>
      </c>
      <c r="B68" s="436"/>
      <c r="C68" s="436"/>
      <c r="D68" s="436"/>
      <c r="E68" s="436"/>
      <c r="F68" s="436"/>
      <c r="G68" s="436"/>
      <c r="H68" s="437"/>
    </row>
    <row r="69" spans="1:8">
      <c r="A69" s="190" t="s">
        <v>429</v>
      </c>
      <c r="H69" s="191"/>
    </row>
    <row r="70" spans="1:8">
      <c r="A70" s="192"/>
      <c r="B70" s="18" t="s">
        <v>430</v>
      </c>
      <c r="C70" s="18" t="s">
        <v>246</v>
      </c>
      <c r="D70" s="18" t="s">
        <v>431</v>
      </c>
      <c r="E70" s="18" t="s">
        <v>432</v>
      </c>
      <c r="F70" s="18" t="s">
        <v>310</v>
      </c>
      <c r="G70" s="18" t="s">
        <v>238</v>
      </c>
      <c r="H70" s="193" t="s">
        <v>433</v>
      </c>
    </row>
    <row r="71" spans="1:8">
      <c r="A71" s="190" t="s">
        <v>400</v>
      </c>
      <c r="B71" s="176">
        <v>0.96</v>
      </c>
      <c r="C71" s="2">
        <v>0.94</v>
      </c>
      <c r="D71" s="2">
        <v>0.98</v>
      </c>
      <c r="E71" s="2">
        <v>0.95</v>
      </c>
      <c r="F71" s="176">
        <f>F72*E71</f>
        <v>0.92149999999999999</v>
      </c>
      <c r="G71" s="176">
        <f>(B71*D71)/(2-C71)</f>
        <v>0.88754716981132065</v>
      </c>
      <c r="H71" s="194">
        <f>G71/F71</f>
        <v>0.96315482345232839</v>
      </c>
    </row>
    <row r="72" spans="1:8">
      <c r="A72" s="190" t="s">
        <v>411</v>
      </c>
      <c r="B72" s="176">
        <v>0.72</v>
      </c>
      <c r="C72" s="2">
        <v>0.93</v>
      </c>
      <c r="D72" s="2">
        <v>0.97</v>
      </c>
      <c r="E72" s="2">
        <v>0.97</v>
      </c>
      <c r="F72" s="176">
        <f>E72</f>
        <v>0.97</v>
      </c>
      <c r="G72" s="176">
        <f>(B72*D72)/(2-C72)</f>
        <v>0.65271028037383183</v>
      </c>
      <c r="H72" s="194">
        <f>G72/F72</f>
        <v>0.67289719626168232</v>
      </c>
    </row>
    <row r="73" spans="1:8">
      <c r="A73" s="190" t="s">
        <v>407</v>
      </c>
      <c r="B73" s="176">
        <v>0.78</v>
      </c>
      <c r="C73" s="2">
        <v>0.9</v>
      </c>
      <c r="D73" s="2">
        <v>0.95</v>
      </c>
      <c r="E73" s="2">
        <v>0.94</v>
      </c>
      <c r="F73" s="176">
        <f>E73</f>
        <v>0.94</v>
      </c>
      <c r="G73" s="176">
        <f>(B73*D73)/(2-C73)</f>
        <v>0.67363636363636359</v>
      </c>
      <c r="H73" s="194">
        <f>G73/F73</f>
        <v>0.7166344294003868</v>
      </c>
    </row>
    <row r="74" spans="1:8">
      <c r="A74" s="190"/>
      <c r="H74" s="191"/>
    </row>
    <row r="75" spans="1:8">
      <c r="A75" s="195" t="s">
        <v>434</v>
      </c>
      <c r="B75" s="172"/>
      <c r="C75" s="172"/>
      <c r="D75" s="172"/>
      <c r="H75" s="191"/>
    </row>
    <row r="76" spans="1:8">
      <c r="A76" s="192"/>
      <c r="B76" s="18" t="s">
        <v>435</v>
      </c>
      <c r="C76" s="18" t="s">
        <v>436</v>
      </c>
      <c r="D76" s="18" t="s">
        <v>437</v>
      </c>
      <c r="E76" s="18" t="s">
        <v>438</v>
      </c>
      <c r="F76" s="18" t="s">
        <v>356</v>
      </c>
      <c r="G76" s="18"/>
      <c r="H76" s="191"/>
    </row>
    <row r="77" spans="1:8">
      <c r="A77" s="190" t="s">
        <v>400</v>
      </c>
      <c r="B77" s="196">
        <f>H71</f>
        <v>0.96315482345232839</v>
      </c>
      <c r="C77" s="176">
        <f>B77/R11</f>
        <v>5.9504600597842829</v>
      </c>
      <c r="D77" s="2">
        <v>6</v>
      </c>
      <c r="E77" s="176">
        <f>B77/D77</f>
        <v>0.1605258039087214</v>
      </c>
      <c r="F77" s="11">
        <f>D77*1</f>
        <v>6</v>
      </c>
      <c r="G77" s="176"/>
      <c r="H77" s="191"/>
    </row>
    <row r="78" spans="1:8">
      <c r="A78" s="190" t="s">
        <v>411</v>
      </c>
      <c r="B78" s="196">
        <f>H72</f>
        <v>0.67289719626168232</v>
      </c>
      <c r="C78" s="176">
        <f>B78/R11</f>
        <v>4.1572214489295432</v>
      </c>
      <c r="D78" s="2">
        <v>5</v>
      </c>
      <c r="E78" s="176">
        <f>B78/D78</f>
        <v>0.13457943925233645</v>
      </c>
      <c r="F78" s="11">
        <f>D78*1</f>
        <v>5</v>
      </c>
      <c r="G78" s="176"/>
      <c r="H78" s="191"/>
    </row>
    <row r="79" spans="1:8">
      <c r="A79" s="190" t="s">
        <v>407</v>
      </c>
      <c r="B79" s="196">
        <f>H73</f>
        <v>0.7166344294003868</v>
      </c>
      <c r="C79" s="176">
        <f>B79/R9</f>
        <v>2.0696136900924134</v>
      </c>
      <c r="D79" s="2">
        <v>3</v>
      </c>
      <c r="E79" s="176">
        <f>B79/D79</f>
        <v>0.23887814313346226</v>
      </c>
      <c r="F79" s="11">
        <f>D79*1</f>
        <v>3</v>
      </c>
      <c r="G79" s="176"/>
      <c r="H79" s="191"/>
    </row>
    <row r="80" spans="1:8">
      <c r="A80" s="190"/>
      <c r="H80" s="191"/>
    </row>
    <row r="81" spans="1:8">
      <c r="A81" s="190" t="s">
        <v>439</v>
      </c>
      <c r="H81" s="191"/>
    </row>
    <row r="82" spans="1:8">
      <c r="A82" s="190"/>
      <c r="C82" s="18" t="s">
        <v>364</v>
      </c>
      <c r="D82" s="18"/>
      <c r="E82" s="18"/>
      <c r="H82" s="191"/>
    </row>
    <row r="83" spans="1:8">
      <c r="A83" s="192"/>
      <c r="B83" s="18" t="s">
        <v>438</v>
      </c>
      <c r="C83" s="18" t="s">
        <v>361</v>
      </c>
      <c r="D83" s="18" t="s">
        <v>18</v>
      </c>
      <c r="E83" s="18" t="s">
        <v>24</v>
      </c>
      <c r="F83" s="18" t="s">
        <v>304</v>
      </c>
      <c r="H83" s="191"/>
    </row>
    <row r="84" spans="1:8">
      <c r="A84" s="190" t="s">
        <v>400</v>
      </c>
      <c r="B84" s="176">
        <f>E77</f>
        <v>0.1605258039087214</v>
      </c>
      <c r="C84" s="176">
        <f>B84*O11</f>
        <v>7497.5796753281966</v>
      </c>
      <c r="D84" s="11">
        <f>Q9*3</f>
        <v>7560</v>
      </c>
      <c r="E84" s="176">
        <v>0</v>
      </c>
      <c r="F84" s="173">
        <f>(E84/60)*$I$3</f>
        <v>0</v>
      </c>
      <c r="H84" s="191"/>
    </row>
    <row r="85" spans="1:8">
      <c r="A85" s="190" t="s">
        <v>411</v>
      </c>
      <c r="B85" s="176">
        <f>E78</f>
        <v>0.13457943925233645</v>
      </c>
      <c r="C85" s="176">
        <f>B85*O11</f>
        <v>6285.7188307814677</v>
      </c>
      <c r="D85" s="11">
        <f t="shared" ref="D85:D86" si="9">Q10*3</f>
        <v>7560</v>
      </c>
      <c r="E85" s="176">
        <v>0</v>
      </c>
      <c r="F85" s="173">
        <f>(E85/60)*$I$3</f>
        <v>0</v>
      </c>
      <c r="H85" s="191"/>
    </row>
    <row r="86" spans="1:8">
      <c r="A86" s="190" t="s">
        <v>407</v>
      </c>
      <c r="B86" s="176">
        <f>E79</f>
        <v>0.23887814313346226</v>
      </c>
      <c r="C86" s="176">
        <f>B86*(O9+O10)</f>
        <v>5215.4264990328811</v>
      </c>
      <c r="D86" s="11">
        <f t="shared" si="9"/>
        <v>7560</v>
      </c>
      <c r="E86" s="176">
        <v>0</v>
      </c>
      <c r="F86" s="173">
        <f>(E86/60)*$I$3</f>
        <v>0</v>
      </c>
      <c r="H86" s="191"/>
    </row>
    <row r="87" spans="1:8" ht="14" thickBot="1">
      <c r="A87" s="197"/>
      <c r="B87" s="198"/>
      <c r="C87" s="198"/>
      <c r="D87" s="198"/>
      <c r="E87" s="198"/>
      <c r="F87" s="199">
        <f>SUM(F84:F86)</f>
        <v>0</v>
      </c>
      <c r="G87" s="198"/>
      <c r="H87" s="200"/>
    </row>
    <row r="88" spans="1:8">
      <c r="A88" s="2" t="s">
        <v>440</v>
      </c>
    </row>
    <row r="89" spans="1:8" ht="28">
      <c r="B89" s="19" t="s">
        <v>441</v>
      </c>
      <c r="C89" s="201" t="s">
        <v>247</v>
      </c>
    </row>
    <row r="90" spans="1:8">
      <c r="A90" s="2" t="s">
        <v>244</v>
      </c>
      <c r="B90" s="2">
        <f>(B16+C16+D16)/2</f>
        <v>6050</v>
      </c>
      <c r="C90" s="173">
        <f>B90*$I$4</f>
        <v>726</v>
      </c>
    </row>
    <row r="91" spans="1:8">
      <c r="A91" s="2" t="s">
        <v>377</v>
      </c>
      <c r="B91" s="2">
        <f>(I16+J16+K16)/2</f>
        <v>7383</v>
      </c>
      <c r="C91" s="173">
        <f>B91*$I$4</f>
        <v>885.95999999999992</v>
      </c>
    </row>
    <row r="92" spans="1:8">
      <c r="A92" s="2" t="s">
        <v>155</v>
      </c>
      <c r="B92" s="11">
        <f>(C38+D38+E38)/2</f>
        <v>24529.787234042553</v>
      </c>
      <c r="C92" s="173">
        <f>B92*$I$4</f>
        <v>2943.5744680851062</v>
      </c>
    </row>
    <row r="93" spans="1:8">
      <c r="A93" s="2" t="s">
        <v>154</v>
      </c>
      <c r="B93" s="11">
        <f>(K56+L56+M56)/2</f>
        <v>226443.26364175297</v>
      </c>
      <c r="C93" s="173">
        <f>B93*$I$4</f>
        <v>27173.191637010357</v>
      </c>
    </row>
    <row r="94" spans="1:8">
      <c r="A94" s="2" t="s">
        <v>111</v>
      </c>
      <c r="B94" s="11">
        <f>(D55+E55+F55)/2</f>
        <v>34584.644216375556</v>
      </c>
      <c r="C94" s="173">
        <f>B94*$I$4</f>
        <v>4150.1573059650664</v>
      </c>
    </row>
    <row r="95" spans="1:8">
      <c r="C95" s="173">
        <f>SUM(C90:C94)</f>
        <v>35878.883411060531</v>
      </c>
    </row>
  </sheetData>
  <mergeCells count="7">
    <mergeCell ref="A68:H68"/>
    <mergeCell ref="B1:E1"/>
    <mergeCell ref="B32:E32"/>
    <mergeCell ref="H32:M32"/>
    <mergeCell ref="I40:M40"/>
    <mergeCell ref="B50:F50"/>
    <mergeCell ref="I50:N50"/>
  </mergeCells>
  <pageMargins left="0.75" right="0.75" top="1" bottom="1" header="0.5" footer="0.5"/>
  <pageSetup paperSize="9" orientation="portrait" horizontalDpi="4294967292" verticalDpi="429496729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57023-C6DC-8D43-815C-1DD1961BB0DB}">
  <sheetPr>
    <pageSetUpPr fitToPage="1"/>
  </sheetPr>
  <dimension ref="A1:AB109"/>
  <sheetViews>
    <sheetView workbookViewId="0">
      <selection activeCell="U47" sqref="U47"/>
    </sheetView>
  </sheetViews>
  <sheetFormatPr baseColWidth="10" defaultRowHeight="13"/>
  <cols>
    <col min="1" max="1" width="16.33203125" style="2" customWidth="1"/>
    <col min="2" max="3" width="11.33203125" style="2" customWidth="1"/>
    <col min="4" max="4" width="10.5" style="2" customWidth="1"/>
    <col min="5" max="5" width="15.5" style="2" customWidth="1"/>
    <col min="6" max="6" width="11.33203125" style="2" customWidth="1"/>
    <col min="7" max="7" width="12.1640625" style="2" customWidth="1"/>
    <col min="8" max="8" width="8.5" style="2" customWidth="1"/>
    <col min="9" max="9" width="8" style="2" customWidth="1"/>
    <col min="10" max="10" width="9.1640625" style="2" customWidth="1"/>
    <col min="11" max="11" width="3.5" style="2" customWidth="1"/>
    <col min="12" max="12" width="14.6640625" style="2" customWidth="1"/>
    <col min="13" max="13" width="14.33203125" style="2" customWidth="1"/>
    <col min="14" max="14" width="10.1640625" style="2" customWidth="1"/>
    <col min="15" max="15" width="10.83203125" style="2" customWidth="1"/>
    <col min="16" max="16" width="11.1640625" style="2" customWidth="1"/>
    <col min="17" max="17" width="10.5" style="2" customWidth="1"/>
    <col min="18" max="18" width="13.5" style="2" bestFit="1" customWidth="1"/>
    <col min="19" max="19" width="12.6640625" style="2" bestFit="1" customWidth="1"/>
    <col min="20" max="20" width="15.5" style="2" customWidth="1"/>
    <col min="21" max="21" width="13.6640625" style="2" bestFit="1" customWidth="1"/>
    <col min="22" max="22" width="18.5" style="2" customWidth="1"/>
    <col min="23" max="23" width="14.83203125" style="2" customWidth="1"/>
    <col min="24" max="24" width="10.6640625" style="2" customWidth="1"/>
    <col min="25" max="25" width="11" style="2" customWidth="1"/>
    <col min="26" max="26" width="11.1640625" style="2" customWidth="1"/>
    <col min="27" max="27" width="14" style="2" customWidth="1"/>
    <col min="28" max="28" width="13.33203125" style="2" customWidth="1"/>
    <col min="29" max="29" width="21" style="2" customWidth="1"/>
    <col min="30" max="30" width="14.83203125" style="2" bestFit="1" customWidth="1"/>
    <col min="31" max="16384" width="10.83203125" style="2"/>
  </cols>
  <sheetData>
    <row r="1" spans="1:26">
      <c r="A1" s="189" t="s">
        <v>162</v>
      </c>
      <c r="B1" s="188" t="s">
        <v>238</v>
      </c>
      <c r="C1" s="188" t="s">
        <v>432</v>
      </c>
      <c r="D1" s="188" t="s">
        <v>310</v>
      </c>
      <c r="E1" s="188" t="s">
        <v>442</v>
      </c>
    </row>
    <row r="2" spans="1:26">
      <c r="A2" s="2" t="s">
        <v>443</v>
      </c>
      <c r="B2" s="2">
        <v>2</v>
      </c>
      <c r="C2" s="2">
        <v>0.98</v>
      </c>
      <c r="D2" s="196">
        <f>D3*C2</f>
        <v>0.96039999999999992</v>
      </c>
      <c r="E2" s="196">
        <f>B2*(1/D2)</f>
        <v>2.0824656393169514</v>
      </c>
      <c r="L2" s="202" t="s">
        <v>15</v>
      </c>
      <c r="M2" s="203"/>
      <c r="N2" s="203"/>
      <c r="O2" s="203"/>
      <c r="P2" s="203"/>
      <c r="Q2" s="203"/>
      <c r="R2" s="203"/>
      <c r="S2" s="203"/>
      <c r="T2" s="203"/>
      <c r="U2" s="203"/>
    </row>
    <row r="3" spans="1:26">
      <c r="A3" s="2" t="s">
        <v>444</v>
      </c>
      <c r="B3" s="2">
        <v>1.5</v>
      </c>
      <c r="C3" s="2">
        <v>0.98</v>
      </c>
      <c r="D3" s="196">
        <f>C3</f>
        <v>0.98</v>
      </c>
      <c r="E3" s="196">
        <f>B3*(1/D3)</f>
        <v>1.5306122448979593</v>
      </c>
      <c r="L3" s="188" t="s">
        <v>445</v>
      </c>
      <c r="M3" s="187" t="s">
        <v>446</v>
      </c>
      <c r="N3" s="2">
        <v>662</v>
      </c>
      <c r="O3" s="188" t="s">
        <v>168</v>
      </c>
      <c r="P3" s="188"/>
      <c r="Q3" s="187" t="s">
        <v>446</v>
      </c>
      <c r="R3" s="2">
        <v>662</v>
      </c>
      <c r="S3" s="188" t="s">
        <v>169</v>
      </c>
      <c r="T3" s="187" t="s">
        <v>446</v>
      </c>
      <c r="U3" s="2">
        <v>662</v>
      </c>
      <c r="W3" s="2" t="s">
        <v>244</v>
      </c>
    </row>
    <row r="4" spans="1:26">
      <c r="M4" s="187" t="s">
        <v>447</v>
      </c>
      <c r="N4" s="2">
        <v>221</v>
      </c>
      <c r="Q4" s="187" t="s">
        <v>447</v>
      </c>
      <c r="R4" s="11">
        <v>221</v>
      </c>
      <c r="T4" s="187" t="s">
        <v>447</v>
      </c>
      <c r="U4" s="2">
        <v>221</v>
      </c>
      <c r="W4" s="2" t="s">
        <v>377</v>
      </c>
    </row>
    <row r="5" spans="1:26">
      <c r="A5" s="189" t="s">
        <v>159</v>
      </c>
      <c r="B5" s="188" t="s">
        <v>238</v>
      </c>
      <c r="C5" s="188" t="s">
        <v>432</v>
      </c>
      <c r="D5" s="188" t="s">
        <v>310</v>
      </c>
      <c r="E5" s="188" t="s">
        <v>442</v>
      </c>
      <c r="M5" s="187" t="s">
        <v>448</v>
      </c>
      <c r="N5" s="2">
        <v>1104</v>
      </c>
      <c r="Q5" s="187" t="s">
        <v>448</v>
      </c>
      <c r="R5" s="2">
        <v>1104</v>
      </c>
      <c r="T5" s="187" t="s">
        <v>448</v>
      </c>
      <c r="U5" s="2">
        <v>1104</v>
      </c>
      <c r="W5" s="2" t="s">
        <v>245</v>
      </c>
    </row>
    <row r="6" spans="1:26">
      <c r="A6" s="2" t="s">
        <v>449</v>
      </c>
      <c r="B6" s="2">
        <v>1</v>
      </c>
      <c r="C6" s="2">
        <v>0.98</v>
      </c>
      <c r="D6" s="196">
        <f>D7*C6</f>
        <v>0.96039999999999992</v>
      </c>
      <c r="E6" s="196">
        <f>B6*(1/D6)</f>
        <v>1.0412328196584757</v>
      </c>
    </row>
    <row r="7" spans="1:26">
      <c r="A7" s="2" t="s">
        <v>450</v>
      </c>
      <c r="B7" s="2">
        <v>2</v>
      </c>
      <c r="C7" s="2">
        <v>0.98</v>
      </c>
      <c r="D7" s="196">
        <f>C7</f>
        <v>0.98</v>
      </c>
      <c r="E7" s="196">
        <f>B7*(1/D7)</f>
        <v>2.0408163265306123</v>
      </c>
    </row>
    <row r="8" spans="1:26">
      <c r="L8" s="204" t="s">
        <v>451</v>
      </c>
      <c r="M8" s="204"/>
      <c r="N8" s="204"/>
      <c r="O8" s="204"/>
      <c r="P8" s="204"/>
      <c r="Q8" s="204"/>
      <c r="R8" s="204" t="s">
        <v>452</v>
      </c>
      <c r="S8" s="204"/>
      <c r="T8" s="204"/>
      <c r="U8" s="204"/>
      <c r="V8" s="204"/>
      <c r="W8" s="204" t="s">
        <v>453</v>
      </c>
    </row>
    <row r="9" spans="1:26">
      <c r="A9" s="189" t="s">
        <v>454</v>
      </c>
      <c r="B9" s="188" t="s">
        <v>238</v>
      </c>
      <c r="C9" s="188" t="s">
        <v>432</v>
      </c>
      <c r="D9" s="188" t="s">
        <v>310</v>
      </c>
      <c r="E9" s="188" t="s">
        <v>442</v>
      </c>
      <c r="L9" s="2" t="s">
        <v>6</v>
      </c>
      <c r="M9" s="2">
        <v>1</v>
      </c>
      <c r="N9" s="2">
        <v>2</v>
      </c>
      <c r="O9" s="2">
        <v>3</v>
      </c>
      <c r="R9" s="2" t="s">
        <v>6</v>
      </c>
      <c r="S9" s="2">
        <v>1</v>
      </c>
      <c r="T9" s="2">
        <v>2</v>
      </c>
      <c r="U9" s="2">
        <v>3</v>
      </c>
      <c r="W9" s="2" t="s">
        <v>6</v>
      </c>
      <c r="X9" s="2">
        <v>1</v>
      </c>
      <c r="Y9" s="2">
        <v>2</v>
      </c>
      <c r="Z9" s="2">
        <v>3</v>
      </c>
    </row>
    <row r="10" spans="1:26">
      <c r="A10" s="2" t="s">
        <v>444</v>
      </c>
      <c r="B10" s="2">
        <v>2</v>
      </c>
      <c r="C10" s="2">
        <v>0.98</v>
      </c>
      <c r="D10" s="196">
        <f>D11*C10</f>
        <v>0.96039999999999992</v>
      </c>
      <c r="E10" s="196">
        <f>B10*(1/D10)</f>
        <v>2.0824656393169514</v>
      </c>
      <c r="L10" s="2" t="s">
        <v>11</v>
      </c>
      <c r="M10" s="2">
        <v>1500</v>
      </c>
      <c r="N10" s="2">
        <v>2500</v>
      </c>
      <c r="O10" s="2">
        <v>3800</v>
      </c>
      <c r="R10" s="2" t="s">
        <v>11</v>
      </c>
      <c r="S10" s="2">
        <v>4200</v>
      </c>
      <c r="T10" s="2">
        <v>2500</v>
      </c>
      <c r="U10" s="2">
        <v>3500</v>
      </c>
      <c r="W10" s="2" t="s">
        <v>11</v>
      </c>
      <c r="X10" s="2">
        <v>3500</v>
      </c>
      <c r="Y10" s="2">
        <v>1500</v>
      </c>
      <c r="Z10" s="2">
        <v>4200</v>
      </c>
    </row>
    <row r="11" spans="1:26">
      <c r="A11" s="2" t="s">
        <v>450</v>
      </c>
      <c r="B11" s="2">
        <v>2</v>
      </c>
      <c r="C11" s="2">
        <v>0.98</v>
      </c>
      <c r="D11" s="196">
        <f>C11</f>
        <v>0.98</v>
      </c>
      <c r="E11" s="196">
        <f>B11*(1/D11)</f>
        <v>2.0408163265306123</v>
      </c>
      <c r="L11" s="2" t="s">
        <v>455</v>
      </c>
      <c r="M11" s="2">
        <v>400</v>
      </c>
      <c r="N11" s="2">
        <f>M17</f>
        <v>0</v>
      </c>
      <c r="O11" s="2">
        <f>N17</f>
        <v>0</v>
      </c>
      <c r="R11" s="2" t="s">
        <v>455</v>
      </c>
      <c r="S11" s="2">
        <v>600</v>
      </c>
      <c r="T11" s="2">
        <f>S17</f>
        <v>0</v>
      </c>
      <c r="U11" s="2">
        <f>T17</f>
        <v>0</v>
      </c>
      <c r="W11" s="2" t="s">
        <v>455</v>
      </c>
      <c r="X11" s="2">
        <v>350</v>
      </c>
      <c r="Y11" s="2">
        <f>X17</f>
        <v>0</v>
      </c>
      <c r="Z11" s="2">
        <f>Y17</f>
        <v>0</v>
      </c>
    </row>
    <row r="12" spans="1:26">
      <c r="L12" s="2" t="s">
        <v>456</v>
      </c>
      <c r="M12" s="2">
        <v>662</v>
      </c>
      <c r="N12" s="2">
        <v>662</v>
      </c>
      <c r="O12" s="2">
        <v>662</v>
      </c>
      <c r="R12" s="2" t="s">
        <v>456</v>
      </c>
      <c r="S12" s="2">
        <v>221</v>
      </c>
      <c r="T12" s="2">
        <v>221</v>
      </c>
      <c r="U12" s="2">
        <v>221</v>
      </c>
      <c r="W12" s="2" t="s">
        <v>456</v>
      </c>
      <c r="X12" s="2">
        <v>1104</v>
      </c>
      <c r="Y12" s="2">
        <v>1104</v>
      </c>
      <c r="Z12" s="2">
        <v>1104</v>
      </c>
    </row>
    <row r="13" spans="1:26">
      <c r="A13" s="189" t="s">
        <v>457</v>
      </c>
      <c r="B13" s="188" t="s">
        <v>238</v>
      </c>
      <c r="C13" s="188" t="s">
        <v>432</v>
      </c>
      <c r="D13" s="188" t="s">
        <v>310</v>
      </c>
      <c r="E13" s="188" t="s">
        <v>442</v>
      </c>
      <c r="L13" s="2" t="s">
        <v>458</v>
      </c>
      <c r="M13" s="2">
        <v>0</v>
      </c>
      <c r="N13" s="2">
        <v>0</v>
      </c>
      <c r="O13" s="2">
        <v>0</v>
      </c>
      <c r="R13" s="2" t="s">
        <v>458</v>
      </c>
      <c r="S13" s="2">
        <v>0</v>
      </c>
      <c r="T13" s="2">
        <v>0</v>
      </c>
      <c r="U13" s="2">
        <v>0</v>
      </c>
      <c r="W13" s="2" t="s">
        <v>458</v>
      </c>
      <c r="X13" s="2">
        <v>0</v>
      </c>
      <c r="Y13" s="2">
        <v>0</v>
      </c>
      <c r="Z13" s="2">
        <v>0</v>
      </c>
    </row>
    <row r="14" spans="1:26">
      <c r="A14" s="2" t="s">
        <v>459</v>
      </c>
      <c r="B14" s="2">
        <v>2.5</v>
      </c>
      <c r="C14" s="2">
        <v>0.98</v>
      </c>
      <c r="D14" s="196">
        <f>C14</f>
        <v>0.98</v>
      </c>
      <c r="E14" s="196">
        <f>B14*(1/D14)</f>
        <v>2.5510204081632653</v>
      </c>
      <c r="L14" s="2" t="s">
        <v>251</v>
      </c>
      <c r="M14" s="2">
        <v>0</v>
      </c>
      <c r="N14" s="2">
        <v>0</v>
      </c>
      <c r="O14" s="2">
        <v>0</v>
      </c>
      <c r="R14" s="2" t="s">
        <v>251</v>
      </c>
      <c r="S14" s="2">
        <v>0</v>
      </c>
      <c r="T14" s="2">
        <v>0</v>
      </c>
      <c r="U14" s="2">
        <v>0</v>
      </c>
      <c r="W14" s="2" t="s">
        <v>251</v>
      </c>
      <c r="X14" s="2">
        <v>0</v>
      </c>
      <c r="Y14" s="2">
        <v>0</v>
      </c>
      <c r="Z14" s="2">
        <v>0</v>
      </c>
    </row>
    <row r="15" spans="1:26">
      <c r="L15" s="2" t="s">
        <v>18</v>
      </c>
      <c r="M15" s="2">
        <f>M11+M12+M13-M14</f>
        <v>1062</v>
      </c>
      <c r="N15" s="2">
        <f>N11+N12+N13-N14</f>
        <v>662</v>
      </c>
      <c r="O15" s="2">
        <f>O11+O12+O13-O14</f>
        <v>662</v>
      </c>
      <c r="R15" s="2" t="s">
        <v>18</v>
      </c>
      <c r="S15" s="2">
        <f>S11+S12+S13-S14</f>
        <v>821</v>
      </c>
      <c r="T15" s="2">
        <f>T11+T12+T13-T14</f>
        <v>221</v>
      </c>
      <c r="U15" s="2">
        <f>U11+U12+U13-U14</f>
        <v>221</v>
      </c>
      <c r="W15" s="2" t="s">
        <v>18</v>
      </c>
      <c r="X15" s="2">
        <f>X11+X12+X13-X14</f>
        <v>1454</v>
      </c>
      <c r="Y15" s="2">
        <f>Y11+Y12+Y13-Y14</f>
        <v>1104</v>
      </c>
      <c r="Z15" s="2">
        <f>Z11+Z12+Z13-Z14</f>
        <v>1104</v>
      </c>
    </row>
    <row r="16" spans="1:26">
      <c r="A16" s="189" t="s">
        <v>269</v>
      </c>
      <c r="B16" s="188" t="s">
        <v>238</v>
      </c>
      <c r="C16" s="188" t="s">
        <v>432</v>
      </c>
      <c r="D16" s="188" t="s">
        <v>310</v>
      </c>
      <c r="E16" s="188" t="s">
        <v>442</v>
      </c>
      <c r="L16" s="2" t="s">
        <v>19</v>
      </c>
      <c r="M16" s="2">
        <v>1062</v>
      </c>
      <c r="N16" s="2">
        <v>662</v>
      </c>
      <c r="O16" s="2">
        <v>662</v>
      </c>
      <c r="R16" s="2" t="s">
        <v>19</v>
      </c>
      <c r="S16" s="2">
        <f>S15</f>
        <v>821</v>
      </c>
      <c r="T16" s="2">
        <f>T15</f>
        <v>221</v>
      </c>
      <c r="U16" s="2">
        <f>U15</f>
        <v>221</v>
      </c>
      <c r="W16" s="2" t="s">
        <v>19</v>
      </c>
      <c r="X16" s="2">
        <f>X15</f>
        <v>1454</v>
      </c>
      <c r="Y16" s="2">
        <f>Y15</f>
        <v>1104</v>
      </c>
      <c r="Z16" s="2">
        <f>Z15</f>
        <v>1104</v>
      </c>
    </row>
    <row r="17" spans="1:28">
      <c r="A17" s="2" t="s">
        <v>400</v>
      </c>
      <c r="B17" s="2">
        <v>3</v>
      </c>
      <c r="C17" s="2">
        <v>1</v>
      </c>
      <c r="D17" s="2">
        <f>D18*C17</f>
        <v>1</v>
      </c>
      <c r="E17" s="196">
        <f>B17*(1/D17)</f>
        <v>3</v>
      </c>
      <c r="L17" s="2" t="s">
        <v>104</v>
      </c>
      <c r="M17" s="2">
        <f>M15-M16</f>
        <v>0</v>
      </c>
      <c r="N17" s="2">
        <f>N15-N16</f>
        <v>0</v>
      </c>
      <c r="O17" s="2">
        <f>O15-O16</f>
        <v>0</v>
      </c>
      <c r="R17" s="2" t="s">
        <v>104</v>
      </c>
      <c r="S17" s="2">
        <f>S15-S16</f>
        <v>0</v>
      </c>
      <c r="T17" s="2">
        <f>T15-T16</f>
        <v>0</v>
      </c>
      <c r="U17" s="2">
        <f>U15-U16</f>
        <v>0</v>
      </c>
      <c r="W17" s="2" t="s">
        <v>104</v>
      </c>
      <c r="X17" s="2">
        <f>X15-X16</f>
        <v>0</v>
      </c>
      <c r="Y17" s="2">
        <f>Y15-Y16</f>
        <v>0</v>
      </c>
      <c r="Z17" s="2">
        <f>Z15-Z16</f>
        <v>0</v>
      </c>
    </row>
    <row r="18" spans="1:28">
      <c r="A18" s="2" t="s">
        <v>411</v>
      </c>
      <c r="B18" s="2">
        <v>3</v>
      </c>
      <c r="C18" s="2">
        <v>1</v>
      </c>
      <c r="D18" s="2">
        <f>D19*C18</f>
        <v>1</v>
      </c>
      <c r="E18" s="196">
        <f>B18*(1/D18)</f>
        <v>3</v>
      </c>
    </row>
    <row r="19" spans="1:28">
      <c r="A19" s="2" t="s">
        <v>407</v>
      </c>
      <c r="B19" s="2">
        <v>3</v>
      </c>
      <c r="C19" s="2">
        <v>1</v>
      </c>
      <c r="D19" s="2">
        <f>D20*C19</f>
        <v>1</v>
      </c>
      <c r="E19" s="196">
        <f>B19*(1/D19)</f>
        <v>3</v>
      </c>
    </row>
    <row r="20" spans="1:28">
      <c r="A20" s="2" t="s">
        <v>460</v>
      </c>
      <c r="B20" s="2">
        <v>3</v>
      </c>
      <c r="C20" s="2">
        <v>1</v>
      </c>
      <c r="D20" s="2">
        <f>D21*C20</f>
        <v>1</v>
      </c>
      <c r="E20" s="196">
        <f>B20*(1/D20)</f>
        <v>3</v>
      </c>
      <c r="L20" s="205" t="s">
        <v>461</v>
      </c>
      <c r="M20" s="205" t="s">
        <v>462</v>
      </c>
      <c r="N20" s="205"/>
      <c r="O20" s="205"/>
      <c r="P20" s="205"/>
      <c r="Q20" s="205"/>
      <c r="R20" s="205" t="s">
        <v>463</v>
      </c>
      <c r="S20" s="205" t="s">
        <v>464</v>
      </c>
      <c r="T20" s="205"/>
      <c r="U20" s="205"/>
      <c r="V20" s="205"/>
      <c r="W20" s="205" t="s">
        <v>465</v>
      </c>
      <c r="X20" s="205" t="s">
        <v>464</v>
      </c>
      <c r="Y20" s="205"/>
      <c r="Z20" s="205"/>
      <c r="AA20" s="206"/>
      <c r="AB20" s="206"/>
    </row>
    <row r="21" spans="1:28">
      <c r="A21" s="2" t="s">
        <v>466</v>
      </c>
      <c r="B21" s="2">
        <v>3</v>
      </c>
      <c r="C21" s="2">
        <v>1</v>
      </c>
      <c r="D21" s="2">
        <f>C21</f>
        <v>1</v>
      </c>
      <c r="E21" s="196">
        <f>B21*(1/D21)</f>
        <v>3</v>
      </c>
      <c r="L21" s="2" t="s">
        <v>6</v>
      </c>
      <c r="M21" s="2">
        <v>-1</v>
      </c>
      <c r="N21" s="2">
        <v>0</v>
      </c>
      <c r="O21" s="2">
        <v>1</v>
      </c>
      <c r="P21" s="2">
        <v>2</v>
      </c>
      <c r="Q21" s="2">
        <v>3</v>
      </c>
      <c r="R21" s="2" t="s">
        <v>6</v>
      </c>
      <c r="S21" s="2">
        <v>0</v>
      </c>
      <c r="T21" s="2">
        <v>1</v>
      </c>
      <c r="U21" s="2">
        <v>2</v>
      </c>
      <c r="V21" s="2">
        <v>3</v>
      </c>
      <c r="W21" s="2" t="s">
        <v>6</v>
      </c>
      <c r="X21" s="2">
        <v>-1</v>
      </c>
      <c r="Y21" s="2">
        <v>0</v>
      </c>
      <c r="Z21" s="2">
        <v>1</v>
      </c>
      <c r="AA21" s="2">
        <v>2</v>
      </c>
      <c r="AB21" s="2">
        <v>3</v>
      </c>
    </row>
    <row r="22" spans="1:28">
      <c r="E22" s="196">
        <f>SUM(E17:E21)</f>
        <v>15</v>
      </c>
      <c r="L22" s="2" t="s">
        <v>101</v>
      </c>
      <c r="O22" s="2">
        <v>500</v>
      </c>
      <c r="P22" s="11">
        <f>O28</f>
        <v>463.70000000000073</v>
      </c>
      <c r="Q22" s="11">
        <f>P28</f>
        <v>463.70000000000073</v>
      </c>
      <c r="R22" s="2" t="s">
        <v>101</v>
      </c>
      <c r="T22" s="2">
        <v>600</v>
      </c>
      <c r="U22" s="11">
        <f>T28</f>
        <v>529.79999999999973</v>
      </c>
      <c r="V22" s="11">
        <f>U28</f>
        <v>529.79999999999973</v>
      </c>
      <c r="W22" s="2" t="s">
        <v>101</v>
      </c>
      <c r="Z22" s="2">
        <v>300</v>
      </c>
      <c r="AA22" s="11">
        <f>Z28</f>
        <v>187.66740244897801</v>
      </c>
      <c r="AB22" s="11">
        <f>AA28</f>
        <v>75.334804897956019</v>
      </c>
    </row>
    <row r="23" spans="1:28">
      <c r="A23" s="189" t="s">
        <v>467</v>
      </c>
      <c r="B23" s="188" t="s">
        <v>443</v>
      </c>
      <c r="C23" s="188" t="s">
        <v>444</v>
      </c>
      <c r="D23" s="188" t="s">
        <v>449</v>
      </c>
      <c r="E23" s="188" t="s">
        <v>450</v>
      </c>
      <c r="F23" s="188" t="s">
        <v>459</v>
      </c>
      <c r="G23" s="188" t="s">
        <v>468</v>
      </c>
      <c r="L23" s="2" t="s">
        <v>266</v>
      </c>
      <c r="O23" s="11">
        <f>M29</f>
        <v>4790.3998334027501</v>
      </c>
      <c r="P23" s="11">
        <f>N29</f>
        <v>4828.1965847563515</v>
      </c>
      <c r="Q23" s="11">
        <f>O29</f>
        <v>4828.1965847563515</v>
      </c>
      <c r="R23" s="2" t="s">
        <v>266</v>
      </c>
      <c r="T23" s="11">
        <f>S29</f>
        <v>2685.131195335277</v>
      </c>
      <c r="U23" s="11">
        <f>T29</f>
        <v>2758.2257392753022</v>
      </c>
      <c r="V23" s="11">
        <f>U29</f>
        <v>2758.2257392753022</v>
      </c>
      <c r="W23" s="2" t="s">
        <v>266</v>
      </c>
      <c r="Z23" s="11">
        <f>X29</f>
        <v>2182.0776785183029</v>
      </c>
      <c r="AA23" s="11">
        <f>Y29</f>
        <v>2182.0776785183029</v>
      </c>
      <c r="AB23" s="11">
        <f>Z29</f>
        <v>2182.0776785183029</v>
      </c>
    </row>
    <row r="24" spans="1:28">
      <c r="A24" s="189" t="s">
        <v>244</v>
      </c>
      <c r="B24" s="196">
        <f>E2</f>
        <v>2.0824656393169514</v>
      </c>
      <c r="C24" s="196">
        <f>(1*E3)+(1*E10)</f>
        <v>3.6130778842149107</v>
      </c>
      <c r="D24" s="196">
        <f>(2*E6)</f>
        <v>2.0824656393169514</v>
      </c>
      <c r="E24" s="196">
        <f>(2*E7)+(1*E11)</f>
        <v>6.1224489795918373</v>
      </c>
      <c r="F24" s="196">
        <f>E14</f>
        <v>2.5510204081632653</v>
      </c>
      <c r="G24" s="196">
        <f>E22</f>
        <v>15</v>
      </c>
      <c r="L24" s="2" t="s">
        <v>280</v>
      </c>
      <c r="O24" s="2">
        <v>0</v>
      </c>
      <c r="P24" s="2">
        <v>0</v>
      </c>
      <c r="Q24" s="2">
        <v>0</v>
      </c>
      <c r="R24" s="2" t="s">
        <v>280</v>
      </c>
      <c r="T24" s="2">
        <v>0</v>
      </c>
      <c r="U24" s="2">
        <v>0</v>
      </c>
      <c r="V24" s="2">
        <v>0</v>
      </c>
      <c r="W24" s="2" t="s">
        <v>280</v>
      </c>
      <c r="Z24" s="2">
        <v>0</v>
      </c>
      <c r="AA24" s="2">
        <v>0</v>
      </c>
      <c r="AB24" s="2">
        <v>0</v>
      </c>
    </row>
    <row r="25" spans="1:28">
      <c r="A25" s="189" t="s">
        <v>377</v>
      </c>
      <c r="B25" s="196">
        <f>(3*E2)</f>
        <v>6.2473969179508542</v>
      </c>
      <c r="C25" s="196">
        <f>(3*E3)+(2*E10)</f>
        <v>8.7567680133277808</v>
      </c>
      <c r="D25" s="196">
        <f>(1*E6)</f>
        <v>1.0412328196584757</v>
      </c>
      <c r="E25" s="196">
        <f>(1*E7)+(2*E11)</f>
        <v>6.1224489795918373</v>
      </c>
      <c r="F25" s="196">
        <f>E14</f>
        <v>2.5510204081632653</v>
      </c>
      <c r="G25" s="196">
        <f>E22</f>
        <v>15</v>
      </c>
      <c r="L25" s="2" t="s">
        <v>52</v>
      </c>
      <c r="O25" s="11">
        <f>O23*(1-$D$2)</f>
        <v>189.69983340274928</v>
      </c>
      <c r="P25" s="11">
        <f>P23*(1-$D$2)</f>
        <v>191.19658475635191</v>
      </c>
      <c r="Q25" s="11">
        <f>Q23*(1-$D$2)</f>
        <v>191.19658475635191</v>
      </c>
      <c r="R25" s="2" t="s">
        <v>52</v>
      </c>
      <c r="T25" s="11">
        <f>T23*(1-$D$6)</f>
        <v>106.33119533527719</v>
      </c>
      <c r="U25" s="11">
        <f>U23*(1-$D$6)</f>
        <v>109.22573927530219</v>
      </c>
      <c r="V25" s="11">
        <f>V23*(1-$D$6)</f>
        <v>109.22573927530219</v>
      </c>
      <c r="W25" s="2" t="s">
        <v>52</v>
      </c>
      <c r="Z25" s="11">
        <f>Z23*(1-$D$10)</f>
        <v>86.410276069324965</v>
      </c>
      <c r="AA25" s="11">
        <f>AA23*(1-$D$10)</f>
        <v>86.410276069324965</v>
      </c>
      <c r="AB25" s="11">
        <f>AB23*(1-$D$10)</f>
        <v>86.410276069324965</v>
      </c>
    </row>
    <row r="26" spans="1:28">
      <c r="A26" s="189" t="s">
        <v>245</v>
      </c>
      <c r="B26" s="196">
        <f>(3*E2)</f>
        <v>6.2473969179508542</v>
      </c>
      <c r="C26" s="196">
        <f>(3*E3)+(1*E10)</f>
        <v>6.6743023740108294</v>
      </c>
      <c r="D26" s="196">
        <f>(1*E6)</f>
        <v>1.0412328196584757</v>
      </c>
      <c r="E26" s="196">
        <f>(1*E7)+(1*E11)</f>
        <v>4.0816326530612246</v>
      </c>
      <c r="F26" s="196">
        <f>E14</f>
        <v>2.5510204081632653</v>
      </c>
      <c r="G26" s="196">
        <f>E22</f>
        <v>15</v>
      </c>
      <c r="L26" s="2" t="s">
        <v>18</v>
      </c>
      <c r="O26" s="11">
        <f>O22+O23+O24-O25</f>
        <v>5100.7000000000007</v>
      </c>
      <c r="P26" s="11">
        <f>P22+P23+P24-P25</f>
        <v>5100.7000000000007</v>
      </c>
      <c r="Q26" s="11">
        <f>Q22+Q23+Q24-Q25</f>
        <v>5100.7000000000007</v>
      </c>
      <c r="R26" s="2" t="s">
        <v>18</v>
      </c>
      <c r="T26" s="11">
        <f>T22+T23+T24-T25</f>
        <v>3178.7999999999997</v>
      </c>
      <c r="U26" s="11">
        <f>U22+U23+U24-U25</f>
        <v>3178.7999999999997</v>
      </c>
      <c r="V26" s="11">
        <f>V22+V23+V24-V25</f>
        <v>3178.7999999999997</v>
      </c>
      <c r="W26" s="2" t="s">
        <v>18</v>
      </c>
      <c r="Z26" s="11">
        <f>Z22+Z23+Z24-Z25</f>
        <v>2395.667402448978</v>
      </c>
      <c r="AA26" s="11">
        <f>AA22+AA23+AA24-AA25</f>
        <v>2283.334804897956</v>
      </c>
      <c r="AB26" s="11">
        <f>AB22+AB23+AB24-AB25</f>
        <v>2171.002207346934</v>
      </c>
    </row>
    <row r="27" spans="1:28">
      <c r="L27" s="2" t="s">
        <v>19</v>
      </c>
      <c r="O27" s="2">
        <f>M32</f>
        <v>4637</v>
      </c>
      <c r="P27" s="2">
        <f>N32</f>
        <v>4637</v>
      </c>
      <c r="Q27" s="2">
        <f>O32</f>
        <v>4637</v>
      </c>
      <c r="R27" s="2" t="s">
        <v>19</v>
      </c>
      <c r="T27" s="2">
        <f>S32</f>
        <v>2649</v>
      </c>
      <c r="U27" s="2">
        <f>T32</f>
        <v>2649</v>
      </c>
      <c r="V27" s="2">
        <f>U32</f>
        <v>2649</v>
      </c>
      <c r="W27" s="2" t="s">
        <v>19</v>
      </c>
      <c r="Z27" s="2">
        <f>X32</f>
        <v>2208</v>
      </c>
      <c r="AA27" s="2">
        <f>Y32</f>
        <v>2208</v>
      </c>
      <c r="AB27" s="2">
        <f>Z32</f>
        <v>2208</v>
      </c>
    </row>
    <row r="28" spans="1:28">
      <c r="L28" s="2" t="s">
        <v>104</v>
      </c>
      <c r="O28" s="11">
        <f>O26-O27</f>
        <v>463.70000000000073</v>
      </c>
      <c r="P28" s="11">
        <f>P26-P27</f>
        <v>463.70000000000073</v>
      </c>
      <c r="Q28" s="11">
        <f>Q26-Q27</f>
        <v>463.70000000000073</v>
      </c>
      <c r="R28" s="2" t="s">
        <v>104</v>
      </c>
      <c r="T28" s="11">
        <f>T26-T27</f>
        <v>529.79999999999973</v>
      </c>
      <c r="U28" s="11">
        <f>U26-U27</f>
        <v>529.79999999999973</v>
      </c>
      <c r="V28" s="11">
        <f>V26-V27</f>
        <v>529.79999999999973</v>
      </c>
      <c r="W28" s="2" t="s">
        <v>104</v>
      </c>
      <c r="Z28" s="11">
        <f>Z26-Z27</f>
        <v>187.66740244897801</v>
      </c>
      <c r="AA28" s="11">
        <f>AA26-AA27</f>
        <v>75.334804897956019</v>
      </c>
      <c r="AB28" s="11">
        <f>AB26-AB27</f>
        <v>-36.997792653065972</v>
      </c>
    </row>
    <row r="29" spans="1:28">
      <c r="A29" s="189" t="s">
        <v>373</v>
      </c>
      <c r="B29" s="188" t="s">
        <v>244</v>
      </c>
      <c r="C29" s="188" t="s">
        <v>377</v>
      </c>
      <c r="D29" s="188" t="s">
        <v>245</v>
      </c>
      <c r="L29" s="2" t="s">
        <v>105</v>
      </c>
      <c r="M29" s="11">
        <f>M34</f>
        <v>4790.3998334027501</v>
      </c>
      <c r="N29" s="11">
        <f>N34</f>
        <v>4828.1965847563515</v>
      </c>
      <c r="O29" s="11">
        <f>O34</f>
        <v>4828.1965847563515</v>
      </c>
      <c r="R29" s="2" t="s">
        <v>105</v>
      </c>
      <c r="S29" s="11">
        <f>S34</f>
        <v>2685.131195335277</v>
      </c>
      <c r="T29" s="11">
        <f>T34</f>
        <v>2758.2257392753022</v>
      </c>
      <c r="U29" s="11">
        <f>U34</f>
        <v>2758.2257392753022</v>
      </c>
      <c r="W29" s="2" t="s">
        <v>105</v>
      </c>
      <c r="X29" s="11">
        <f>Y37</f>
        <v>2182.0776785183029</v>
      </c>
      <c r="Y29" s="11">
        <f>Y37</f>
        <v>2182.0776785183029</v>
      </c>
      <c r="Z29" s="11">
        <f>Y37</f>
        <v>2182.0776785183029</v>
      </c>
    </row>
    <row r="30" spans="1:28">
      <c r="A30" s="189" t="s">
        <v>11</v>
      </c>
      <c r="B30" s="188">
        <f>1500+2500+3800</f>
        <v>7800</v>
      </c>
      <c r="C30" s="188">
        <f>4200+2500+3500</f>
        <v>10200</v>
      </c>
      <c r="D30" s="188">
        <f>3500+1500+4200</f>
        <v>9200</v>
      </c>
    </row>
    <row r="31" spans="1:28">
      <c r="L31" s="2" t="s">
        <v>469</v>
      </c>
      <c r="M31" s="2" t="s">
        <v>470</v>
      </c>
      <c r="R31" s="2" t="s">
        <v>471</v>
      </c>
      <c r="S31" s="2" t="s">
        <v>472</v>
      </c>
      <c r="W31" s="2" t="s">
        <v>473</v>
      </c>
      <c r="X31" s="2" t="s">
        <v>474</v>
      </c>
    </row>
    <row r="32" spans="1:28">
      <c r="L32" s="2" t="s">
        <v>124</v>
      </c>
      <c r="M32" s="2">
        <f>(1*M12)+(3*S12)+(3*X12)</f>
        <v>4637</v>
      </c>
      <c r="N32" s="2">
        <f>(1*N12)+(3*T12)+(3*Y12)</f>
        <v>4637</v>
      </c>
      <c r="O32" s="2">
        <f>(1*O12)+(3*U12)+(3*Z12)</f>
        <v>4637</v>
      </c>
      <c r="R32" s="2" t="s">
        <v>124</v>
      </c>
      <c r="S32" s="2">
        <f>(2*M12)+(1*S12)+(1*X12)</f>
        <v>2649</v>
      </c>
      <c r="T32" s="2">
        <f>(2*N12)+(1*T12)+(1*Y12)</f>
        <v>2649</v>
      </c>
      <c r="U32" s="2">
        <f>(2*O12)+(1*U12)+(1*Z12)</f>
        <v>2649</v>
      </c>
      <c r="W32" s="2" t="s">
        <v>124</v>
      </c>
      <c r="X32" s="2">
        <f>(1*M12)+(2*S12)+(1*X12)</f>
        <v>2208</v>
      </c>
      <c r="Y32" s="2">
        <f>(1*N12)+(2*T12)+(1*Y12)</f>
        <v>2208</v>
      </c>
      <c r="Z32" s="2">
        <f>(1*O12)+(2*U12)+(1*Z12)</f>
        <v>2208</v>
      </c>
      <c r="AA32" s="2" t="s">
        <v>475</v>
      </c>
      <c r="AB32" s="11">
        <f>B38/3</f>
        <v>11696.4</v>
      </c>
    </row>
    <row r="33" spans="1:28">
      <c r="A33" s="189"/>
      <c r="B33" s="188" t="s">
        <v>443</v>
      </c>
      <c r="C33" s="207" t="s">
        <v>444</v>
      </c>
      <c r="D33" s="188" t="s">
        <v>449</v>
      </c>
      <c r="E33" s="188" t="s">
        <v>450</v>
      </c>
      <c r="F33" s="188" t="s">
        <v>459</v>
      </c>
      <c r="G33" s="188" t="s">
        <v>468</v>
      </c>
      <c r="L33" s="2" t="s">
        <v>107</v>
      </c>
      <c r="M33" s="11">
        <f>(M32*1.1)-O22</f>
        <v>4600.7000000000007</v>
      </c>
      <c r="N33" s="11">
        <f>(N32*1.1)-P22</f>
        <v>4637</v>
      </c>
      <c r="O33" s="11">
        <f>(O32*1.1)-Q22</f>
        <v>4637</v>
      </c>
      <c r="R33" s="2" t="s">
        <v>107</v>
      </c>
      <c r="S33" s="11">
        <f>(S32*1.2)-T22</f>
        <v>2578.7999999999997</v>
      </c>
      <c r="T33" s="11">
        <f>(T32*1.2)-U22</f>
        <v>2649</v>
      </c>
      <c r="U33" s="11">
        <f>(U32*1.2)-V22</f>
        <v>2649</v>
      </c>
      <c r="W33" s="2" t="s">
        <v>107</v>
      </c>
      <c r="X33" s="11">
        <f>(X32*1.2)-Z22</f>
        <v>2349.6</v>
      </c>
      <c r="Y33" s="11">
        <f>(Y32*1.2)-AA22</f>
        <v>2461.9325975510219</v>
      </c>
      <c r="Z33" s="11">
        <f>(Z32*1.2)-AB22</f>
        <v>2574.2651951020439</v>
      </c>
      <c r="AA33" s="2" t="s">
        <v>476</v>
      </c>
      <c r="AB33" s="11">
        <f>M29*E3</f>
        <v>7332.2446429633937</v>
      </c>
    </row>
    <row r="34" spans="1:28">
      <c r="A34" s="189" t="s">
        <v>244</v>
      </c>
      <c r="B34" s="176">
        <f>B24*B30</f>
        <v>16243.231986672221</v>
      </c>
      <c r="C34" s="208">
        <f>C24*B30</f>
        <v>28182.007496876304</v>
      </c>
      <c r="D34" s="176">
        <f>D24*B30</f>
        <v>16243.231986672221</v>
      </c>
      <c r="E34" s="176">
        <f>E24*B30</f>
        <v>47755.102040816331</v>
      </c>
      <c r="F34" s="176">
        <f>F24*B30</f>
        <v>19897.959183673469</v>
      </c>
      <c r="G34" s="176">
        <f>G24*B30</f>
        <v>117000</v>
      </c>
      <c r="L34" s="2" t="s">
        <v>107</v>
      </c>
      <c r="M34" s="11">
        <f>M33/$D$2</f>
        <v>4790.3998334027501</v>
      </c>
      <c r="N34" s="11">
        <f>N33/$D$2</f>
        <v>4828.1965847563515</v>
      </c>
      <c r="O34" s="11">
        <f>O33/$D$2</f>
        <v>4828.1965847563515</v>
      </c>
      <c r="R34" s="2" t="s">
        <v>107</v>
      </c>
      <c r="S34" s="11">
        <f>S33/$D$6</f>
        <v>2685.131195335277</v>
      </c>
      <c r="T34" s="11">
        <f>T33/$D$6</f>
        <v>2758.2257392753022</v>
      </c>
      <c r="U34" s="11">
        <f>U33/$D$6</f>
        <v>2758.2257392753022</v>
      </c>
      <c r="W34" s="2" t="s">
        <v>107</v>
      </c>
      <c r="X34" s="11">
        <f>X33/$D$10</f>
        <v>2446.4806330695546</v>
      </c>
      <c r="Y34" s="11">
        <f>Y33/$D$10</f>
        <v>2563.445020357166</v>
      </c>
      <c r="Z34" s="11">
        <f>Z33/$D$10</f>
        <v>2680.4094076447773</v>
      </c>
      <c r="AA34" s="2" t="s">
        <v>477</v>
      </c>
      <c r="AB34" s="11">
        <f>AB32-AB33</f>
        <v>4364.1553570366059</v>
      </c>
    </row>
    <row r="35" spans="1:28">
      <c r="A35" s="189" t="s">
        <v>377</v>
      </c>
      <c r="B35" s="176">
        <f>B25*C30</f>
        <v>63723.448563098711</v>
      </c>
      <c r="C35" s="208">
        <f>C25*C30</f>
        <v>89319.033735943362</v>
      </c>
      <c r="D35" s="176">
        <f>D25*C30</f>
        <v>10620.574760516452</v>
      </c>
      <c r="E35" s="176">
        <f>E25*C30</f>
        <v>62448.979591836738</v>
      </c>
      <c r="F35" s="176">
        <f>F25*C30</f>
        <v>26020.408163265307</v>
      </c>
      <c r="G35" s="176">
        <f>G25*C30</f>
        <v>153000</v>
      </c>
      <c r="AA35" s="2" t="s">
        <v>478</v>
      </c>
      <c r="AB35" s="11">
        <f>AB34/E10</f>
        <v>2095.667402448978</v>
      </c>
    </row>
    <row r="36" spans="1:28">
      <c r="A36" s="189" t="s">
        <v>245</v>
      </c>
      <c r="B36" s="176">
        <f>B26*D30</f>
        <v>57476.051645147862</v>
      </c>
      <c r="C36" s="208">
        <f>C26*D30</f>
        <v>61403.581840899627</v>
      </c>
      <c r="D36" s="176">
        <f>D26*D30</f>
        <v>9579.3419408579757</v>
      </c>
      <c r="E36" s="176">
        <f>E26*D30</f>
        <v>37551.020408163269</v>
      </c>
      <c r="F36" s="176">
        <f>F26*D30</f>
        <v>23469.387755102041</v>
      </c>
      <c r="G36" s="176">
        <f>G26*D30</f>
        <v>138000</v>
      </c>
      <c r="W36" s="2" t="s">
        <v>479</v>
      </c>
    </row>
    <row r="37" spans="1:28">
      <c r="A37" s="189" t="s">
        <v>480</v>
      </c>
      <c r="B37" s="176">
        <f t="shared" ref="B37:G37" si="0">SUM(B34:B36)</f>
        <v>137442.73219491879</v>
      </c>
      <c r="C37" s="208">
        <f t="shared" si="0"/>
        <v>178904.6230737193</v>
      </c>
      <c r="D37" s="176">
        <f t="shared" si="0"/>
        <v>36443.148688046655</v>
      </c>
      <c r="E37" s="176">
        <f t="shared" si="0"/>
        <v>147755.10204081633</v>
      </c>
      <c r="F37" s="176">
        <f t="shared" si="0"/>
        <v>69387.755102040814</v>
      </c>
      <c r="G37" s="176">
        <f t="shared" si="0"/>
        <v>408000</v>
      </c>
      <c r="W37" s="2" t="s">
        <v>481</v>
      </c>
      <c r="Y37" s="11">
        <f>AB35/D10</f>
        <v>2182.0776785183029</v>
      </c>
    </row>
    <row r="38" spans="1:28">
      <c r="A38" s="189" t="s">
        <v>18</v>
      </c>
      <c r="B38" s="2">
        <f t="shared" ref="B38:G38" si="1">(((200*60)*0.95*0.95*0.9)*3)*1.2</f>
        <v>35089.199999999997</v>
      </c>
      <c r="C38" s="209">
        <f t="shared" si="1"/>
        <v>35089.199999999997</v>
      </c>
      <c r="D38" s="2">
        <f t="shared" si="1"/>
        <v>35089.199999999997</v>
      </c>
      <c r="E38" s="2">
        <f t="shared" si="1"/>
        <v>35089.199999999997</v>
      </c>
      <c r="F38" s="2">
        <f t="shared" si="1"/>
        <v>35089.199999999997</v>
      </c>
      <c r="G38" s="2">
        <f t="shared" si="1"/>
        <v>35089.199999999997</v>
      </c>
    </row>
    <row r="39" spans="1:28">
      <c r="A39" s="189" t="s">
        <v>364</v>
      </c>
      <c r="B39" s="176">
        <f t="shared" ref="B39:G39" si="2">B37/B38</f>
        <v>3.9169525721566409</v>
      </c>
      <c r="C39" s="208">
        <f t="shared" si="2"/>
        <v>5.098566598090561</v>
      </c>
      <c r="D39" s="176">
        <f t="shared" si="2"/>
        <v>1.038585909283958</v>
      </c>
      <c r="E39" s="176">
        <f t="shared" si="2"/>
        <v>4.2108427106008781</v>
      </c>
      <c r="F39" s="176">
        <f t="shared" si="2"/>
        <v>1.9774675712766554</v>
      </c>
      <c r="G39" s="176">
        <f t="shared" si="2"/>
        <v>11.627509319106734</v>
      </c>
    </row>
    <row r="41" spans="1:28">
      <c r="B41" s="188" t="s">
        <v>244</v>
      </c>
      <c r="C41" s="188" t="s">
        <v>377</v>
      </c>
      <c r="D41" s="188" t="s">
        <v>245</v>
      </c>
    </row>
    <row r="42" spans="1:28">
      <c r="A42" s="189" t="s">
        <v>482</v>
      </c>
      <c r="B42" s="2">
        <v>1200</v>
      </c>
      <c r="C42" s="2">
        <v>2000</v>
      </c>
      <c r="D42" s="2">
        <v>1800</v>
      </c>
      <c r="L42" s="205" t="s">
        <v>483</v>
      </c>
      <c r="S42" s="205" t="s">
        <v>484</v>
      </c>
    </row>
    <row r="43" spans="1:28">
      <c r="A43" s="189" t="s">
        <v>236</v>
      </c>
      <c r="B43" s="2">
        <v>500</v>
      </c>
      <c r="C43" s="2">
        <v>700</v>
      </c>
      <c r="D43" s="2">
        <v>300</v>
      </c>
      <c r="L43" s="205" t="s">
        <v>485</v>
      </c>
      <c r="M43" s="205" t="s">
        <v>486</v>
      </c>
      <c r="N43" s="205" t="s">
        <v>487</v>
      </c>
      <c r="O43" s="205" t="s">
        <v>488</v>
      </c>
      <c r="P43" s="205"/>
      <c r="S43" s="205" t="s">
        <v>485</v>
      </c>
      <c r="T43" s="205" t="s">
        <v>486</v>
      </c>
      <c r="U43" s="205" t="s">
        <v>487</v>
      </c>
      <c r="V43" s="205" t="s">
        <v>488</v>
      </c>
      <c r="W43" s="205" t="s">
        <v>489</v>
      </c>
    </row>
    <row r="44" spans="1:28">
      <c r="A44" s="189" t="s">
        <v>490</v>
      </c>
      <c r="B44" s="2">
        <f>B42-B43</f>
        <v>700</v>
      </c>
      <c r="C44" s="2">
        <f>C42-C43</f>
        <v>1300</v>
      </c>
      <c r="D44" s="2">
        <f>D42-D43</f>
        <v>1500</v>
      </c>
      <c r="L44" s="2" t="s">
        <v>6</v>
      </c>
      <c r="M44" s="2">
        <v>-2</v>
      </c>
      <c r="N44" s="2">
        <v>-1</v>
      </c>
      <c r="O44" s="2">
        <v>0</v>
      </c>
      <c r="P44" s="2">
        <v>1</v>
      </c>
      <c r="S44" s="2" t="s">
        <v>6</v>
      </c>
      <c r="T44" s="2">
        <v>-2</v>
      </c>
      <c r="U44" s="2">
        <v>-1</v>
      </c>
      <c r="V44" s="2">
        <v>0</v>
      </c>
      <c r="W44" s="2">
        <v>1</v>
      </c>
    </row>
    <row r="45" spans="1:28">
      <c r="A45" s="189" t="s">
        <v>491</v>
      </c>
      <c r="B45" s="196">
        <f>C24</f>
        <v>3.6130778842149107</v>
      </c>
      <c r="C45" s="196">
        <f>C25</f>
        <v>8.7567680133277808</v>
      </c>
      <c r="D45" s="196">
        <f>C26</f>
        <v>6.6743023740108294</v>
      </c>
      <c r="L45" s="2" t="s">
        <v>101</v>
      </c>
      <c r="N45" s="2">
        <v>1400</v>
      </c>
      <c r="O45" s="11">
        <f>1000+N51</f>
        <v>1654.6233035554915</v>
      </c>
      <c r="P45" s="2">
        <v>1690</v>
      </c>
      <c r="S45" s="2" t="s">
        <v>101</v>
      </c>
      <c r="U45" s="2">
        <v>1400</v>
      </c>
      <c r="V45" s="11">
        <f>U51+1000</f>
        <v>1654.6233035554915</v>
      </c>
      <c r="W45" s="11">
        <f>V51+1000</f>
        <v>1782.8902680005822</v>
      </c>
    </row>
    <row r="46" spans="1:28">
      <c r="A46" s="189" t="s">
        <v>492</v>
      </c>
      <c r="B46" s="176">
        <f>B44/B45</f>
        <v>193.74063400576367</v>
      </c>
      <c r="C46" s="176">
        <f>C44/C45</f>
        <v>148.4565992865636</v>
      </c>
      <c r="D46" s="176">
        <f>D44/D45</f>
        <v>224.74258970358812</v>
      </c>
      <c r="L46" s="2" t="s">
        <v>102</v>
      </c>
      <c r="N46" s="11">
        <f>M52</f>
        <v>5980.2642671241247</v>
      </c>
      <c r="O46" s="11">
        <f>N52</f>
        <v>5717.7660160359892</v>
      </c>
      <c r="P46" s="11">
        <f>O52</f>
        <v>5681.2951949591761</v>
      </c>
      <c r="S46" s="2" t="s">
        <v>102</v>
      </c>
      <c r="U46" s="11">
        <f>T56*0.97</f>
        <v>5674.5</v>
      </c>
      <c r="V46" s="11">
        <f>U52*0.97</f>
        <v>5674.5</v>
      </c>
      <c r="W46" s="11">
        <f>V52*0.97</f>
        <v>5674.5</v>
      </c>
    </row>
    <row r="47" spans="1:28">
      <c r="L47" s="2" t="s">
        <v>137</v>
      </c>
      <c r="N47" s="2">
        <v>0</v>
      </c>
      <c r="O47" s="11">
        <v>0</v>
      </c>
      <c r="P47" s="11">
        <v>0</v>
      </c>
      <c r="S47" s="2" t="s">
        <v>493</v>
      </c>
      <c r="U47" s="11">
        <f>(U55-T56)*0.97</f>
        <v>126.35633911040092</v>
      </c>
      <c r="V47" s="2">
        <v>0</v>
      </c>
      <c r="W47" s="2">
        <v>0</v>
      </c>
    </row>
    <row r="48" spans="1:28">
      <c r="B48" s="188" t="s">
        <v>244</v>
      </c>
      <c r="C48" s="188" t="s">
        <v>377</v>
      </c>
      <c r="D48" s="188" t="s">
        <v>245</v>
      </c>
      <c r="E48" s="188" t="s">
        <v>18</v>
      </c>
      <c r="L48" s="2" t="s">
        <v>251</v>
      </c>
      <c r="N48" s="11">
        <f>N46*0.03</f>
        <v>179.40792801372373</v>
      </c>
      <c r="O48" s="11">
        <f>O46*0.03</f>
        <v>171.53298048107968</v>
      </c>
      <c r="P48" s="11">
        <f>P46*0.03</f>
        <v>170.43885584877529</v>
      </c>
      <c r="S48" s="2" t="s">
        <v>137</v>
      </c>
      <c r="U48" s="11">
        <v>0</v>
      </c>
      <c r="V48" s="11">
        <v>0</v>
      </c>
      <c r="W48" s="11">
        <v>0</v>
      </c>
    </row>
    <row r="49" spans="1:24">
      <c r="B49" s="196">
        <f>C24</f>
        <v>3.6130778842149107</v>
      </c>
      <c r="C49" s="196">
        <f>C25</f>
        <v>8.7567680133277808</v>
      </c>
      <c r="D49" s="196">
        <f>C26</f>
        <v>6.6743023740108294</v>
      </c>
      <c r="E49" s="2">
        <f>C38/3</f>
        <v>11696.4</v>
      </c>
      <c r="L49" s="2" t="s">
        <v>18</v>
      </c>
      <c r="N49" s="11">
        <f>N45+N46-N47-N48</f>
        <v>7200.8563391104008</v>
      </c>
      <c r="O49" s="11">
        <f>O45+O46-O47-O48</f>
        <v>7200.8563391104008</v>
      </c>
      <c r="P49" s="11">
        <f>P45+P46-P47-P48</f>
        <v>7200.8563391104008</v>
      </c>
      <c r="S49" s="2" t="s">
        <v>18</v>
      </c>
      <c r="U49" s="11">
        <f>U45+U46+U47-U48</f>
        <v>7200.8563391104008</v>
      </c>
      <c r="V49" s="11">
        <f t="shared" ref="V49:W49" si="3">V45+V46+V47-V48</f>
        <v>7329.1233035554915</v>
      </c>
      <c r="W49" s="11">
        <f t="shared" si="3"/>
        <v>7457.3902680005822</v>
      </c>
    </row>
    <row r="50" spans="1:24">
      <c r="C50" s="187" t="s">
        <v>494</v>
      </c>
      <c r="D50" s="11">
        <f>(5*D49)+(3*B49)+(1*C49)</f>
        <v>52.967513536026665</v>
      </c>
      <c r="E50" s="2">
        <f>C38/3</f>
        <v>11696.4</v>
      </c>
      <c r="L50" s="2" t="s">
        <v>19</v>
      </c>
      <c r="N50" s="11">
        <f>M55</f>
        <v>6546.2330355549093</v>
      </c>
      <c r="O50" s="11">
        <f>N55</f>
        <v>6546.2330355549093</v>
      </c>
      <c r="P50" s="11">
        <f>O55</f>
        <v>6546.2330355549093</v>
      </c>
      <c r="S50" s="2" t="s">
        <v>19</v>
      </c>
      <c r="U50" s="11">
        <f>M55</f>
        <v>6546.2330355549093</v>
      </c>
      <c r="V50" s="11">
        <f>N55</f>
        <v>6546.2330355549093</v>
      </c>
      <c r="W50" s="11">
        <f>O55</f>
        <v>6546.2330355549093</v>
      </c>
    </row>
    <row r="51" spans="1:24">
      <c r="C51" s="187" t="s">
        <v>494</v>
      </c>
      <c r="D51" s="11">
        <f>E50/D50</f>
        <v>220.82214586200112</v>
      </c>
      <c r="L51" s="2" t="s">
        <v>104</v>
      </c>
      <c r="N51" s="11">
        <f>N49-N50</f>
        <v>654.62330355549147</v>
      </c>
      <c r="O51" s="11">
        <f>O49-O50</f>
        <v>654.62330355549147</v>
      </c>
      <c r="P51" s="11">
        <f>P49-P50</f>
        <v>654.62330355549147</v>
      </c>
      <c r="S51" s="2" t="s">
        <v>104</v>
      </c>
      <c r="U51" s="11">
        <f>U49-U50</f>
        <v>654.62330355549147</v>
      </c>
      <c r="V51" s="11">
        <f>V49-V50</f>
        <v>782.89026800058218</v>
      </c>
      <c r="W51" s="11">
        <f>W49-W50</f>
        <v>911.15723244567289</v>
      </c>
    </row>
    <row r="52" spans="1:24">
      <c r="B52" s="188" t="s">
        <v>495</v>
      </c>
      <c r="C52" s="187" t="s">
        <v>446</v>
      </c>
      <c r="D52" s="11">
        <f>D51*3</f>
        <v>662.46643758600339</v>
      </c>
      <c r="L52" s="2" t="s">
        <v>105</v>
      </c>
      <c r="M52" s="11">
        <f>M57</f>
        <v>5980.2642671241247</v>
      </c>
      <c r="N52" s="11">
        <f>N57</f>
        <v>5717.7660160359892</v>
      </c>
      <c r="O52" s="11">
        <f>O57</f>
        <v>5681.2951949591761</v>
      </c>
      <c r="S52" s="2" t="s">
        <v>105</v>
      </c>
      <c r="T52" s="11">
        <f>U55</f>
        <v>5980.2642671241247</v>
      </c>
      <c r="U52" s="11">
        <f>T56</f>
        <v>5850</v>
      </c>
      <c r="V52" s="11">
        <f>T56</f>
        <v>5850</v>
      </c>
    </row>
    <row r="53" spans="1:24">
      <c r="C53" s="187" t="s">
        <v>447</v>
      </c>
      <c r="D53" s="11">
        <f>D51*1</f>
        <v>220.82214586200112</v>
      </c>
    </row>
    <row r="54" spans="1:24">
      <c r="C54" s="187" t="s">
        <v>448</v>
      </c>
      <c r="D54" s="11">
        <f>D51*5</f>
        <v>1104.1107293100056</v>
      </c>
      <c r="L54" s="2" t="s">
        <v>496</v>
      </c>
      <c r="M54" s="2" t="s">
        <v>281</v>
      </c>
      <c r="S54" s="2" t="s">
        <v>497</v>
      </c>
      <c r="T54" s="11">
        <f>((M55+N55+O55)-400-3000+(654))/3</f>
        <v>5630.8997022215763</v>
      </c>
      <c r="U54" s="11">
        <f>(N55*1.1)-U45</f>
        <v>5800.8563391104008</v>
      </c>
    </row>
    <row r="55" spans="1:24">
      <c r="L55" s="2" t="s">
        <v>124</v>
      </c>
      <c r="M55" s="11">
        <f>3*X29</f>
        <v>6546.2330355549093</v>
      </c>
      <c r="N55" s="11">
        <f>3*Y29</f>
        <v>6546.2330355549093</v>
      </c>
      <c r="O55" s="11">
        <f>3*Z29</f>
        <v>6546.2330355549093</v>
      </c>
      <c r="P55" s="11"/>
      <c r="S55" s="2" t="s">
        <v>497</v>
      </c>
      <c r="T55" s="11">
        <f>T54*(1/0.97)</f>
        <v>5805.0512394036878</v>
      </c>
      <c r="U55" s="11">
        <f>U54/0.97</f>
        <v>5980.2642671241247</v>
      </c>
    </row>
    <row r="56" spans="1:24">
      <c r="B56" s="188" t="s">
        <v>445</v>
      </c>
      <c r="C56" s="187" t="s">
        <v>446</v>
      </c>
      <c r="D56" s="2">
        <v>662</v>
      </c>
      <c r="E56" s="188" t="s">
        <v>168</v>
      </c>
      <c r="F56" s="187" t="s">
        <v>446</v>
      </c>
      <c r="G56" s="2">
        <v>662</v>
      </c>
      <c r="H56" s="188" t="s">
        <v>169</v>
      </c>
      <c r="I56" s="187" t="s">
        <v>446</v>
      </c>
      <c r="J56" s="2">
        <v>662</v>
      </c>
      <c r="L56" s="2" t="s">
        <v>107</v>
      </c>
      <c r="M56" s="11">
        <f>(M55*1.1)-400-1000</f>
        <v>5800.8563391104008</v>
      </c>
      <c r="N56" s="11">
        <f>(N55*1.1)-O45</f>
        <v>5546.2330355549093</v>
      </c>
      <c r="O56" s="11">
        <f>(O55*1.1)-P45</f>
        <v>5510.8563391104008</v>
      </c>
      <c r="T56" s="2">
        <v>5850</v>
      </c>
      <c r="U56" s="11"/>
    </row>
    <row r="57" spans="1:24">
      <c r="C57" s="187" t="s">
        <v>447</v>
      </c>
      <c r="D57" s="2">
        <v>221</v>
      </c>
      <c r="F57" s="187" t="s">
        <v>447</v>
      </c>
      <c r="G57" s="11">
        <v>221</v>
      </c>
      <c r="I57" s="187" t="s">
        <v>447</v>
      </c>
      <c r="J57" s="2">
        <v>221</v>
      </c>
      <c r="L57" s="2" t="s">
        <v>107</v>
      </c>
      <c r="M57" s="11">
        <f>M56/0.97</f>
        <v>5980.2642671241247</v>
      </c>
      <c r="N57" s="11">
        <f>N56/0.97</f>
        <v>5717.7660160359892</v>
      </c>
      <c r="O57" s="11">
        <f>O56/0.97</f>
        <v>5681.2951949591761</v>
      </c>
    </row>
    <row r="58" spans="1:24">
      <c r="C58" s="187" t="s">
        <v>448</v>
      </c>
      <c r="D58" s="2">
        <v>1104</v>
      </c>
      <c r="F58" s="187" t="s">
        <v>448</v>
      </c>
      <c r="G58" s="2">
        <v>1104</v>
      </c>
      <c r="I58" s="187" t="s">
        <v>448</v>
      </c>
      <c r="J58" s="2">
        <v>1104</v>
      </c>
    </row>
    <row r="60" spans="1:24">
      <c r="A60" s="189" t="s">
        <v>498</v>
      </c>
    </row>
    <row r="61" spans="1:24">
      <c r="A61" s="189" t="s">
        <v>244</v>
      </c>
      <c r="B61" s="2">
        <v>662</v>
      </c>
      <c r="C61" s="196">
        <v>6.1224489795918373</v>
      </c>
      <c r="D61" s="176">
        <f>B61*C61</f>
        <v>4053.0612244897961</v>
      </c>
    </row>
    <row r="62" spans="1:24">
      <c r="A62" s="189" t="s">
        <v>377</v>
      </c>
      <c r="B62" s="2">
        <v>221</v>
      </c>
      <c r="C62" s="196">
        <v>6.1224489795918373</v>
      </c>
      <c r="D62" s="176">
        <f>B62*C62</f>
        <v>1353.0612244897961</v>
      </c>
    </row>
    <row r="63" spans="1:24">
      <c r="A63" s="189" t="s">
        <v>245</v>
      </c>
      <c r="B63" s="2">
        <v>1104</v>
      </c>
      <c r="C63" s="196">
        <v>4.0816326530612246</v>
      </c>
      <c r="D63" s="176">
        <f>B63*C63</f>
        <v>4506.1224489795923</v>
      </c>
      <c r="E63" s="18" t="s">
        <v>18</v>
      </c>
      <c r="L63" s="210" t="s">
        <v>499</v>
      </c>
      <c r="M63" s="210"/>
      <c r="N63" s="210"/>
      <c r="O63" s="210"/>
      <c r="P63" s="210"/>
      <c r="Q63" s="210"/>
      <c r="R63" s="210"/>
      <c r="S63" s="210"/>
      <c r="U63" s="189" t="s">
        <v>500</v>
      </c>
    </row>
    <row r="64" spans="1:24">
      <c r="A64" s="189"/>
      <c r="D64" s="176">
        <f>SUM(D61:D63)</f>
        <v>9912.2448979591845</v>
      </c>
      <c r="E64" s="2">
        <f>E49*0.9</f>
        <v>10526.76</v>
      </c>
      <c r="L64" s="2" t="s">
        <v>501</v>
      </c>
      <c r="N64" s="209">
        <f>(((200*60)*0.95*0.95*0.9))</f>
        <v>9747</v>
      </c>
      <c r="O64" s="2" t="s">
        <v>502</v>
      </c>
      <c r="U64" s="211"/>
      <c r="V64" s="211" t="s">
        <v>503</v>
      </c>
      <c r="W64" s="211" t="s">
        <v>247</v>
      </c>
      <c r="X64" s="211" t="s">
        <v>504</v>
      </c>
    </row>
    <row r="65" spans="12:24">
      <c r="L65" s="2" t="s">
        <v>505</v>
      </c>
      <c r="N65" s="2">
        <f>N64*1.2</f>
        <v>11696.4</v>
      </c>
      <c r="O65" s="2" t="s">
        <v>502</v>
      </c>
      <c r="U65" s="2" t="s">
        <v>244</v>
      </c>
      <c r="V65" s="2">
        <f>(M15+N15+O15)/2</f>
        <v>1193</v>
      </c>
      <c r="W65" s="212">
        <v>0.03</v>
      </c>
      <c r="X65" s="212">
        <f>V65*W65</f>
        <v>35.79</v>
      </c>
    </row>
    <row r="66" spans="12:24">
      <c r="U66" s="2" t="s">
        <v>377</v>
      </c>
      <c r="V66" s="11">
        <f>(S15+T15+U15)/2</f>
        <v>631.5</v>
      </c>
      <c r="W66" s="212">
        <v>0.03</v>
      </c>
      <c r="X66" s="212">
        <f t="shared" ref="X66:X71" si="4">V66*W66</f>
        <v>18.945</v>
      </c>
    </row>
    <row r="67" spans="12:24">
      <c r="L67" s="2" t="s">
        <v>385</v>
      </c>
      <c r="M67" s="2" t="s">
        <v>269</v>
      </c>
      <c r="N67" s="2" t="s">
        <v>155</v>
      </c>
      <c r="O67" s="2" t="s">
        <v>156</v>
      </c>
      <c r="P67" s="2" t="s">
        <v>302</v>
      </c>
      <c r="U67" s="2" t="s">
        <v>245</v>
      </c>
      <c r="V67" s="2">
        <f>(X15+Y15+Z15)/2</f>
        <v>1831</v>
      </c>
      <c r="W67" s="212">
        <v>0.03</v>
      </c>
      <c r="X67" s="212">
        <f t="shared" si="4"/>
        <v>54.93</v>
      </c>
    </row>
    <row r="68" spans="12:24">
      <c r="M68" s="176">
        <f>$N$64/(M12+S12+X12)</f>
        <v>4.9053850025163559</v>
      </c>
      <c r="N68" s="176">
        <f>(3*N64)/(M29+N29+O29)</f>
        <v>2.0240478280611471</v>
      </c>
      <c r="O68" s="176">
        <f>(N64*3)/(S29+T29+U29)</f>
        <v>3.5652874771480803</v>
      </c>
      <c r="P68" s="176">
        <f>(N64*3)/(X29+Y29+Z29)</f>
        <v>4.4668437315295337</v>
      </c>
      <c r="U68" s="2" t="s">
        <v>155</v>
      </c>
      <c r="V68" s="11">
        <f>(O26+P26+Q26)/2</f>
        <v>7651.0500000000011</v>
      </c>
      <c r="W68" s="212">
        <v>0.05</v>
      </c>
      <c r="X68" s="212">
        <f t="shared" si="4"/>
        <v>382.55250000000007</v>
      </c>
    </row>
    <row r="69" spans="12:24">
      <c r="U69" s="2" t="s">
        <v>156</v>
      </c>
      <c r="V69" s="11">
        <f>(T26+U26+V26)/2</f>
        <v>4768.2</v>
      </c>
      <c r="W69" s="212">
        <v>0.05</v>
      </c>
      <c r="X69" s="212">
        <f t="shared" si="4"/>
        <v>238.41</v>
      </c>
    </row>
    <row r="70" spans="12:24">
      <c r="L70" s="189" t="s">
        <v>506</v>
      </c>
      <c r="M70" s="189"/>
      <c r="N70" s="189"/>
      <c r="U70" s="2" t="s">
        <v>302</v>
      </c>
      <c r="V70" s="11">
        <f>(Z26+AA26+AB26)/2</f>
        <v>3425.0022073469336</v>
      </c>
      <c r="W70" s="212">
        <v>0.03</v>
      </c>
      <c r="X70" s="212">
        <f t="shared" si="4"/>
        <v>102.750066220408</v>
      </c>
    </row>
    <row r="71" spans="12:24">
      <c r="L71" s="189" t="s">
        <v>269</v>
      </c>
      <c r="M71" s="189"/>
      <c r="N71" s="189"/>
      <c r="O71" s="189"/>
      <c r="U71" s="2" t="s">
        <v>154</v>
      </c>
      <c r="V71" s="11">
        <f>(U49+V49+W49)/2</f>
        <v>10993.684955333238</v>
      </c>
      <c r="W71" s="212">
        <v>0.03</v>
      </c>
      <c r="X71" s="212">
        <f t="shared" si="4"/>
        <v>329.8105486599971</v>
      </c>
    </row>
    <row r="72" spans="12:24">
      <c r="L72" s="188" t="s">
        <v>237</v>
      </c>
      <c r="M72" s="188" t="s">
        <v>238</v>
      </c>
      <c r="N72" s="188" t="s">
        <v>284</v>
      </c>
      <c r="O72" s="188" t="s">
        <v>507</v>
      </c>
      <c r="X72" s="212">
        <f>SUM(X65:X71)</f>
        <v>1163.1881148804052</v>
      </c>
    </row>
    <row r="73" spans="12:24">
      <c r="L73" s="2">
        <v>1</v>
      </c>
      <c r="M73" s="11">
        <v>3</v>
      </c>
    </row>
    <row r="74" spans="12:24">
      <c r="L74" s="2">
        <v>2</v>
      </c>
      <c r="M74" s="11">
        <v>3</v>
      </c>
    </row>
    <row r="75" spans="12:24">
      <c r="L75" s="2">
        <v>3</v>
      </c>
      <c r="M75" s="11">
        <v>3</v>
      </c>
    </row>
    <row r="76" spans="12:24">
      <c r="L76" s="2">
        <v>4</v>
      </c>
      <c r="M76" s="11">
        <v>3</v>
      </c>
    </row>
    <row r="77" spans="12:24">
      <c r="L77" s="2">
        <v>5</v>
      </c>
      <c r="M77" s="11">
        <v>3</v>
      </c>
    </row>
    <row r="78" spans="12:24">
      <c r="M78" s="11">
        <f>SUM(M73:M77)</f>
        <v>15</v>
      </c>
      <c r="N78" s="176">
        <f>M78/M68</f>
        <v>3.0578639581409668</v>
      </c>
      <c r="O78" s="2">
        <v>3</v>
      </c>
    </row>
    <row r="80" spans="12:24">
      <c r="L80" s="189" t="s">
        <v>508</v>
      </c>
      <c r="M80" s="189"/>
      <c r="N80" s="189"/>
      <c r="O80" s="189"/>
      <c r="P80" s="189"/>
      <c r="Q80" s="189"/>
      <c r="R80" s="189"/>
      <c r="S80" s="189"/>
    </row>
    <row r="81" spans="12:21">
      <c r="L81" s="188" t="s">
        <v>509</v>
      </c>
      <c r="M81" s="188" t="s">
        <v>443</v>
      </c>
      <c r="N81" s="188" t="s">
        <v>444</v>
      </c>
      <c r="O81" s="188" t="s">
        <v>449</v>
      </c>
      <c r="P81" s="188" t="s">
        <v>450</v>
      </c>
      <c r="Q81" s="188" t="s">
        <v>459</v>
      </c>
      <c r="R81" s="188" t="s">
        <v>510</v>
      </c>
      <c r="S81" s="188" t="s">
        <v>301</v>
      </c>
    </row>
    <row r="82" spans="12:21">
      <c r="L82" s="2" t="s">
        <v>244</v>
      </c>
      <c r="M82" s="196">
        <v>2.0824656393169514</v>
      </c>
      <c r="N82" s="196">
        <v>3.6130778842149107</v>
      </c>
      <c r="O82" s="196">
        <v>2.0824656393169514</v>
      </c>
      <c r="P82" s="196">
        <v>6.1224489795918373</v>
      </c>
      <c r="Q82" s="196">
        <v>2.5510204081632653</v>
      </c>
      <c r="R82" s="2">
        <f>15/3</f>
        <v>5</v>
      </c>
      <c r="S82" s="2">
        <f>M12*3</f>
        <v>1986</v>
      </c>
    </row>
    <row r="83" spans="12:21">
      <c r="L83" s="2" t="s">
        <v>377</v>
      </c>
      <c r="M83" s="196">
        <v>6.2473969179508542</v>
      </c>
      <c r="N83" s="196">
        <v>8.7567680133277808</v>
      </c>
      <c r="O83" s="196">
        <v>1.0412328196584757</v>
      </c>
      <c r="P83" s="196">
        <v>6.1224489795918373</v>
      </c>
      <c r="Q83" s="196">
        <v>2.5510204081632653</v>
      </c>
      <c r="R83" s="2">
        <f>15/3</f>
        <v>5</v>
      </c>
      <c r="S83" s="2">
        <f>S12*3</f>
        <v>663</v>
      </c>
    </row>
    <row r="84" spans="12:21">
      <c r="L84" s="2" t="s">
        <v>245</v>
      </c>
      <c r="M84" s="196">
        <v>6.2473969179508542</v>
      </c>
      <c r="N84" s="196">
        <v>6.6743023740108294</v>
      </c>
      <c r="O84" s="196">
        <v>1.0412328196584757</v>
      </c>
      <c r="P84" s="196">
        <v>4.0816326530612246</v>
      </c>
      <c r="Q84" s="196">
        <v>2.5510204081632653</v>
      </c>
      <c r="R84" s="2">
        <f>15/3</f>
        <v>5</v>
      </c>
      <c r="S84" s="2">
        <f>X12*3</f>
        <v>3312</v>
      </c>
    </row>
    <row r="85" spans="12:21">
      <c r="M85" s="176"/>
      <c r="N85" s="176"/>
    </row>
    <row r="86" spans="12:21">
      <c r="L86" s="2" t="s">
        <v>244</v>
      </c>
      <c r="M86" s="176">
        <f t="shared" ref="M86:R86" si="5">M82*$S$82</f>
        <v>4135.7767596834656</v>
      </c>
      <c r="N86" s="176">
        <f t="shared" si="5"/>
        <v>7175.572678050813</v>
      </c>
      <c r="O86" s="176">
        <f t="shared" si="5"/>
        <v>4135.7767596834656</v>
      </c>
      <c r="P86" s="176">
        <f t="shared" si="5"/>
        <v>12159.18367346939</v>
      </c>
      <c r="Q86" s="176">
        <f t="shared" si="5"/>
        <v>5066.3265306122448</v>
      </c>
      <c r="R86" s="176">
        <f t="shared" si="5"/>
        <v>9930</v>
      </c>
    </row>
    <row r="87" spans="12:21">
      <c r="L87" s="2" t="s">
        <v>377</v>
      </c>
      <c r="M87" s="176">
        <f t="shared" ref="M87:R87" si="6">M83*$S$83</f>
        <v>4142.0241566014165</v>
      </c>
      <c r="N87" s="176">
        <f t="shared" si="6"/>
        <v>5805.7371928363191</v>
      </c>
      <c r="O87" s="176">
        <f t="shared" si="6"/>
        <v>690.33735943356942</v>
      </c>
      <c r="P87" s="176">
        <f t="shared" si="6"/>
        <v>4059.1836734693879</v>
      </c>
      <c r="Q87" s="176">
        <f t="shared" si="6"/>
        <v>1691.3265306122448</v>
      </c>
      <c r="R87" s="176">
        <f t="shared" si="6"/>
        <v>3315</v>
      </c>
    </row>
    <row r="88" spans="12:21">
      <c r="L88" s="2" t="s">
        <v>511</v>
      </c>
      <c r="M88" s="176">
        <f t="shared" ref="M88:R88" si="7">M84*$S$84</f>
        <v>20691.37859225323</v>
      </c>
      <c r="N88" s="176">
        <f t="shared" si="7"/>
        <v>22105.289462723867</v>
      </c>
      <c r="O88" s="176">
        <f t="shared" si="7"/>
        <v>3448.5630987088716</v>
      </c>
      <c r="P88" s="176">
        <f t="shared" si="7"/>
        <v>13518.367346938776</v>
      </c>
      <c r="Q88" s="176">
        <f t="shared" si="7"/>
        <v>8448.9795918367345</v>
      </c>
      <c r="R88" s="176">
        <f t="shared" si="7"/>
        <v>16560</v>
      </c>
    </row>
    <row r="89" spans="12:21">
      <c r="L89" s="2" t="s">
        <v>480</v>
      </c>
      <c r="M89" s="176">
        <f t="shared" ref="M89:R89" si="8">SUM(M86:M88)</f>
        <v>28969.179508538113</v>
      </c>
      <c r="N89" s="176">
        <f t="shared" si="8"/>
        <v>35086.599333610997</v>
      </c>
      <c r="O89" s="176">
        <f t="shared" si="8"/>
        <v>8274.6772178259071</v>
      </c>
      <c r="P89" s="176">
        <f t="shared" si="8"/>
        <v>29736.734693877552</v>
      </c>
      <c r="Q89" s="176">
        <f t="shared" si="8"/>
        <v>15206.632653061224</v>
      </c>
      <c r="R89" s="176">
        <f t="shared" si="8"/>
        <v>29805</v>
      </c>
    </row>
    <row r="90" spans="12:21">
      <c r="L90" s="2" t="s">
        <v>18</v>
      </c>
      <c r="M90" s="2">
        <f t="shared" ref="M90:R90" si="9">$N$64*3</f>
        <v>29241</v>
      </c>
      <c r="N90" s="2">
        <f t="shared" si="9"/>
        <v>29241</v>
      </c>
      <c r="O90" s="2">
        <f t="shared" si="9"/>
        <v>29241</v>
      </c>
      <c r="P90" s="2">
        <f t="shared" si="9"/>
        <v>29241</v>
      </c>
      <c r="Q90" s="2">
        <f t="shared" si="9"/>
        <v>29241</v>
      </c>
      <c r="R90" s="2">
        <f t="shared" si="9"/>
        <v>29241</v>
      </c>
    </row>
    <row r="91" spans="12:21">
      <c r="L91" s="2" t="s">
        <v>512</v>
      </c>
      <c r="M91" s="176">
        <v>0</v>
      </c>
      <c r="N91" s="176">
        <f>N89-N90</f>
        <v>5845.5993336109968</v>
      </c>
      <c r="O91" s="176">
        <v>0</v>
      </c>
      <c r="P91" s="176">
        <f>P89-P90</f>
        <v>495.73469387755176</v>
      </c>
      <c r="Q91" s="176">
        <v>0</v>
      </c>
      <c r="R91" s="176">
        <f>R89-R90</f>
        <v>564</v>
      </c>
    </row>
    <row r="93" spans="12:21">
      <c r="L93" s="213" t="s">
        <v>513</v>
      </c>
      <c r="M93" s="214"/>
      <c r="N93" s="214"/>
      <c r="O93" s="214"/>
      <c r="P93" s="214"/>
      <c r="Q93" s="214"/>
      <c r="R93" s="214"/>
      <c r="S93" s="214"/>
      <c r="T93" s="215" t="s">
        <v>514</v>
      </c>
      <c r="U93" s="215"/>
    </row>
    <row r="94" spans="12:21" ht="28">
      <c r="L94" s="18" t="s">
        <v>393</v>
      </c>
      <c r="M94" s="19" t="s">
        <v>515</v>
      </c>
      <c r="N94" s="19" t="s">
        <v>516</v>
      </c>
      <c r="O94" s="19" t="s">
        <v>517</v>
      </c>
      <c r="P94" s="19" t="s">
        <v>518</v>
      </c>
      <c r="Q94" s="19" t="s">
        <v>519</v>
      </c>
      <c r="R94" s="19" t="s">
        <v>520</v>
      </c>
      <c r="S94" s="18" t="s">
        <v>213</v>
      </c>
      <c r="T94" s="212">
        <f>2*350</f>
        <v>700</v>
      </c>
    </row>
    <row r="95" spans="12:21">
      <c r="L95" s="18" t="s">
        <v>468</v>
      </c>
      <c r="M95" s="2">
        <v>3</v>
      </c>
      <c r="N95" s="2">
        <v>3</v>
      </c>
      <c r="O95" s="2">
        <f t="shared" ref="O95:O100" si="10">200*3</f>
        <v>600</v>
      </c>
      <c r="P95" s="2">
        <f>R91/60</f>
        <v>9.4</v>
      </c>
      <c r="Q95" s="212">
        <v>3</v>
      </c>
      <c r="R95" s="212">
        <v>4.5</v>
      </c>
      <c r="S95" s="212">
        <f t="shared" ref="S95:S100" si="11">(O95*Q95)+(P95*R95)</f>
        <v>1842.3</v>
      </c>
    </row>
    <row r="96" spans="12:21">
      <c r="L96" s="18" t="s">
        <v>443</v>
      </c>
      <c r="M96" s="2">
        <v>1</v>
      </c>
      <c r="N96" s="2">
        <v>2</v>
      </c>
      <c r="O96" s="2">
        <f t="shared" si="10"/>
        <v>600</v>
      </c>
      <c r="P96" s="2">
        <v>0</v>
      </c>
      <c r="Q96" s="212">
        <v>3</v>
      </c>
      <c r="R96" s="212">
        <v>4.5</v>
      </c>
      <c r="S96" s="212">
        <f t="shared" si="11"/>
        <v>1800</v>
      </c>
    </row>
    <row r="97" spans="12:23">
      <c r="L97" s="18" t="s">
        <v>444</v>
      </c>
      <c r="M97" s="2">
        <v>1</v>
      </c>
      <c r="N97" s="2">
        <v>2</v>
      </c>
      <c r="O97" s="2">
        <f t="shared" si="10"/>
        <v>600</v>
      </c>
      <c r="P97" s="11">
        <f>N91/60</f>
        <v>97.426655560183278</v>
      </c>
      <c r="Q97" s="212">
        <v>3</v>
      </c>
      <c r="R97" s="212">
        <v>4.5</v>
      </c>
      <c r="S97" s="212">
        <f t="shared" si="11"/>
        <v>2238.4199500208247</v>
      </c>
    </row>
    <row r="98" spans="12:23">
      <c r="L98" s="18" t="s">
        <v>449</v>
      </c>
      <c r="M98" s="2">
        <v>1</v>
      </c>
      <c r="N98" s="2">
        <v>2</v>
      </c>
      <c r="O98" s="2">
        <f t="shared" si="10"/>
        <v>600</v>
      </c>
      <c r="P98" s="2">
        <v>0</v>
      </c>
      <c r="Q98" s="212">
        <v>3</v>
      </c>
      <c r="R98" s="212">
        <v>4.5</v>
      </c>
      <c r="S98" s="212">
        <f t="shared" si="11"/>
        <v>1800</v>
      </c>
    </row>
    <row r="99" spans="12:23">
      <c r="L99" s="18" t="s">
        <v>450</v>
      </c>
      <c r="M99" s="2">
        <v>1</v>
      </c>
      <c r="N99" s="2">
        <v>2</v>
      </c>
      <c r="O99" s="2">
        <f t="shared" si="10"/>
        <v>600</v>
      </c>
      <c r="P99" s="11">
        <f>P91/60</f>
        <v>8.2622448979591958</v>
      </c>
      <c r="Q99" s="212">
        <v>3</v>
      </c>
      <c r="R99" s="212">
        <v>4.5</v>
      </c>
      <c r="S99" s="212">
        <f t="shared" si="11"/>
        <v>1837.1801020408163</v>
      </c>
    </row>
    <row r="100" spans="12:23">
      <c r="L100" s="18" t="s">
        <v>459</v>
      </c>
      <c r="M100" s="2">
        <v>1</v>
      </c>
      <c r="N100" s="2">
        <v>2</v>
      </c>
      <c r="O100" s="2">
        <f t="shared" si="10"/>
        <v>600</v>
      </c>
      <c r="P100" s="2">
        <v>0</v>
      </c>
      <c r="Q100" s="212">
        <v>3</v>
      </c>
      <c r="R100" s="212">
        <v>4.5</v>
      </c>
      <c r="S100" s="212">
        <f t="shared" si="11"/>
        <v>1800</v>
      </c>
    </row>
    <row r="101" spans="12:23">
      <c r="S101" s="212">
        <f>SUM(S95:S100)</f>
        <v>11317.900052061641</v>
      </c>
    </row>
    <row r="102" spans="12:23">
      <c r="L102" s="216" t="s">
        <v>322</v>
      </c>
      <c r="M102" s="216"/>
      <c r="N102" s="216"/>
      <c r="O102" s="216"/>
      <c r="P102" s="216"/>
      <c r="Q102" s="215"/>
      <c r="R102" s="215"/>
      <c r="S102" s="215"/>
      <c r="T102" s="215"/>
      <c r="U102" s="215"/>
      <c r="V102" s="217" t="s">
        <v>521</v>
      </c>
      <c r="W102" s="215"/>
    </row>
    <row r="103" spans="12:23" ht="28">
      <c r="L103" s="18" t="s">
        <v>279</v>
      </c>
      <c r="M103" s="18" t="s">
        <v>522</v>
      </c>
      <c r="N103" s="19" t="s">
        <v>523</v>
      </c>
      <c r="O103" s="19" t="s">
        <v>524</v>
      </c>
      <c r="P103" s="18" t="s">
        <v>525</v>
      </c>
      <c r="Q103" s="2" t="s">
        <v>445</v>
      </c>
      <c r="R103" s="2" t="s">
        <v>168</v>
      </c>
      <c r="S103" s="2" t="s">
        <v>169</v>
      </c>
      <c r="T103" s="2" t="s">
        <v>252</v>
      </c>
      <c r="U103" s="2" t="s">
        <v>526</v>
      </c>
      <c r="V103" s="2" t="s">
        <v>252</v>
      </c>
      <c r="W103" s="218">
        <f>T107</f>
        <v>11980800</v>
      </c>
    </row>
    <row r="104" spans="12:23">
      <c r="L104" s="18" t="s">
        <v>400</v>
      </c>
      <c r="M104" s="2">
        <v>1</v>
      </c>
      <c r="N104" s="2">
        <v>3</v>
      </c>
      <c r="O104" s="2">
        <f>N104-M104</f>
        <v>2</v>
      </c>
      <c r="P104" s="212">
        <v>350</v>
      </c>
      <c r="Q104" s="2">
        <f>M16</f>
        <v>1062</v>
      </c>
      <c r="R104" s="2">
        <f>N16</f>
        <v>662</v>
      </c>
      <c r="S104" s="2">
        <f>O16</f>
        <v>662</v>
      </c>
      <c r="T104" s="218">
        <f>(Q104+R104+S104)*1200</f>
        <v>2863200</v>
      </c>
      <c r="U104" s="218">
        <f>(Q104+R104+S104)*500</f>
        <v>1193000</v>
      </c>
      <c r="V104" s="2" t="s">
        <v>526</v>
      </c>
      <c r="W104" s="218">
        <f>U107</f>
        <v>3175700</v>
      </c>
    </row>
    <row r="105" spans="12:23">
      <c r="L105" s="18" t="s">
        <v>411</v>
      </c>
      <c r="M105" s="2">
        <v>1</v>
      </c>
      <c r="N105" s="2">
        <v>3</v>
      </c>
      <c r="O105" s="2">
        <f>N105-M105</f>
        <v>2</v>
      </c>
      <c r="P105" s="212">
        <v>350</v>
      </c>
      <c r="Q105" s="2">
        <f>S16</f>
        <v>821</v>
      </c>
      <c r="R105" s="2">
        <f>T16</f>
        <v>221</v>
      </c>
      <c r="S105" s="2">
        <f>U16</f>
        <v>221</v>
      </c>
      <c r="T105" s="218">
        <f>(Q105+R105+S105)*2000</f>
        <v>2526000</v>
      </c>
      <c r="U105" s="218">
        <f>(Q105+R105+S105)*700</f>
        <v>884100</v>
      </c>
      <c r="V105" s="2" t="s">
        <v>527</v>
      </c>
      <c r="W105" s="218">
        <f>W103-W104</f>
        <v>8805100</v>
      </c>
    </row>
    <row r="106" spans="12:23">
      <c r="L106" s="18" t="s">
        <v>407</v>
      </c>
      <c r="M106" s="2">
        <v>1</v>
      </c>
      <c r="N106" s="2">
        <v>3</v>
      </c>
      <c r="O106" s="2">
        <f>N106-M106</f>
        <v>2</v>
      </c>
      <c r="P106" s="212">
        <v>350</v>
      </c>
      <c r="Q106" s="2">
        <f>X16</f>
        <v>1454</v>
      </c>
      <c r="R106" s="2">
        <f>Y16</f>
        <v>1104</v>
      </c>
      <c r="S106" s="2">
        <f>Z16</f>
        <v>1104</v>
      </c>
      <c r="T106" s="218">
        <f>(Q106+R106+S106)*1800</f>
        <v>6591600</v>
      </c>
      <c r="U106" s="218">
        <f>(Q106+R106+S106)*300</f>
        <v>1098600</v>
      </c>
      <c r="V106" s="2" t="s">
        <v>528</v>
      </c>
      <c r="W106" s="218">
        <f>S101</f>
        <v>11317.900052061641</v>
      </c>
    </row>
    <row r="107" spans="12:23">
      <c r="L107" s="18" t="s">
        <v>460</v>
      </c>
      <c r="M107" s="2">
        <v>1</v>
      </c>
      <c r="N107" s="2">
        <v>3</v>
      </c>
      <c r="O107" s="2">
        <f>N107-M107</f>
        <v>2</v>
      </c>
      <c r="P107" s="212">
        <v>350</v>
      </c>
      <c r="T107" s="218">
        <f>SUM(T104:T106)</f>
        <v>11980800</v>
      </c>
      <c r="U107" s="218">
        <f>SUM(U104:U106)</f>
        <v>3175700</v>
      </c>
      <c r="V107" s="2" t="s">
        <v>259</v>
      </c>
      <c r="W107" s="218">
        <f>AD11+X72</f>
        <v>1163.1881148804052</v>
      </c>
    </row>
    <row r="108" spans="12:23">
      <c r="L108" s="18" t="s">
        <v>466</v>
      </c>
      <c r="M108" s="2">
        <v>1</v>
      </c>
      <c r="N108" s="2">
        <v>3</v>
      </c>
      <c r="O108" s="2">
        <f>N108-M108</f>
        <v>2</v>
      </c>
      <c r="P108" s="212">
        <v>350</v>
      </c>
      <c r="V108" s="2" t="s">
        <v>529</v>
      </c>
      <c r="W108" s="218">
        <f>(10500*3)+700</f>
        <v>32200</v>
      </c>
    </row>
    <row r="109" spans="12:23">
      <c r="P109" s="212">
        <f>SUM(P104:P108)</f>
        <v>1750</v>
      </c>
      <c r="Q109" s="204"/>
      <c r="R109" s="204"/>
      <c r="S109" s="204"/>
      <c r="V109" s="2" t="s">
        <v>264</v>
      </c>
      <c r="W109" s="212">
        <f>W105-W106-W107-W108</f>
        <v>8760418.911833059</v>
      </c>
    </row>
  </sheetData>
  <pageMargins left="0.75" right="0.75" top="1" bottom="1" header="0.5" footer="0.5"/>
  <pageSetup scale="65" orientation="landscape" horizontalDpi="4294967292" verticalDpi="429496729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9D3D9-7343-354E-80BA-A57FBC696EF4}">
  <dimension ref="B2:P74"/>
  <sheetViews>
    <sheetView topLeftCell="A46" workbookViewId="0">
      <selection activeCell="H82" sqref="H82"/>
    </sheetView>
  </sheetViews>
  <sheetFormatPr baseColWidth="10" defaultRowHeight="16"/>
  <cols>
    <col min="2" max="2" width="22.1640625" customWidth="1"/>
    <col min="3" max="3" width="11.83203125" bestFit="1" customWidth="1"/>
    <col min="6" max="6" width="12" customWidth="1"/>
    <col min="7" max="7" width="16.6640625" customWidth="1"/>
    <col min="8" max="8" width="11.33203125" bestFit="1" customWidth="1"/>
    <col min="11" max="11" width="3.5" customWidth="1"/>
    <col min="12" max="12" width="23.83203125" bestFit="1" customWidth="1"/>
  </cols>
  <sheetData>
    <row r="2" spans="2:15">
      <c r="B2" s="36" t="s">
        <v>530</v>
      </c>
      <c r="C2" s="219">
        <v>0.1</v>
      </c>
      <c r="G2" s="220" t="s">
        <v>531</v>
      </c>
      <c r="H2" s="220" t="s">
        <v>532</v>
      </c>
      <c r="I2" s="220" t="s">
        <v>533</v>
      </c>
      <c r="J2" s="220" t="s">
        <v>534</v>
      </c>
    </row>
    <row r="3" spans="2:15">
      <c r="B3" s="36" t="s">
        <v>535</v>
      </c>
      <c r="C3" s="219">
        <v>0.05</v>
      </c>
      <c r="E3">
        <f>D11*1.1</f>
        <v>1320</v>
      </c>
      <c r="G3" s="220" t="s">
        <v>536</v>
      </c>
      <c r="H3" s="37">
        <f>+(10*7)/100</f>
        <v>0.7</v>
      </c>
      <c r="I3" s="37">
        <v>1.5</v>
      </c>
      <c r="J3" s="221">
        <f>10/1000</f>
        <v>0.01</v>
      </c>
    </row>
    <row r="4" spans="2:15">
      <c r="B4" s="36" t="s">
        <v>537</v>
      </c>
      <c r="C4" s="219">
        <v>0.03</v>
      </c>
      <c r="E4">
        <f>D12*0.95</f>
        <v>95.000000000000213</v>
      </c>
      <c r="G4" s="220" t="s">
        <v>538</v>
      </c>
      <c r="H4" s="37">
        <f>+(10*7.5)/100</f>
        <v>0.75</v>
      </c>
      <c r="I4" s="37">
        <v>1.5</v>
      </c>
      <c r="J4" s="221">
        <f>10.5/1000</f>
        <v>1.0500000000000001E-2</v>
      </c>
    </row>
    <row r="5" spans="2:15">
      <c r="B5" s="36" t="s">
        <v>539</v>
      </c>
      <c r="C5" s="219">
        <v>0.05</v>
      </c>
      <c r="E5">
        <f>E3-E4</f>
        <v>1224.9999999999998</v>
      </c>
      <c r="G5" s="220" t="s">
        <v>540</v>
      </c>
      <c r="H5" s="37">
        <f>+(10*7)/100</f>
        <v>0.7</v>
      </c>
      <c r="I5" s="37">
        <v>1.5</v>
      </c>
      <c r="J5" s="221">
        <f>10/1000</f>
        <v>0.01</v>
      </c>
    </row>
    <row r="6" spans="2:15">
      <c r="B6" s="36" t="s">
        <v>541</v>
      </c>
      <c r="C6" s="219">
        <v>7.0000000000000007E-2</v>
      </c>
      <c r="E6">
        <f>E5/0.95</f>
        <v>1289.4736842105262</v>
      </c>
    </row>
    <row r="8" spans="2:15">
      <c r="B8" s="445" t="s">
        <v>542</v>
      </c>
      <c r="C8" s="446"/>
      <c r="D8" s="446"/>
      <c r="E8" s="446"/>
      <c r="F8" s="446"/>
      <c r="G8" s="446"/>
      <c r="H8" s="446"/>
      <c r="I8" s="446"/>
      <c r="J8" s="446"/>
      <c r="K8" s="446"/>
      <c r="L8" s="446"/>
      <c r="M8" s="446"/>
      <c r="N8" s="446"/>
      <c r="O8" s="447"/>
    </row>
    <row r="9" spans="2:15">
      <c r="B9" s="33" t="s">
        <v>536</v>
      </c>
      <c r="G9" s="33" t="s">
        <v>538</v>
      </c>
      <c r="L9" s="33" t="s">
        <v>540</v>
      </c>
    </row>
    <row r="10" spans="2:15">
      <c r="B10" s="34" t="s">
        <v>6</v>
      </c>
      <c r="C10" s="35">
        <v>1</v>
      </c>
      <c r="D10" s="35">
        <v>2</v>
      </c>
      <c r="E10" s="35">
        <v>3</v>
      </c>
      <c r="G10" s="34" t="s">
        <v>6</v>
      </c>
      <c r="H10" s="35">
        <v>1</v>
      </c>
      <c r="I10" s="35">
        <v>2</v>
      </c>
      <c r="J10" s="35">
        <v>3</v>
      </c>
      <c r="L10" s="34" t="s">
        <v>6</v>
      </c>
      <c r="M10" s="35">
        <v>1</v>
      </c>
      <c r="N10" s="35">
        <v>2</v>
      </c>
      <c r="O10" s="35">
        <v>3</v>
      </c>
    </row>
    <row r="11" spans="2:15">
      <c r="B11" s="36" t="s">
        <v>11</v>
      </c>
      <c r="C11" s="37">
        <v>1000</v>
      </c>
      <c r="D11" s="37">
        <v>1200</v>
      </c>
      <c r="E11" s="37">
        <v>900</v>
      </c>
      <c r="G11" s="36" t="s">
        <v>11</v>
      </c>
      <c r="H11" s="37">
        <v>500</v>
      </c>
      <c r="I11" s="37">
        <v>700</v>
      </c>
      <c r="J11" s="37">
        <v>600</v>
      </c>
      <c r="L11" s="36" t="s">
        <v>11</v>
      </c>
      <c r="M11" s="37">
        <v>850</v>
      </c>
      <c r="N11" s="37">
        <v>1050</v>
      </c>
      <c r="O11" s="37">
        <v>920</v>
      </c>
    </row>
    <row r="12" spans="2:15">
      <c r="B12" s="36" t="s">
        <v>13</v>
      </c>
      <c r="C12" s="37">
        <v>0</v>
      </c>
      <c r="D12" s="38">
        <f>+C17</f>
        <v>100.00000000000023</v>
      </c>
      <c r="E12" s="38">
        <f>+D17</f>
        <v>120.00000000000023</v>
      </c>
      <c r="G12" s="36" t="s">
        <v>13</v>
      </c>
      <c r="H12" s="37">
        <v>0</v>
      </c>
      <c r="I12" s="38">
        <f t="shared" ref="I12:J12" si="0">+H17</f>
        <v>50.000000000000114</v>
      </c>
      <c r="J12" s="38">
        <f t="shared" si="0"/>
        <v>70.000000000000227</v>
      </c>
      <c r="L12" s="36" t="s">
        <v>13</v>
      </c>
      <c r="M12" s="37">
        <v>0</v>
      </c>
      <c r="N12" s="38">
        <f t="shared" ref="N12:O12" si="1">+M17</f>
        <v>85.000000000000114</v>
      </c>
      <c r="O12" s="38">
        <f t="shared" si="1"/>
        <v>105.00000000000023</v>
      </c>
    </row>
    <row r="13" spans="2:15">
      <c r="B13" s="36" t="s">
        <v>15</v>
      </c>
      <c r="C13" s="38">
        <f>((C11*1.1)-(C12*0.95))/0.95</f>
        <v>1157.8947368421054</v>
      </c>
      <c r="D13" s="38">
        <f t="shared" ref="D13:E13" si="2">((D11*1.1)-(D12*0.95))/0.95</f>
        <v>1289.4736842105262</v>
      </c>
      <c r="E13" s="38">
        <f t="shared" si="2"/>
        <v>922.10526315789468</v>
      </c>
      <c r="G13" s="36" t="s">
        <v>15</v>
      </c>
      <c r="H13" s="38">
        <f t="shared" ref="H13:J13" si="3">((H11*1.1)-(H12*0.95))/0.95</f>
        <v>578.94736842105272</v>
      </c>
      <c r="I13" s="38">
        <f t="shared" si="3"/>
        <v>760.52631578947376</v>
      </c>
      <c r="J13" s="38">
        <f t="shared" si="3"/>
        <v>624.73684210526289</v>
      </c>
      <c r="L13" s="36" t="s">
        <v>15</v>
      </c>
      <c r="M13" s="38">
        <f t="shared" ref="M13:O13" si="4">((M11*1.1)-(M12*0.95))/0.95</f>
        <v>984.21052631578959</v>
      </c>
      <c r="N13" s="38">
        <f t="shared" si="4"/>
        <v>1130.7894736842106</v>
      </c>
      <c r="O13" s="38">
        <f t="shared" si="4"/>
        <v>960.26315789473676</v>
      </c>
    </row>
    <row r="14" spans="2:15">
      <c r="B14" s="36" t="s">
        <v>137</v>
      </c>
      <c r="C14" s="38">
        <f>(C13+C12)*$C$3</f>
        <v>57.894736842105274</v>
      </c>
      <c r="D14" s="38">
        <f>(D13+D12)*$C$3</f>
        <v>69.473684210526329</v>
      </c>
      <c r="E14" s="38">
        <f>(E13+E12)*$C$3</f>
        <v>52.105263157894754</v>
      </c>
      <c r="G14" s="36" t="s">
        <v>137</v>
      </c>
      <c r="H14" s="38">
        <f>(H13+H12)*$C$3</f>
        <v>28.947368421052637</v>
      </c>
      <c r="I14" s="38">
        <f>(I13+I12)*$C$3</f>
        <v>40.526315789473699</v>
      </c>
      <c r="J14" s="38">
        <f>(J13+J12)*$C$3</f>
        <v>34.736842105263158</v>
      </c>
      <c r="L14" s="36" t="s">
        <v>137</v>
      </c>
      <c r="M14" s="38">
        <f>(M13+M12)*$C$3</f>
        <v>49.21052631578948</v>
      </c>
      <c r="N14" s="38">
        <f>(N13+N12)*$C$3</f>
        <v>60.789473684210549</v>
      </c>
      <c r="O14" s="38">
        <f>(O13+O12)*$C$3</f>
        <v>53.263157894736857</v>
      </c>
    </row>
    <row r="15" spans="2:15">
      <c r="B15" s="36" t="s">
        <v>18</v>
      </c>
      <c r="C15" s="38">
        <f>+C12+C13-C14</f>
        <v>1100.0000000000002</v>
      </c>
      <c r="D15" s="38">
        <f t="shared" ref="D15:E15" si="5">+D12+D13-D14</f>
        <v>1320.0000000000002</v>
      </c>
      <c r="E15" s="38">
        <f t="shared" si="5"/>
        <v>990.00000000000023</v>
      </c>
      <c r="G15" s="36" t="s">
        <v>18</v>
      </c>
      <c r="H15" s="38">
        <f t="shared" ref="H15:J15" si="6">+H12+H13-H14</f>
        <v>550.00000000000011</v>
      </c>
      <c r="I15" s="38">
        <f t="shared" si="6"/>
        <v>770.00000000000023</v>
      </c>
      <c r="J15" s="38">
        <f t="shared" si="6"/>
        <v>660</v>
      </c>
      <c r="L15" s="36" t="s">
        <v>18</v>
      </c>
      <c r="M15" s="38">
        <f t="shared" ref="M15:O15" si="7">+M12+M13-M14</f>
        <v>935.00000000000011</v>
      </c>
      <c r="N15" s="38">
        <f t="shared" si="7"/>
        <v>1155.0000000000002</v>
      </c>
      <c r="O15" s="38">
        <f t="shared" si="7"/>
        <v>1012.0000000000002</v>
      </c>
    </row>
    <row r="16" spans="2:15">
      <c r="B16" s="36" t="s">
        <v>19</v>
      </c>
      <c r="C16" s="38">
        <f>C11</f>
        <v>1000</v>
      </c>
      <c r="D16" s="38">
        <f t="shared" ref="D16:E16" si="8">D11</f>
        <v>1200</v>
      </c>
      <c r="E16" s="38">
        <f t="shared" si="8"/>
        <v>900</v>
      </c>
      <c r="G16" s="36" t="s">
        <v>19</v>
      </c>
      <c r="H16" s="38">
        <f t="shared" ref="H16:J16" si="9">H11</f>
        <v>500</v>
      </c>
      <c r="I16" s="38">
        <f t="shared" si="9"/>
        <v>700</v>
      </c>
      <c r="J16" s="38">
        <f t="shared" si="9"/>
        <v>600</v>
      </c>
      <c r="L16" s="36" t="s">
        <v>19</v>
      </c>
      <c r="M16" s="38">
        <f t="shared" ref="M16:O16" si="10">M11</f>
        <v>850</v>
      </c>
      <c r="N16" s="38">
        <f t="shared" si="10"/>
        <v>1050</v>
      </c>
      <c r="O16" s="38">
        <f t="shared" si="10"/>
        <v>920</v>
      </c>
    </row>
    <row r="17" spans="2:16">
      <c r="B17" s="36" t="s">
        <v>20</v>
      </c>
      <c r="C17" s="38">
        <f>+C15-C16</f>
        <v>100.00000000000023</v>
      </c>
      <c r="D17" s="38">
        <f t="shared" ref="D17:E17" si="11">+D15-D16</f>
        <v>120.00000000000023</v>
      </c>
      <c r="E17" s="38">
        <f t="shared" si="11"/>
        <v>90.000000000000227</v>
      </c>
      <c r="G17" s="36" t="s">
        <v>20</v>
      </c>
      <c r="H17" s="38">
        <f t="shared" ref="H17:J17" si="12">+H15-H16</f>
        <v>50.000000000000114</v>
      </c>
      <c r="I17" s="38">
        <f t="shared" si="12"/>
        <v>70.000000000000227</v>
      </c>
      <c r="J17" s="38">
        <f t="shared" si="12"/>
        <v>60</v>
      </c>
      <c r="L17" s="36" t="s">
        <v>20</v>
      </c>
      <c r="M17" s="38">
        <f t="shared" ref="M17:O17" si="13">+M15-M16</f>
        <v>85.000000000000114</v>
      </c>
      <c r="N17" s="38">
        <f t="shared" si="13"/>
        <v>105.00000000000023</v>
      </c>
      <c r="O17" s="38">
        <f t="shared" si="13"/>
        <v>92.000000000000227</v>
      </c>
    </row>
    <row r="18" spans="2:16">
      <c r="C18" s="48"/>
      <c r="D18" s="48"/>
      <c r="E18" s="48"/>
      <c r="H18" s="48"/>
      <c r="I18" s="48"/>
      <c r="J18" s="48"/>
      <c r="M18" s="48"/>
      <c r="N18" s="48"/>
      <c r="O18" s="48"/>
    </row>
    <row r="19" spans="2:16">
      <c r="B19" s="448" t="s">
        <v>543</v>
      </c>
      <c r="C19" s="449"/>
      <c r="D19" s="449"/>
      <c r="E19" s="449"/>
      <c r="F19" s="449"/>
      <c r="G19" s="449"/>
      <c r="H19" s="449"/>
      <c r="I19" s="449"/>
      <c r="J19" s="449"/>
      <c r="K19" s="449"/>
      <c r="L19" s="449"/>
      <c r="M19" s="449"/>
      <c r="N19" s="449"/>
      <c r="O19" s="449"/>
      <c r="P19" s="450"/>
    </row>
    <row r="21" spans="2:16">
      <c r="B21" s="36"/>
      <c r="C21" s="451" t="s">
        <v>396</v>
      </c>
      <c r="D21" s="452"/>
      <c r="E21" s="452"/>
      <c r="F21" s="452"/>
      <c r="G21" s="452"/>
      <c r="H21" s="452"/>
      <c r="I21" s="453"/>
      <c r="L21" s="36"/>
      <c r="M21" s="444" t="s">
        <v>396</v>
      </c>
      <c r="N21" s="444"/>
      <c r="O21" s="444"/>
      <c r="P21" s="444"/>
    </row>
    <row r="22" spans="2:16">
      <c r="B22" s="222" t="s">
        <v>544</v>
      </c>
      <c r="C22" s="36">
        <v>-3</v>
      </c>
      <c r="D22" s="36">
        <v>-2</v>
      </c>
      <c r="E22" s="36">
        <v>-1</v>
      </c>
      <c r="F22" s="36">
        <v>0</v>
      </c>
      <c r="G22" s="36">
        <v>1</v>
      </c>
      <c r="H22" s="223">
        <v>2</v>
      </c>
      <c r="I22" s="36">
        <v>3</v>
      </c>
      <c r="L22" s="222" t="s">
        <v>545</v>
      </c>
      <c r="M22" s="36">
        <v>0</v>
      </c>
      <c r="N22" s="36">
        <v>1</v>
      </c>
      <c r="O22" s="36">
        <v>2</v>
      </c>
      <c r="P22" s="36">
        <v>3</v>
      </c>
    </row>
    <row r="23" spans="2:16">
      <c r="B23" s="36" t="s">
        <v>220</v>
      </c>
      <c r="C23" s="36"/>
      <c r="D23" s="36"/>
      <c r="E23" s="36"/>
      <c r="F23" s="36"/>
      <c r="G23" s="36">
        <v>200</v>
      </c>
      <c r="H23" s="157">
        <f>G28</f>
        <v>193.3684210526319</v>
      </c>
      <c r="I23" s="157">
        <f>H28</f>
        <v>226.45789473684272</v>
      </c>
      <c r="L23" s="36" t="s">
        <v>220</v>
      </c>
      <c r="M23" s="36"/>
      <c r="N23" s="36">
        <v>3</v>
      </c>
      <c r="O23" s="157">
        <f>N28</f>
        <v>2.7500000000000036</v>
      </c>
      <c r="P23" s="157">
        <f>O28</f>
        <v>3.2188157894736875</v>
      </c>
    </row>
    <row r="24" spans="2:16">
      <c r="B24" s="36" t="s">
        <v>200</v>
      </c>
      <c r="C24" s="36"/>
      <c r="D24" s="36"/>
      <c r="E24" s="36"/>
      <c r="F24" s="36"/>
      <c r="G24" s="157">
        <f>C29*(1-$C$5)</f>
        <v>1992.8377645143794</v>
      </c>
      <c r="H24" s="157">
        <f t="shared" ref="H24:I24" si="14">D29*(1-$C$5)</f>
        <v>2374.7107976125885</v>
      </c>
      <c r="I24" s="157">
        <f t="shared" si="14"/>
        <v>1799.1416711882791</v>
      </c>
      <c r="K24" s="71"/>
      <c r="L24" s="36" t="s">
        <v>200</v>
      </c>
      <c r="M24" s="36"/>
      <c r="N24" s="157">
        <f>M29*(1-$C$6)</f>
        <v>28.185567010309288</v>
      </c>
      <c r="O24" s="157">
        <f t="shared" ref="O24:P24" si="15">N29*(1-$C$6)</f>
        <v>33.752034725990235</v>
      </c>
      <c r="P24" s="157">
        <f t="shared" si="15"/>
        <v>25.566507053716762</v>
      </c>
    </row>
    <row r="25" spans="2:16">
      <c r="B25" s="36" t="s">
        <v>137</v>
      </c>
      <c r="C25" s="36"/>
      <c r="D25" s="36"/>
      <c r="E25" s="36"/>
      <c r="F25" s="36"/>
      <c r="G25" s="157">
        <f>+(G23+G24)*$C$4</f>
        <v>65.785132935431378</v>
      </c>
      <c r="H25" s="157">
        <f>+(H23+H24)*$C$4</f>
        <v>77.042376559956622</v>
      </c>
      <c r="I25" s="157">
        <f>+(I23+I24)*$C$4</f>
        <v>60.767986977753651</v>
      </c>
      <c r="K25" s="71"/>
      <c r="L25" s="36" t="s">
        <v>137</v>
      </c>
      <c r="M25" s="36"/>
      <c r="N25" s="157">
        <f>+(N23+N24)*$C$4</f>
        <v>0.93556701030927858</v>
      </c>
      <c r="O25" s="157">
        <f t="shared" ref="O25:P25" si="16">+(O23+O24)*$C$4</f>
        <v>1.0950610417797073</v>
      </c>
      <c r="P25" s="157">
        <f t="shared" si="16"/>
        <v>0.86355968529571348</v>
      </c>
    </row>
    <row r="26" spans="2:16">
      <c r="B26" s="36" t="s">
        <v>201</v>
      </c>
      <c r="C26" s="36"/>
      <c r="D26" s="36"/>
      <c r="E26" s="36"/>
      <c r="F26" s="36"/>
      <c r="G26" s="157">
        <f>+G23+G24-G25</f>
        <v>2127.052631578948</v>
      </c>
      <c r="H26" s="157">
        <f t="shared" ref="H26:I26" si="17">+H23+H24-H25</f>
        <v>2491.036842105264</v>
      </c>
      <c r="I26" s="157">
        <f t="shared" si="17"/>
        <v>1964.8315789473681</v>
      </c>
      <c r="K26" s="71"/>
      <c r="L26" s="36" t="s">
        <v>201</v>
      </c>
      <c r="M26" s="36"/>
      <c r="N26" s="157">
        <f>+N23+N24-N25</f>
        <v>30.250000000000011</v>
      </c>
      <c r="O26" s="157">
        <f t="shared" ref="O26:P26" si="18">+O23+O24-O25</f>
        <v>35.406973684210534</v>
      </c>
      <c r="P26" s="157">
        <f t="shared" si="18"/>
        <v>27.921763157894738</v>
      </c>
    </row>
    <row r="27" spans="2:16">
      <c r="B27" s="36" t="s">
        <v>225</v>
      </c>
      <c r="C27" s="36"/>
      <c r="D27" s="36"/>
      <c r="E27" s="36"/>
      <c r="F27" s="36"/>
      <c r="G27" s="157">
        <f>C31</f>
        <v>1933.6842105263161</v>
      </c>
      <c r="H27" s="157">
        <f>C34</f>
        <v>2264.5789473684213</v>
      </c>
      <c r="I27" s="157">
        <f>C37</f>
        <v>1786.2105263157891</v>
      </c>
      <c r="K27" s="71"/>
      <c r="L27" s="36" t="s">
        <v>225</v>
      </c>
      <c r="M27" s="36"/>
      <c r="N27" s="157">
        <f>M31</f>
        <v>27.500000000000007</v>
      </c>
      <c r="O27" s="157">
        <f>M34</f>
        <v>32.188157894736847</v>
      </c>
      <c r="P27" s="157">
        <f>M37</f>
        <v>25.383421052631576</v>
      </c>
    </row>
    <row r="28" spans="2:16">
      <c r="B28" s="36" t="s">
        <v>227</v>
      </c>
      <c r="C28" s="36"/>
      <c r="D28" s="36"/>
      <c r="E28" s="36"/>
      <c r="F28" s="36"/>
      <c r="G28" s="157">
        <f>+G26-G27</f>
        <v>193.3684210526319</v>
      </c>
      <c r="H28" s="157">
        <f t="shared" ref="H28:I28" si="19">+H26-H27</f>
        <v>226.45789473684272</v>
      </c>
      <c r="I28" s="157">
        <f t="shared" si="19"/>
        <v>178.621052631579</v>
      </c>
      <c r="L28" s="36" t="s">
        <v>227</v>
      </c>
      <c r="M28" s="36"/>
      <c r="N28" s="157">
        <f>+N26-N27</f>
        <v>2.7500000000000036</v>
      </c>
      <c r="O28" s="157">
        <f t="shared" ref="O28:P28" si="20">+O26-O27</f>
        <v>3.2188157894736875</v>
      </c>
      <c r="P28" s="157">
        <f t="shared" si="20"/>
        <v>2.5383421052631618</v>
      </c>
    </row>
    <row r="29" spans="2:16">
      <c r="B29" s="36" t="s">
        <v>228</v>
      </c>
      <c r="C29" s="157">
        <f>D32</f>
        <v>2097.7239626467153</v>
      </c>
      <c r="D29" s="157">
        <f>D35</f>
        <v>2499.6955764343038</v>
      </c>
      <c r="E29" s="157">
        <f>D38</f>
        <v>1893.8333380929255</v>
      </c>
      <c r="F29" s="224" t="s">
        <v>127</v>
      </c>
      <c r="G29" s="224"/>
      <c r="H29" s="220"/>
      <c r="I29" s="220"/>
      <c r="L29" s="36" t="s">
        <v>228</v>
      </c>
      <c r="M29" s="157">
        <f>N32</f>
        <v>30.307061301407838</v>
      </c>
      <c r="N29" s="157">
        <f>N35</f>
        <v>36.292510458054018</v>
      </c>
      <c r="O29" s="157">
        <f>N38</f>
        <v>27.490867799695444</v>
      </c>
      <c r="P29" s="224"/>
    </row>
    <row r="30" spans="2:16">
      <c r="H30" s="90"/>
    </row>
    <row r="31" spans="2:16">
      <c r="B31" t="s">
        <v>546</v>
      </c>
      <c r="C31" s="48">
        <f>+(C13*$H$3)+(H13*$H$4)+(M13*$H$5)</f>
        <v>1933.6842105263161</v>
      </c>
      <c r="D31" s="47"/>
      <c r="L31" t="s">
        <v>547</v>
      </c>
      <c r="M31" s="48">
        <f>+(C13*$J$3)+(H13*$J$4)+(M13*$J$5)</f>
        <v>27.500000000000007</v>
      </c>
      <c r="N31" s="47"/>
    </row>
    <row r="32" spans="2:16">
      <c r="B32" t="s">
        <v>548</v>
      </c>
      <c r="C32" s="48">
        <f>+((C31*1.1)-(G23*(1-$C$4)))/(1-$C$4)</f>
        <v>1992.8377645143794</v>
      </c>
      <c r="D32" s="48">
        <f>+C32/(1-$C$5)</f>
        <v>2097.7239626467153</v>
      </c>
      <c r="H32" s="70"/>
      <c r="I32" s="70"/>
      <c r="L32" t="s">
        <v>549</v>
      </c>
      <c r="M32" s="48">
        <f>+((M31*1.1)-(N23*(1-$C$4)))/(1-$C$4)</f>
        <v>28.185567010309288</v>
      </c>
      <c r="N32" s="48">
        <f>+M32/(1-$C$6)</f>
        <v>30.307061301407838</v>
      </c>
    </row>
    <row r="33" spans="2:14">
      <c r="C33" s="47"/>
      <c r="D33" s="47"/>
      <c r="H33" s="70"/>
      <c r="I33" s="70"/>
      <c r="M33" s="47"/>
      <c r="N33" s="47"/>
    </row>
    <row r="34" spans="2:14">
      <c r="B34" t="s">
        <v>550</v>
      </c>
      <c r="C34" s="48">
        <f>+(D13*$H$3)+(I13*$H$4)+(N13*$H$5)</f>
        <v>2264.5789473684213</v>
      </c>
      <c r="D34" s="47"/>
      <c r="L34" t="s">
        <v>551</v>
      </c>
      <c r="M34" s="48">
        <f>+(D13*$J$3)+(I13*$J$4)+(N13*$J$5)</f>
        <v>32.188157894736847</v>
      </c>
      <c r="N34" s="47"/>
    </row>
    <row r="35" spans="2:14">
      <c r="B35" t="s">
        <v>552</v>
      </c>
      <c r="C35" s="48">
        <f>+((C34*1.1)-(H23*(1-$C$4)))/(1-$C$4)</f>
        <v>2374.7107976125885</v>
      </c>
      <c r="D35" s="48">
        <f>+C35/(1-$C$5)</f>
        <v>2499.6955764343038</v>
      </c>
      <c r="L35" t="s">
        <v>553</v>
      </c>
      <c r="M35" s="48">
        <f>+((M34*1.1)-(O23*(1-$C$4)))/(1-$C$4)</f>
        <v>33.752034725990235</v>
      </c>
      <c r="N35" s="48">
        <f>+M35/(1-$C$6)</f>
        <v>36.292510458054018</v>
      </c>
    </row>
    <row r="36" spans="2:14">
      <c r="C36" s="47"/>
      <c r="D36" s="47"/>
      <c r="M36" s="47"/>
      <c r="N36" s="47"/>
    </row>
    <row r="37" spans="2:14">
      <c r="B37" t="s">
        <v>554</v>
      </c>
      <c r="C37" s="48">
        <f>+(E13*$H$3)+(J13*$H$4)+(O13*$H$5)</f>
        <v>1786.2105263157891</v>
      </c>
      <c r="D37" s="47"/>
      <c r="H37" s="71"/>
      <c r="I37" s="71"/>
      <c r="L37" t="s">
        <v>555</v>
      </c>
      <c r="M37" s="48">
        <f>+(E13*$J$3)+(J13*$J$4)+(O13*$J$5)</f>
        <v>25.383421052631576</v>
      </c>
      <c r="N37" s="47"/>
    </row>
    <row r="38" spans="2:14">
      <c r="B38" t="s">
        <v>556</v>
      </c>
      <c r="C38" s="48">
        <f>+((C37*1.1)-(I23*(1-$C$4)))/(1-$C$4)</f>
        <v>1799.1416711882791</v>
      </c>
      <c r="D38" s="48">
        <f>+C38/(1-$C$5)</f>
        <v>1893.8333380929255</v>
      </c>
      <c r="L38" t="s">
        <v>557</v>
      </c>
      <c r="M38" s="48">
        <f>+((M37*1.1)-(P23*(1-$C$4)))/(1-$C$4)</f>
        <v>25.566507053716762</v>
      </c>
      <c r="N38" s="48">
        <f>+M38/(1-$C$6)</f>
        <v>27.490867799695444</v>
      </c>
    </row>
    <row r="39" spans="2:14">
      <c r="C39" s="47"/>
      <c r="D39" s="47"/>
    </row>
    <row r="40" spans="2:14">
      <c r="B40" s="36"/>
      <c r="C40" s="451" t="s">
        <v>396</v>
      </c>
      <c r="D40" s="452"/>
      <c r="E40" s="452"/>
      <c r="F40" s="452"/>
      <c r="G40" s="453"/>
    </row>
    <row r="41" spans="2:14">
      <c r="B41" s="222" t="s">
        <v>558</v>
      </c>
      <c r="C41" s="36">
        <v>-1</v>
      </c>
      <c r="D41" s="36">
        <v>0</v>
      </c>
      <c r="E41" s="36">
        <v>1</v>
      </c>
      <c r="F41" s="36">
        <v>2</v>
      </c>
      <c r="G41" s="36">
        <v>3</v>
      </c>
    </row>
    <row r="42" spans="2:14">
      <c r="B42" s="36" t="s">
        <v>220</v>
      </c>
      <c r="C42" s="36"/>
      <c r="D42" s="36"/>
      <c r="E42" s="157">
        <v>50</v>
      </c>
      <c r="F42" s="157">
        <f>E47</f>
        <v>408.15789473684254</v>
      </c>
      <c r="G42" s="157">
        <f>F47</f>
        <v>477.11842105263167</v>
      </c>
    </row>
    <row r="43" spans="2:14">
      <c r="B43" s="36" t="s">
        <v>200</v>
      </c>
      <c r="C43" s="36"/>
      <c r="D43" s="157"/>
      <c r="E43" s="157">
        <f>C48*(1-$C$6)</f>
        <v>4578.5946825827468</v>
      </c>
      <c r="F43" s="157">
        <f t="shared" ref="F43:G43" si="21">D48*(1-$C$6)</f>
        <v>5002.4633749321756</v>
      </c>
      <c r="G43" s="157">
        <f t="shared" si="21"/>
        <v>3787.5451709169829</v>
      </c>
    </row>
    <row r="44" spans="2:14">
      <c r="B44" s="36" t="s">
        <v>137</v>
      </c>
      <c r="C44" s="36"/>
      <c r="D44" s="157"/>
      <c r="E44" s="157">
        <f>(E42+E43)*$C$4</f>
        <v>138.8578404774824</v>
      </c>
      <c r="F44" s="157">
        <f t="shared" ref="F44:G44" si="22">(F42+F43)*$C$4</f>
        <v>162.31863809007055</v>
      </c>
      <c r="G44" s="157">
        <f t="shared" si="22"/>
        <v>127.93990775908843</v>
      </c>
    </row>
    <row r="45" spans="2:14">
      <c r="B45" s="36" t="s">
        <v>201</v>
      </c>
      <c r="C45" s="36"/>
      <c r="D45" s="157"/>
      <c r="E45" s="157">
        <f>+E42+E43-E44</f>
        <v>4489.7368421052643</v>
      </c>
      <c r="F45" s="157">
        <f t="shared" ref="F45:G45" si="23">+F42+F43-F44</f>
        <v>5248.3026315789475</v>
      </c>
      <c r="G45" s="157">
        <f t="shared" si="23"/>
        <v>4136.7236842105258</v>
      </c>
    </row>
    <row r="46" spans="2:14">
      <c r="B46" s="36" t="s">
        <v>225</v>
      </c>
      <c r="C46" s="36"/>
      <c r="D46" s="36"/>
      <c r="E46" s="157">
        <f>C50</f>
        <v>4081.5789473684217</v>
      </c>
      <c r="F46" s="157">
        <f>C53</f>
        <v>4771.1842105263158</v>
      </c>
      <c r="G46" s="157">
        <f>C56</f>
        <v>3760.6578947368416</v>
      </c>
    </row>
    <row r="47" spans="2:14">
      <c r="B47" s="36" t="s">
        <v>227</v>
      </c>
      <c r="C47" s="36"/>
      <c r="D47" s="157"/>
      <c r="E47" s="157">
        <f>+E45-E46</f>
        <v>408.15789473684254</v>
      </c>
      <c r="F47" s="157">
        <f t="shared" ref="F47:G47" si="24">+F45-F46</f>
        <v>477.11842105263167</v>
      </c>
      <c r="G47" s="157">
        <f t="shared" si="24"/>
        <v>376.06578947368416</v>
      </c>
    </row>
    <row r="48" spans="2:14">
      <c r="B48" s="36" t="s">
        <v>228</v>
      </c>
      <c r="C48" s="157">
        <f>D51</f>
        <v>4923.2200887986528</v>
      </c>
      <c r="D48" s="157">
        <f>D54</f>
        <v>5378.992876271157</v>
      </c>
      <c r="E48" s="157">
        <f>D57</f>
        <v>4072.629216039767</v>
      </c>
      <c r="F48" s="224"/>
      <c r="G48" s="36"/>
      <c r="I48" s="225"/>
    </row>
    <row r="49" spans="2:13">
      <c r="I49" s="90"/>
    </row>
    <row r="50" spans="2:13">
      <c r="B50" t="s">
        <v>559</v>
      </c>
      <c r="C50" s="48">
        <f>+(C13*$I$3)+(H13*$I$4)+(M13*$I$5)</f>
        <v>4081.5789473684217</v>
      </c>
      <c r="D50" s="47"/>
      <c r="H50" s="70"/>
      <c r="I50" s="70"/>
    </row>
    <row r="51" spans="2:13">
      <c r="B51" t="s">
        <v>549</v>
      </c>
      <c r="C51" s="48">
        <f>+((C50*1.1)-(E42*(1-$C$4)))/(1-$C$4)</f>
        <v>4578.5946825827468</v>
      </c>
      <c r="D51" s="48">
        <f>+C51/(1-$C$6)</f>
        <v>4923.2200887986528</v>
      </c>
      <c r="H51" s="70"/>
    </row>
    <row r="52" spans="2:13">
      <c r="C52" s="47"/>
      <c r="D52" s="47"/>
      <c r="H52" s="70"/>
      <c r="I52" s="70"/>
    </row>
    <row r="53" spans="2:13">
      <c r="B53" t="s">
        <v>560</v>
      </c>
      <c r="C53" s="48">
        <f>+(D13*$I$3)+(I13*$I$4)+(N13*$I$5)</f>
        <v>4771.1842105263158</v>
      </c>
      <c r="D53" s="47"/>
      <c r="H53" s="70"/>
      <c r="I53" s="70"/>
    </row>
    <row r="54" spans="2:13">
      <c r="B54" t="s">
        <v>553</v>
      </c>
      <c r="C54" s="48">
        <f>+((C53*1.1)-(F42*(1-$C$4)))/(1-$C$4)</f>
        <v>5002.4633749321756</v>
      </c>
      <c r="D54" s="48">
        <f>+C54/(1-$C$6)</f>
        <v>5378.992876271157</v>
      </c>
    </row>
    <row r="55" spans="2:13">
      <c r="C55" s="47"/>
      <c r="D55" s="47"/>
      <c r="H55" s="70"/>
      <c r="I55" s="70"/>
    </row>
    <row r="56" spans="2:13">
      <c r="B56" t="s">
        <v>561</v>
      </c>
      <c r="C56" s="48">
        <f>+(E13*$I$3)+(J13*$I$4)+(O13*$I$5)</f>
        <v>3760.6578947368416</v>
      </c>
      <c r="D56" s="47"/>
    </row>
    <row r="57" spans="2:13">
      <c r="B57" t="s">
        <v>557</v>
      </c>
      <c r="C57" s="48">
        <f>+((C56*1.1)-(G42*(1-$C$4)))/(1-$C$4)</f>
        <v>3787.5451709169829</v>
      </c>
      <c r="D57" s="48">
        <f>+C57/(1-$C$6)</f>
        <v>4072.629216039767</v>
      </c>
    </row>
    <row r="59" spans="2:13">
      <c r="B59" s="454" t="s">
        <v>562</v>
      </c>
      <c r="C59" s="454"/>
      <c r="D59" s="454"/>
      <c r="E59" s="454"/>
      <c r="F59" s="454"/>
      <c r="G59" s="454"/>
      <c r="H59" s="226"/>
      <c r="I59" s="226"/>
      <c r="J59" s="226"/>
    </row>
    <row r="60" spans="2:13">
      <c r="B60" t="s">
        <v>563</v>
      </c>
      <c r="C60">
        <f>26*7.5*60*0.95*0.8</f>
        <v>8892</v>
      </c>
      <c r="L60" s="444" t="s">
        <v>564</v>
      </c>
      <c r="M60" s="444"/>
    </row>
    <row r="61" spans="2:13">
      <c r="B61" s="430" t="s">
        <v>565</v>
      </c>
      <c r="C61" s="430"/>
      <c r="D61" s="430"/>
      <c r="E61" s="430"/>
      <c r="F61" s="430"/>
      <c r="G61" s="430"/>
      <c r="L61" s="36" t="s">
        <v>536</v>
      </c>
      <c r="M61" s="157">
        <f>AVERAGE(C13:E13)</f>
        <v>1123.1578947368421</v>
      </c>
    </row>
    <row r="62" spans="2:13">
      <c r="B62" t="s">
        <v>566</v>
      </c>
      <c r="C62" s="90">
        <f>+C60/(M61+M62+M63)</f>
        <v>3.1723352318958504</v>
      </c>
      <c r="L62" s="36" t="s">
        <v>538</v>
      </c>
      <c r="M62" s="157">
        <f>AVERAGE(H13:J13)</f>
        <v>654.73684210526312</v>
      </c>
    </row>
    <row r="63" spans="2:13">
      <c r="B63" t="s">
        <v>567</v>
      </c>
      <c r="C63" s="47" t="s">
        <v>568</v>
      </c>
      <c r="D63" s="47" t="s">
        <v>569</v>
      </c>
      <c r="E63" s="47" t="s">
        <v>468</v>
      </c>
      <c r="F63" s="47" t="s">
        <v>570</v>
      </c>
      <c r="G63" s="47" t="s">
        <v>571</v>
      </c>
      <c r="L63" s="36" t="s">
        <v>540</v>
      </c>
      <c r="M63" s="157">
        <f>AVERAGE(M13:O13)</f>
        <v>1025.0877192982455</v>
      </c>
    </row>
    <row r="64" spans="2:13">
      <c r="B64" t="s">
        <v>285</v>
      </c>
      <c r="C64" s="47">
        <f>ROUNDUP(9/C62,0)</f>
        <v>3</v>
      </c>
      <c r="D64" s="47">
        <f>ROUNDUP(11/C62,0)</f>
        <v>4</v>
      </c>
      <c r="E64" s="47">
        <f>ROUNDUP(16/C62,0)</f>
        <v>6</v>
      </c>
      <c r="F64" s="47">
        <f>ROUNDUP(13/C62,0)</f>
        <v>5</v>
      </c>
      <c r="G64" s="47">
        <f>ROUNDUP(6/C62,0)</f>
        <v>2</v>
      </c>
      <c r="M64" s="70"/>
    </row>
    <row r="65" spans="2:8">
      <c r="B65" t="s">
        <v>572</v>
      </c>
      <c r="C65" s="47">
        <f>C64</f>
        <v>3</v>
      </c>
      <c r="D65" s="47">
        <f>D64</f>
        <v>4</v>
      </c>
      <c r="E65" s="47">
        <f>E64*3</f>
        <v>18</v>
      </c>
      <c r="F65" s="47">
        <f>F64</f>
        <v>5</v>
      </c>
      <c r="G65" s="47">
        <f>G64</f>
        <v>2</v>
      </c>
    </row>
    <row r="66" spans="2:8">
      <c r="B66" t="s">
        <v>573</v>
      </c>
      <c r="C66" s="47">
        <f>C64</f>
        <v>3</v>
      </c>
      <c r="D66" s="47">
        <f>D64</f>
        <v>4</v>
      </c>
      <c r="E66" s="47">
        <f>E65</f>
        <v>18</v>
      </c>
      <c r="F66" s="47">
        <f>F64</f>
        <v>5</v>
      </c>
      <c r="G66" s="47">
        <f>G64</f>
        <v>2</v>
      </c>
    </row>
    <row r="67" spans="2:8">
      <c r="B67" t="s">
        <v>574</v>
      </c>
      <c r="C67" s="47">
        <f>+C66*1000</f>
        <v>3000</v>
      </c>
      <c r="D67" s="47">
        <f>+D66*500</f>
        <v>2000</v>
      </c>
      <c r="E67" s="47">
        <f>+E66*(400+1500)</f>
        <v>34200</v>
      </c>
      <c r="F67" s="47">
        <f>+F66*750</f>
        <v>3750</v>
      </c>
      <c r="G67" s="47">
        <f>+G66*100</f>
        <v>200</v>
      </c>
      <c r="H67" s="111">
        <f>SUM(C67:G67)</f>
        <v>43150</v>
      </c>
    </row>
    <row r="68" spans="2:8">
      <c r="B68" t="s">
        <v>575</v>
      </c>
      <c r="C68" s="47">
        <f>+C64*2.5*7.5*26</f>
        <v>1462.5</v>
      </c>
      <c r="D68" s="47">
        <f>+D64*2.5*7.5*26</f>
        <v>1950</v>
      </c>
      <c r="E68" s="47">
        <f>+E65*2.5*7.5*26</f>
        <v>8775</v>
      </c>
      <c r="F68" s="47">
        <f>+F64*2.5*7.5*26</f>
        <v>2437.5</v>
      </c>
      <c r="G68" s="47">
        <f>+G64*2.5*7.5*26</f>
        <v>975</v>
      </c>
      <c r="H68" s="111">
        <f>SUM(C68:G68)</f>
        <v>15600</v>
      </c>
    </row>
    <row r="69" spans="2:8">
      <c r="B69" t="s">
        <v>576</v>
      </c>
      <c r="C69" s="89">
        <f>9/C64</f>
        <v>3</v>
      </c>
      <c r="D69" s="89">
        <f>11/D64</f>
        <v>2.75</v>
      </c>
      <c r="E69" s="89">
        <f>16/E64</f>
        <v>2.6666666666666665</v>
      </c>
      <c r="F69" s="89">
        <f>13/F64</f>
        <v>2.6</v>
      </c>
      <c r="G69" s="89">
        <f>6/G64</f>
        <v>3</v>
      </c>
    </row>
    <row r="70" spans="2:8">
      <c r="B70" t="s">
        <v>577</v>
      </c>
      <c r="C70" s="95">
        <f>+($C$13+$H$13+$M$13)*C69</f>
        <v>8163.1578947368425</v>
      </c>
      <c r="D70" s="95">
        <f t="shared" ref="D70:G70" si="25">+($C$13+$H$13+$M$13)*D69</f>
        <v>7482.8947368421059</v>
      </c>
      <c r="E70" s="95">
        <f t="shared" si="25"/>
        <v>7256.1403508771928</v>
      </c>
      <c r="F70" s="95">
        <f t="shared" si="25"/>
        <v>7074.7368421052633</v>
      </c>
      <c r="G70" s="95">
        <f t="shared" si="25"/>
        <v>8163.1578947368425</v>
      </c>
    </row>
    <row r="71" spans="2:8">
      <c r="B71" t="s">
        <v>578</v>
      </c>
      <c r="C71" s="95">
        <f>+($D$13+$I$13+$N$13)*C69</f>
        <v>9542.3684210526335</v>
      </c>
      <c r="D71" s="95">
        <f t="shared" ref="D71:G71" si="26">+($D$13+$I$13+$N$13)*D69</f>
        <v>8747.1710526315801</v>
      </c>
      <c r="E71" s="95">
        <f t="shared" si="26"/>
        <v>8482.105263157895</v>
      </c>
      <c r="F71" s="95">
        <f t="shared" si="26"/>
        <v>8270.0526315789484</v>
      </c>
      <c r="G71" s="95">
        <f t="shared" si="26"/>
        <v>9542.3684210526335</v>
      </c>
    </row>
    <row r="72" spans="2:8">
      <c r="B72" t="s">
        <v>579</v>
      </c>
      <c r="C72" s="95">
        <f>+($E$13+$J$13+$O$13)*C69</f>
        <v>7521.3157894736823</v>
      </c>
      <c r="D72" s="95">
        <f t="shared" ref="D72:G72" si="27">+($E$13+$J$13+$O$13)*D69</f>
        <v>6894.539473684209</v>
      </c>
      <c r="E72" s="95">
        <f t="shared" si="27"/>
        <v>6685.6140350877176</v>
      </c>
      <c r="F72" s="95">
        <f t="shared" si="27"/>
        <v>6518.4736842105249</v>
      </c>
      <c r="G72" s="95">
        <f t="shared" si="27"/>
        <v>7521.3157894736823</v>
      </c>
    </row>
    <row r="73" spans="2:8">
      <c r="B73" t="s">
        <v>580</v>
      </c>
      <c r="C73">
        <f>26*7.5*60*0.95</f>
        <v>11115</v>
      </c>
      <c r="D73">
        <f t="shared" ref="D73:G73" si="28">26*7.5*60*0.95</f>
        <v>11115</v>
      </c>
      <c r="E73">
        <f t="shared" si="28"/>
        <v>11115</v>
      </c>
      <c r="F73">
        <f t="shared" si="28"/>
        <v>11115</v>
      </c>
      <c r="G73">
        <f t="shared" si="28"/>
        <v>11115</v>
      </c>
    </row>
    <row r="74" spans="2:8">
      <c r="B74" t="s">
        <v>581</v>
      </c>
      <c r="C74">
        <v>0</v>
      </c>
      <c r="D74">
        <v>0</v>
      </c>
      <c r="E74">
        <v>0</v>
      </c>
      <c r="F74">
        <v>0</v>
      </c>
      <c r="G74">
        <v>0</v>
      </c>
    </row>
  </sheetData>
  <mergeCells count="8">
    <mergeCell ref="L60:M60"/>
    <mergeCell ref="B61:G61"/>
    <mergeCell ref="B8:O8"/>
    <mergeCell ref="B19:P19"/>
    <mergeCell ref="C21:I21"/>
    <mergeCell ref="M21:P21"/>
    <mergeCell ref="C40:G40"/>
    <mergeCell ref="B59:G59"/>
  </mergeCells>
  <pageMargins left="0.75" right="0.75" top="1" bottom="1" header="0.5" footer="0.5"/>
  <pageSetup orientation="portrait" horizontalDpi="4294967292" verticalDpi="4294967292"/>
  <ignoredErrors>
    <ignoredError sqref="E65:E68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371CE6-1CB3-B443-BC00-23D2219C73D0}">
  <dimension ref="B2:P44"/>
  <sheetViews>
    <sheetView workbookViewId="0">
      <selection activeCell="F16" sqref="F16:G16"/>
    </sheetView>
  </sheetViews>
  <sheetFormatPr baseColWidth="10" defaultRowHeight="16"/>
  <cols>
    <col min="1" max="1" width="6.33203125" customWidth="1"/>
    <col min="2" max="2" width="10.83203125" customWidth="1"/>
    <col min="3" max="3" width="16.33203125" bestFit="1" customWidth="1"/>
    <col min="5" max="5" width="15.5" bestFit="1" customWidth="1"/>
    <col min="8" max="8" width="12.5" customWidth="1"/>
    <col min="12" max="12" width="11.33203125" bestFit="1" customWidth="1"/>
  </cols>
  <sheetData>
    <row r="2" spans="2:15">
      <c r="B2" s="47" t="s">
        <v>373</v>
      </c>
      <c r="C2" s="47" t="s">
        <v>582</v>
      </c>
      <c r="D2" s="47" t="s">
        <v>583</v>
      </c>
      <c r="E2" s="47" t="s">
        <v>584</v>
      </c>
      <c r="H2" s="47" t="s">
        <v>373</v>
      </c>
      <c r="I2" s="47" t="s">
        <v>110</v>
      </c>
      <c r="J2" s="47" t="s">
        <v>111</v>
      </c>
      <c r="K2" s="47" t="s">
        <v>143</v>
      </c>
    </row>
    <row r="3" spans="2:15">
      <c r="B3" s="47" t="s">
        <v>110</v>
      </c>
      <c r="C3" s="47">
        <v>1000</v>
      </c>
      <c r="D3" s="47">
        <v>20</v>
      </c>
      <c r="E3" s="47">
        <f>+C3/D3</f>
        <v>50</v>
      </c>
      <c r="H3" s="91" t="s">
        <v>585</v>
      </c>
      <c r="I3" s="47">
        <v>55</v>
      </c>
      <c r="J3" s="47">
        <v>65</v>
      </c>
      <c r="K3" s="47">
        <v>55</v>
      </c>
    </row>
    <row r="4" spans="2:15">
      <c r="B4" s="47" t="s">
        <v>111</v>
      </c>
      <c r="C4" s="47">
        <v>500</v>
      </c>
      <c r="D4" s="47">
        <v>20</v>
      </c>
      <c r="E4" s="47">
        <f t="shared" ref="E4:E5" si="0">+C4/D4</f>
        <v>25</v>
      </c>
      <c r="H4" s="91" t="s">
        <v>236</v>
      </c>
      <c r="I4" s="47">
        <f>(4*7)+(2.5*1.5)+(0.05*10)</f>
        <v>32.25</v>
      </c>
      <c r="J4" s="89">
        <f>(4*7.5)+(2.5*1.5)+(0.05*10.5)</f>
        <v>34.274999999999999</v>
      </c>
      <c r="K4" s="47">
        <f>(4*7)+(2.5*1.5)+(0.05*10)</f>
        <v>32.25</v>
      </c>
    </row>
    <row r="5" spans="2:15">
      <c r="B5" s="47" t="s">
        <v>143</v>
      </c>
      <c r="C5" s="47">
        <v>850</v>
      </c>
      <c r="D5" s="47">
        <v>20</v>
      </c>
      <c r="E5" s="48">
        <f t="shared" si="0"/>
        <v>42.5</v>
      </c>
      <c r="H5" s="91" t="s">
        <v>586</v>
      </c>
      <c r="I5" s="47">
        <f>I3-I4</f>
        <v>22.75</v>
      </c>
      <c r="J5" s="47">
        <f t="shared" ref="J5:K5" si="1">J3-J4</f>
        <v>30.725000000000001</v>
      </c>
      <c r="K5" s="47">
        <f t="shared" si="1"/>
        <v>22.75</v>
      </c>
    </row>
    <row r="6" spans="2:15">
      <c r="H6" s="91" t="s">
        <v>11</v>
      </c>
      <c r="I6" s="48">
        <f>('[1]3ra pregunta'!C16+'[1]3ra pregunta'!D16+'[1]3ra pregunta'!E16)</f>
        <v>3100</v>
      </c>
      <c r="J6" s="48">
        <f>('[1]3ra pregunta'!H16+'[1]3ra pregunta'!I16+'[1]3ra pregunta'!J16)</f>
        <v>1800</v>
      </c>
      <c r="K6" s="48">
        <f>('[1]3ra pregunta'!M16+'[1]3ra pregunta'!N16+'[1]3ra pregunta'!O16)</f>
        <v>2820</v>
      </c>
    </row>
    <row r="7" spans="2:15">
      <c r="B7" s="91" t="s">
        <v>587</v>
      </c>
      <c r="D7">
        <f>7.5*60</f>
        <v>450</v>
      </c>
      <c r="H7" s="91" t="s">
        <v>588</v>
      </c>
      <c r="I7" s="47">
        <f>I5*I6</f>
        <v>70525</v>
      </c>
      <c r="J7" s="47">
        <f>J5*J6</f>
        <v>55305</v>
      </c>
      <c r="K7" s="47">
        <f>K5*K6</f>
        <v>64155</v>
      </c>
      <c r="L7">
        <f>SUM(I7:K7)</f>
        <v>189985</v>
      </c>
    </row>
    <row r="8" spans="2:15">
      <c r="H8" s="91" t="s">
        <v>589</v>
      </c>
      <c r="I8" s="47">
        <v>45000</v>
      </c>
      <c r="J8" s="47">
        <v>45000</v>
      </c>
      <c r="K8" s="47">
        <v>45000</v>
      </c>
      <c r="L8">
        <f>SUM(I8:K8)</f>
        <v>135000</v>
      </c>
    </row>
    <row r="9" spans="2:15">
      <c r="B9" s="430" t="s">
        <v>590</v>
      </c>
      <c r="C9" s="430"/>
      <c r="D9" s="430"/>
      <c r="H9" s="91" t="s">
        <v>247</v>
      </c>
      <c r="I9" s="48">
        <f>'[1]3ra pregunta'!C17+'[1]3ra pregunta'!D17+'[1]3ra pregunta'!E17</f>
        <v>310.00000000000068</v>
      </c>
      <c r="J9" s="48">
        <f>'[1]3ra pregunta'!H17+'[1]3ra pregunta'!I17+'[1]3ra pregunta'!J17</f>
        <v>180.00000000000034</v>
      </c>
      <c r="K9" s="48">
        <f>'[1]3ra pregunta'!M17+'[1]3ra pregunta'!N17+'[1]3ra pregunta'!O17</f>
        <v>282.00000000000057</v>
      </c>
      <c r="L9" s="70">
        <f>(I9+J9+K9)*10</f>
        <v>7720.0000000000164</v>
      </c>
    </row>
    <row r="10" spans="2:15">
      <c r="B10" s="47" t="s">
        <v>110</v>
      </c>
      <c r="C10" s="47">
        <f>+D7/E3</f>
        <v>9</v>
      </c>
      <c r="D10" s="47">
        <f>+C11/C10</f>
        <v>2</v>
      </c>
      <c r="H10" s="91" t="s">
        <v>591</v>
      </c>
      <c r="I10" s="47">
        <f>'[1]3ra pregunta'!H68</f>
        <v>15600</v>
      </c>
      <c r="J10" s="47">
        <f>I10</f>
        <v>15600</v>
      </c>
      <c r="K10" s="47">
        <f>J10</f>
        <v>15600</v>
      </c>
      <c r="L10">
        <f>SUM(I10:K10)</f>
        <v>46800</v>
      </c>
    </row>
    <row r="11" spans="2:15">
      <c r="B11" s="47" t="s">
        <v>111</v>
      </c>
      <c r="C11" s="47">
        <f>+D7/E4</f>
        <v>18</v>
      </c>
      <c r="D11" s="47">
        <f>+C11/C11</f>
        <v>1</v>
      </c>
      <c r="H11" s="91" t="s">
        <v>264</v>
      </c>
      <c r="L11" s="227">
        <f>+L7-L8-L9-L10</f>
        <v>464.99999999998545</v>
      </c>
    </row>
    <row r="12" spans="2:15">
      <c r="B12" s="47" t="s">
        <v>143</v>
      </c>
      <c r="C12" s="48">
        <f>+D7/E5</f>
        <v>10.588235294117647</v>
      </c>
      <c r="D12" s="48">
        <v>2</v>
      </c>
    </row>
    <row r="14" spans="2:15">
      <c r="B14" s="91" t="s">
        <v>592</v>
      </c>
      <c r="N14" t="s">
        <v>593</v>
      </c>
      <c r="O14">
        <f>7.5*60</f>
        <v>450</v>
      </c>
    </row>
    <row r="15" spans="2:15">
      <c r="E15" t="s">
        <v>576</v>
      </c>
      <c r="G15" s="95">
        <v>3</v>
      </c>
      <c r="I15" s="95">
        <v>2.75</v>
      </c>
      <c r="K15" s="95">
        <v>2.67</v>
      </c>
      <c r="M15" s="95">
        <v>2.6</v>
      </c>
      <c r="O15" s="95">
        <v>3</v>
      </c>
    </row>
    <row r="16" spans="2:15">
      <c r="F16" s="430" t="s">
        <v>568</v>
      </c>
      <c r="G16" s="430"/>
      <c r="H16" s="430" t="s">
        <v>569</v>
      </c>
      <c r="I16" s="430"/>
      <c r="J16" s="430" t="s">
        <v>468</v>
      </c>
      <c r="K16" s="430"/>
      <c r="L16" s="430" t="s">
        <v>570</v>
      </c>
      <c r="M16" s="430"/>
      <c r="N16" s="430" t="s">
        <v>571</v>
      </c>
      <c r="O16" s="430"/>
    </row>
    <row r="17" spans="2:16">
      <c r="E17" s="47" t="s">
        <v>594</v>
      </c>
      <c r="F17" s="47" t="s">
        <v>595</v>
      </c>
      <c r="G17" s="47" t="s">
        <v>596</v>
      </c>
      <c r="H17" s="47" t="s">
        <v>595</v>
      </c>
      <c r="I17" s="47" t="s">
        <v>596</v>
      </c>
      <c r="J17" s="47" t="s">
        <v>595</v>
      </c>
      <c r="K17" s="47" t="s">
        <v>596</v>
      </c>
      <c r="L17" s="47" t="s">
        <v>595</v>
      </c>
      <c r="M17" s="47" t="s">
        <v>596</v>
      </c>
      <c r="N17" s="47" t="s">
        <v>595</v>
      </c>
      <c r="O17" s="47" t="s">
        <v>596</v>
      </c>
    </row>
    <row r="18" spans="2:16">
      <c r="B18" s="430" t="s">
        <v>597</v>
      </c>
      <c r="C18" s="430"/>
      <c r="E18" s="47">
        <v>5</v>
      </c>
      <c r="F18" s="47">
        <v>0</v>
      </c>
      <c r="G18" s="89">
        <f>F18+($G$15*5)</f>
        <v>15</v>
      </c>
      <c r="H18" s="89">
        <f>G18</f>
        <v>15</v>
      </c>
      <c r="I18" s="47">
        <f>H18+($I$15*5)</f>
        <v>28.75</v>
      </c>
      <c r="J18" s="47">
        <f>I18</f>
        <v>28.75</v>
      </c>
      <c r="K18" s="89">
        <f>J18+($K$15*5)</f>
        <v>42.1</v>
      </c>
      <c r="L18" s="89">
        <f>K18</f>
        <v>42.1</v>
      </c>
      <c r="M18" s="89">
        <f>L18+(5*$M$15)</f>
        <v>55.1</v>
      </c>
      <c r="N18" s="89">
        <f>M18</f>
        <v>55.1</v>
      </c>
      <c r="O18" s="89">
        <f>N18+(5*$O$15)</f>
        <v>70.099999999999994</v>
      </c>
    </row>
    <row r="19" spans="2:16">
      <c r="B19" s="89">
        <f>(G15*5)+(I15*5)+(K15*5)+(M15*5)</f>
        <v>55.1</v>
      </c>
      <c r="C19" s="89">
        <f>E18*O15</f>
        <v>15</v>
      </c>
      <c r="E19" s="47">
        <v>5</v>
      </c>
      <c r="F19" s="89">
        <f>G18</f>
        <v>15</v>
      </c>
      <c r="G19" s="89">
        <f t="shared" ref="G19:G43" si="2">F19+($G$15*5)</f>
        <v>30</v>
      </c>
      <c r="H19" s="89">
        <f t="shared" ref="H19:H43" si="3">G19</f>
        <v>30</v>
      </c>
      <c r="I19" s="47">
        <f t="shared" ref="I19:I43" si="4">H19+($I$15*5)</f>
        <v>43.75</v>
      </c>
      <c r="J19" s="47">
        <f t="shared" ref="J19:J43" si="5">I19</f>
        <v>43.75</v>
      </c>
      <c r="K19" s="89">
        <f t="shared" ref="K19:K43" si="6">J19+($K$15*5)</f>
        <v>57.1</v>
      </c>
      <c r="L19" s="89">
        <f t="shared" ref="L19:L43" si="7">K19</f>
        <v>57.1</v>
      </c>
      <c r="M19" s="89">
        <f t="shared" ref="M19:M43" si="8">L19+(5*$M$15)</f>
        <v>70.099999999999994</v>
      </c>
      <c r="N19" s="89">
        <f t="shared" ref="N19:N43" si="9">M19</f>
        <v>70.099999999999994</v>
      </c>
      <c r="O19" s="89">
        <f t="shared" ref="O19:O43" si="10">N19+(5*$O$15)</f>
        <v>85.1</v>
      </c>
      <c r="P19" s="95"/>
    </row>
    <row r="20" spans="2:16">
      <c r="B20" s="89">
        <f>O14-B19</f>
        <v>394.9</v>
      </c>
      <c r="C20" s="89">
        <f>B20/C19</f>
        <v>26.326666666666664</v>
      </c>
      <c r="E20" s="47">
        <v>5</v>
      </c>
      <c r="F20" s="89">
        <f t="shared" ref="F20:F43" si="11">G19</f>
        <v>30</v>
      </c>
      <c r="G20" s="89">
        <f t="shared" si="2"/>
        <v>45</v>
      </c>
      <c r="H20" s="89">
        <f t="shared" si="3"/>
        <v>45</v>
      </c>
      <c r="I20" s="47">
        <f t="shared" si="4"/>
        <v>58.75</v>
      </c>
      <c r="J20" s="47">
        <f t="shared" si="5"/>
        <v>58.75</v>
      </c>
      <c r="K20" s="89">
        <f t="shared" si="6"/>
        <v>72.099999999999994</v>
      </c>
      <c r="L20" s="89">
        <f t="shared" si="7"/>
        <v>72.099999999999994</v>
      </c>
      <c r="M20" s="89">
        <f t="shared" si="8"/>
        <v>85.1</v>
      </c>
      <c r="N20" s="89">
        <f t="shared" si="9"/>
        <v>85.1</v>
      </c>
      <c r="O20" s="89">
        <f t="shared" si="10"/>
        <v>100.1</v>
      </c>
      <c r="P20" s="95"/>
    </row>
    <row r="21" spans="2:16">
      <c r="C21" s="89">
        <f>ROUNDDOWN(C20,0)</f>
        <v>26</v>
      </c>
      <c r="D21" s="95"/>
      <c r="E21" s="47">
        <v>5</v>
      </c>
      <c r="F21" s="89">
        <f t="shared" si="11"/>
        <v>45</v>
      </c>
      <c r="G21" s="89">
        <f t="shared" si="2"/>
        <v>60</v>
      </c>
      <c r="H21" s="89">
        <f t="shared" si="3"/>
        <v>60</v>
      </c>
      <c r="I21" s="47">
        <f t="shared" si="4"/>
        <v>73.75</v>
      </c>
      <c r="J21" s="47">
        <f t="shared" si="5"/>
        <v>73.75</v>
      </c>
      <c r="K21" s="89">
        <f t="shared" si="6"/>
        <v>87.1</v>
      </c>
      <c r="L21" s="89">
        <f t="shared" si="7"/>
        <v>87.1</v>
      </c>
      <c r="M21" s="89">
        <f t="shared" si="8"/>
        <v>100.1</v>
      </c>
      <c r="N21" s="89">
        <f t="shared" si="9"/>
        <v>100.1</v>
      </c>
      <c r="O21" s="89">
        <f t="shared" si="10"/>
        <v>115.1</v>
      </c>
    </row>
    <row r="22" spans="2:16">
      <c r="B22" s="430" t="s">
        <v>598</v>
      </c>
      <c r="C22" s="430"/>
      <c r="E22" s="47">
        <v>5</v>
      </c>
      <c r="F22" s="89">
        <f t="shared" si="11"/>
        <v>60</v>
      </c>
      <c r="G22" s="89">
        <f t="shared" si="2"/>
        <v>75</v>
      </c>
      <c r="H22" s="89">
        <f t="shared" si="3"/>
        <v>75</v>
      </c>
      <c r="I22" s="47">
        <f t="shared" si="4"/>
        <v>88.75</v>
      </c>
      <c r="J22" s="47">
        <f t="shared" si="5"/>
        <v>88.75</v>
      </c>
      <c r="K22" s="89">
        <f t="shared" si="6"/>
        <v>102.1</v>
      </c>
      <c r="L22" s="89">
        <f t="shared" si="7"/>
        <v>102.1</v>
      </c>
      <c r="M22" s="89">
        <f t="shared" si="8"/>
        <v>115.1</v>
      </c>
      <c r="N22" s="89">
        <f t="shared" si="9"/>
        <v>115.1</v>
      </c>
      <c r="O22" s="89">
        <f t="shared" si="10"/>
        <v>130.1</v>
      </c>
    </row>
    <row r="23" spans="2:16">
      <c r="B23" t="s">
        <v>110</v>
      </c>
      <c r="C23" s="48">
        <f>C21*D10</f>
        <v>52</v>
      </c>
      <c r="E23" s="47">
        <v>5</v>
      </c>
      <c r="F23" s="89">
        <f t="shared" si="11"/>
        <v>75</v>
      </c>
      <c r="G23" s="89">
        <f t="shared" si="2"/>
        <v>90</v>
      </c>
      <c r="H23" s="89">
        <f t="shared" si="3"/>
        <v>90</v>
      </c>
      <c r="I23" s="47">
        <f t="shared" si="4"/>
        <v>103.75</v>
      </c>
      <c r="J23" s="47">
        <f t="shared" si="5"/>
        <v>103.75</v>
      </c>
      <c r="K23" s="89">
        <f t="shared" si="6"/>
        <v>117.1</v>
      </c>
      <c r="L23" s="89">
        <f t="shared" si="7"/>
        <v>117.1</v>
      </c>
      <c r="M23" s="89">
        <f t="shared" si="8"/>
        <v>130.1</v>
      </c>
      <c r="N23" s="89">
        <f t="shared" si="9"/>
        <v>130.1</v>
      </c>
      <c r="O23" s="89">
        <f t="shared" si="10"/>
        <v>145.1</v>
      </c>
    </row>
    <row r="24" spans="2:16">
      <c r="B24" t="s">
        <v>111</v>
      </c>
      <c r="C24" s="47">
        <f>C21*D11</f>
        <v>26</v>
      </c>
      <c r="E24" s="47">
        <v>5</v>
      </c>
      <c r="F24" s="89">
        <f t="shared" si="11"/>
        <v>90</v>
      </c>
      <c r="G24" s="89">
        <f t="shared" si="2"/>
        <v>105</v>
      </c>
      <c r="H24" s="89">
        <f t="shared" si="3"/>
        <v>105</v>
      </c>
      <c r="I24" s="47">
        <f t="shared" si="4"/>
        <v>118.75</v>
      </c>
      <c r="J24" s="47">
        <f t="shared" si="5"/>
        <v>118.75</v>
      </c>
      <c r="K24" s="89">
        <f t="shared" si="6"/>
        <v>132.1</v>
      </c>
      <c r="L24" s="89">
        <f t="shared" si="7"/>
        <v>132.1</v>
      </c>
      <c r="M24" s="89">
        <f t="shared" si="8"/>
        <v>145.1</v>
      </c>
      <c r="N24" s="89">
        <f t="shared" si="9"/>
        <v>145.1</v>
      </c>
      <c r="O24" s="89">
        <f t="shared" si="10"/>
        <v>160.1</v>
      </c>
    </row>
    <row r="25" spans="2:16">
      <c r="B25" t="s">
        <v>143</v>
      </c>
      <c r="C25" s="47">
        <f>C21*D12</f>
        <v>52</v>
      </c>
      <c r="E25" s="47">
        <v>5</v>
      </c>
      <c r="F25" s="89">
        <f t="shared" si="11"/>
        <v>105</v>
      </c>
      <c r="G25" s="89">
        <f t="shared" si="2"/>
        <v>120</v>
      </c>
      <c r="H25" s="89">
        <f t="shared" si="3"/>
        <v>120</v>
      </c>
      <c r="I25" s="47">
        <f t="shared" si="4"/>
        <v>133.75</v>
      </c>
      <c r="J25" s="47">
        <f t="shared" si="5"/>
        <v>133.75</v>
      </c>
      <c r="K25" s="89">
        <f t="shared" si="6"/>
        <v>147.1</v>
      </c>
      <c r="L25" s="89">
        <f t="shared" si="7"/>
        <v>147.1</v>
      </c>
      <c r="M25" s="89">
        <f t="shared" si="8"/>
        <v>160.1</v>
      </c>
      <c r="N25" s="89">
        <f t="shared" si="9"/>
        <v>160.1</v>
      </c>
      <c r="O25" s="89">
        <f t="shared" si="10"/>
        <v>175.1</v>
      </c>
    </row>
    <row r="26" spans="2:16">
      <c r="C26" s="48">
        <f>SUM(C23:C25)</f>
        <v>130</v>
      </c>
      <c r="E26" s="47">
        <v>5</v>
      </c>
      <c r="F26" s="89">
        <f t="shared" si="11"/>
        <v>120</v>
      </c>
      <c r="G26" s="89">
        <f t="shared" si="2"/>
        <v>135</v>
      </c>
      <c r="H26" s="89">
        <f t="shared" si="3"/>
        <v>135</v>
      </c>
      <c r="I26" s="47">
        <f t="shared" si="4"/>
        <v>148.75</v>
      </c>
      <c r="J26" s="47">
        <f t="shared" si="5"/>
        <v>148.75</v>
      </c>
      <c r="K26" s="89">
        <f t="shared" si="6"/>
        <v>162.1</v>
      </c>
      <c r="L26" s="89">
        <f t="shared" si="7"/>
        <v>162.1</v>
      </c>
      <c r="M26" s="89">
        <f t="shared" si="8"/>
        <v>175.1</v>
      </c>
      <c r="N26" s="89">
        <f t="shared" si="9"/>
        <v>175.1</v>
      </c>
      <c r="O26" s="89">
        <f t="shared" si="10"/>
        <v>190.1</v>
      </c>
    </row>
    <row r="27" spans="2:16">
      <c r="E27" s="47">
        <v>5</v>
      </c>
      <c r="F27" s="89">
        <f t="shared" si="11"/>
        <v>135</v>
      </c>
      <c r="G27" s="89">
        <f t="shared" si="2"/>
        <v>150</v>
      </c>
      <c r="H27" s="89">
        <f t="shared" si="3"/>
        <v>150</v>
      </c>
      <c r="I27" s="47">
        <f t="shared" si="4"/>
        <v>163.75</v>
      </c>
      <c r="J27" s="47">
        <f t="shared" si="5"/>
        <v>163.75</v>
      </c>
      <c r="K27" s="89">
        <f t="shared" si="6"/>
        <v>177.1</v>
      </c>
      <c r="L27" s="89">
        <f t="shared" si="7"/>
        <v>177.1</v>
      </c>
      <c r="M27" s="89">
        <f t="shared" si="8"/>
        <v>190.1</v>
      </c>
      <c r="N27" s="89">
        <f t="shared" si="9"/>
        <v>190.1</v>
      </c>
      <c r="O27" s="89">
        <f t="shared" si="10"/>
        <v>205.1</v>
      </c>
    </row>
    <row r="28" spans="2:16">
      <c r="B28">
        <v>7</v>
      </c>
      <c r="C28">
        <v>0.5</v>
      </c>
      <c r="D28">
        <f>2*0.36</f>
        <v>0.72</v>
      </c>
      <c r="E28" s="47">
        <v>5</v>
      </c>
      <c r="F28" s="89">
        <f t="shared" si="11"/>
        <v>150</v>
      </c>
      <c r="G28" s="89">
        <f t="shared" si="2"/>
        <v>165</v>
      </c>
      <c r="H28" s="89">
        <f t="shared" si="3"/>
        <v>165</v>
      </c>
      <c r="I28" s="47">
        <f t="shared" si="4"/>
        <v>178.75</v>
      </c>
      <c r="J28" s="47">
        <f t="shared" si="5"/>
        <v>178.75</v>
      </c>
      <c r="K28" s="89">
        <f t="shared" si="6"/>
        <v>192.1</v>
      </c>
      <c r="L28" s="89">
        <f t="shared" si="7"/>
        <v>192.1</v>
      </c>
      <c r="M28" s="89">
        <f t="shared" si="8"/>
        <v>205.1</v>
      </c>
      <c r="N28" s="89">
        <f t="shared" si="9"/>
        <v>205.1</v>
      </c>
      <c r="O28" s="89">
        <f t="shared" si="10"/>
        <v>220.1</v>
      </c>
    </row>
    <row r="29" spans="2:16">
      <c r="E29" s="47">
        <v>5</v>
      </c>
      <c r="F29" s="89">
        <f t="shared" si="11"/>
        <v>165</v>
      </c>
      <c r="G29" s="89">
        <f t="shared" si="2"/>
        <v>180</v>
      </c>
      <c r="H29" s="89">
        <f t="shared" si="3"/>
        <v>180</v>
      </c>
      <c r="I29" s="47">
        <f t="shared" si="4"/>
        <v>193.75</v>
      </c>
      <c r="J29" s="47">
        <f t="shared" si="5"/>
        <v>193.75</v>
      </c>
      <c r="K29" s="89">
        <f t="shared" si="6"/>
        <v>207.1</v>
      </c>
      <c r="L29" s="89">
        <f t="shared" si="7"/>
        <v>207.1</v>
      </c>
      <c r="M29" s="89">
        <f t="shared" si="8"/>
        <v>220.1</v>
      </c>
      <c r="N29" s="89">
        <f t="shared" si="9"/>
        <v>220.1</v>
      </c>
      <c r="O29" s="89">
        <f t="shared" si="10"/>
        <v>235.1</v>
      </c>
    </row>
    <row r="30" spans="2:16">
      <c r="C30">
        <f>B28-C28-D28</f>
        <v>5.78</v>
      </c>
      <c r="E30" s="47">
        <v>5</v>
      </c>
      <c r="F30" s="89">
        <f t="shared" si="11"/>
        <v>180</v>
      </c>
      <c r="G30" s="89">
        <f t="shared" si="2"/>
        <v>195</v>
      </c>
      <c r="H30" s="89">
        <f t="shared" si="3"/>
        <v>195</v>
      </c>
      <c r="I30" s="47">
        <f t="shared" si="4"/>
        <v>208.75</v>
      </c>
      <c r="J30" s="47">
        <f t="shared" si="5"/>
        <v>208.75</v>
      </c>
      <c r="K30" s="89">
        <f t="shared" si="6"/>
        <v>222.1</v>
      </c>
      <c r="L30" s="89">
        <f t="shared" si="7"/>
        <v>222.1</v>
      </c>
      <c r="M30" s="89">
        <f t="shared" si="8"/>
        <v>235.1</v>
      </c>
      <c r="N30" s="89">
        <f t="shared" si="9"/>
        <v>235.1</v>
      </c>
      <c r="O30" s="89">
        <f t="shared" si="10"/>
        <v>250.1</v>
      </c>
    </row>
    <row r="31" spans="2:16">
      <c r="C31">
        <f>C30/0.36</f>
        <v>16.055555555555557</v>
      </c>
      <c r="E31" s="47">
        <v>5</v>
      </c>
      <c r="F31" s="89">
        <f t="shared" si="11"/>
        <v>195</v>
      </c>
      <c r="G31" s="89">
        <f t="shared" si="2"/>
        <v>210</v>
      </c>
      <c r="H31" s="89">
        <f t="shared" si="3"/>
        <v>210</v>
      </c>
      <c r="I31" s="47">
        <f t="shared" si="4"/>
        <v>223.75</v>
      </c>
      <c r="J31" s="47">
        <f t="shared" si="5"/>
        <v>223.75</v>
      </c>
      <c r="K31" s="89">
        <f t="shared" si="6"/>
        <v>237.1</v>
      </c>
      <c r="L31" s="89">
        <f t="shared" si="7"/>
        <v>237.1</v>
      </c>
      <c r="M31" s="89">
        <f t="shared" si="8"/>
        <v>250.1</v>
      </c>
      <c r="N31" s="89">
        <f t="shared" si="9"/>
        <v>250.1</v>
      </c>
      <c r="O31" s="89">
        <f t="shared" si="10"/>
        <v>265.10000000000002</v>
      </c>
    </row>
    <row r="32" spans="2:16">
      <c r="E32" s="47">
        <v>5</v>
      </c>
      <c r="F32" s="89">
        <f t="shared" si="11"/>
        <v>210</v>
      </c>
      <c r="G32" s="89">
        <f t="shared" si="2"/>
        <v>225</v>
      </c>
      <c r="H32" s="89">
        <f t="shared" si="3"/>
        <v>225</v>
      </c>
      <c r="I32" s="47">
        <f t="shared" si="4"/>
        <v>238.75</v>
      </c>
      <c r="J32" s="47">
        <f t="shared" si="5"/>
        <v>238.75</v>
      </c>
      <c r="K32" s="89">
        <f t="shared" si="6"/>
        <v>252.1</v>
      </c>
      <c r="L32" s="89">
        <f t="shared" si="7"/>
        <v>252.1</v>
      </c>
      <c r="M32" s="89">
        <f t="shared" si="8"/>
        <v>265.10000000000002</v>
      </c>
      <c r="N32" s="89">
        <f t="shared" si="9"/>
        <v>265.10000000000002</v>
      </c>
      <c r="O32" s="89">
        <f t="shared" si="10"/>
        <v>280.10000000000002</v>
      </c>
    </row>
    <row r="33" spans="5:15">
      <c r="E33" s="47">
        <v>5</v>
      </c>
      <c r="F33" s="89">
        <f t="shared" si="11"/>
        <v>225</v>
      </c>
      <c r="G33" s="89">
        <f t="shared" si="2"/>
        <v>240</v>
      </c>
      <c r="H33" s="89">
        <f t="shared" si="3"/>
        <v>240</v>
      </c>
      <c r="I33" s="47">
        <f t="shared" si="4"/>
        <v>253.75</v>
      </c>
      <c r="J33" s="47">
        <f t="shared" si="5"/>
        <v>253.75</v>
      </c>
      <c r="K33" s="89">
        <f t="shared" si="6"/>
        <v>267.10000000000002</v>
      </c>
      <c r="L33" s="89">
        <f t="shared" si="7"/>
        <v>267.10000000000002</v>
      </c>
      <c r="M33" s="89">
        <f t="shared" si="8"/>
        <v>280.10000000000002</v>
      </c>
      <c r="N33" s="89">
        <f t="shared" si="9"/>
        <v>280.10000000000002</v>
      </c>
      <c r="O33" s="89">
        <f t="shared" si="10"/>
        <v>295.10000000000002</v>
      </c>
    </row>
    <row r="34" spans="5:15">
      <c r="E34" s="47">
        <v>5</v>
      </c>
      <c r="F34" s="89">
        <f t="shared" si="11"/>
        <v>240</v>
      </c>
      <c r="G34" s="89">
        <f t="shared" si="2"/>
        <v>255</v>
      </c>
      <c r="H34" s="89">
        <f t="shared" si="3"/>
        <v>255</v>
      </c>
      <c r="I34" s="47">
        <f t="shared" si="4"/>
        <v>268.75</v>
      </c>
      <c r="J34" s="47">
        <f t="shared" si="5"/>
        <v>268.75</v>
      </c>
      <c r="K34" s="89">
        <f t="shared" si="6"/>
        <v>282.10000000000002</v>
      </c>
      <c r="L34" s="89">
        <f t="shared" si="7"/>
        <v>282.10000000000002</v>
      </c>
      <c r="M34" s="89">
        <f t="shared" si="8"/>
        <v>295.10000000000002</v>
      </c>
      <c r="N34" s="89">
        <f t="shared" si="9"/>
        <v>295.10000000000002</v>
      </c>
      <c r="O34" s="89">
        <f t="shared" si="10"/>
        <v>310.10000000000002</v>
      </c>
    </row>
    <row r="35" spans="5:15">
      <c r="E35" s="47">
        <v>5</v>
      </c>
      <c r="F35" s="89">
        <f t="shared" si="11"/>
        <v>255</v>
      </c>
      <c r="G35" s="89">
        <f t="shared" si="2"/>
        <v>270</v>
      </c>
      <c r="H35" s="89">
        <f t="shared" si="3"/>
        <v>270</v>
      </c>
      <c r="I35" s="47">
        <f t="shared" si="4"/>
        <v>283.75</v>
      </c>
      <c r="J35" s="47">
        <f t="shared" si="5"/>
        <v>283.75</v>
      </c>
      <c r="K35" s="89">
        <f t="shared" si="6"/>
        <v>297.10000000000002</v>
      </c>
      <c r="L35" s="89">
        <f t="shared" si="7"/>
        <v>297.10000000000002</v>
      </c>
      <c r="M35" s="89">
        <f t="shared" si="8"/>
        <v>310.10000000000002</v>
      </c>
      <c r="N35" s="89">
        <f t="shared" si="9"/>
        <v>310.10000000000002</v>
      </c>
      <c r="O35" s="89">
        <f t="shared" si="10"/>
        <v>325.10000000000002</v>
      </c>
    </row>
    <row r="36" spans="5:15">
      <c r="E36" s="47">
        <v>5</v>
      </c>
      <c r="F36" s="89">
        <f t="shared" si="11"/>
        <v>270</v>
      </c>
      <c r="G36" s="89">
        <f t="shared" si="2"/>
        <v>285</v>
      </c>
      <c r="H36" s="89">
        <f t="shared" si="3"/>
        <v>285</v>
      </c>
      <c r="I36" s="47">
        <f t="shared" si="4"/>
        <v>298.75</v>
      </c>
      <c r="J36" s="47">
        <f t="shared" si="5"/>
        <v>298.75</v>
      </c>
      <c r="K36" s="89">
        <f t="shared" si="6"/>
        <v>312.10000000000002</v>
      </c>
      <c r="L36" s="89">
        <f t="shared" si="7"/>
        <v>312.10000000000002</v>
      </c>
      <c r="M36" s="89">
        <f t="shared" si="8"/>
        <v>325.10000000000002</v>
      </c>
      <c r="N36" s="89">
        <f t="shared" si="9"/>
        <v>325.10000000000002</v>
      </c>
      <c r="O36" s="89">
        <f t="shared" si="10"/>
        <v>340.1</v>
      </c>
    </row>
    <row r="37" spans="5:15">
      <c r="E37" s="47">
        <v>5</v>
      </c>
      <c r="F37" s="89">
        <f t="shared" si="11"/>
        <v>285</v>
      </c>
      <c r="G37" s="89">
        <f t="shared" si="2"/>
        <v>300</v>
      </c>
      <c r="H37" s="89">
        <f t="shared" si="3"/>
        <v>300</v>
      </c>
      <c r="I37" s="47">
        <f t="shared" si="4"/>
        <v>313.75</v>
      </c>
      <c r="J37" s="47">
        <f t="shared" si="5"/>
        <v>313.75</v>
      </c>
      <c r="K37" s="89">
        <f t="shared" si="6"/>
        <v>327.10000000000002</v>
      </c>
      <c r="L37" s="89">
        <f t="shared" si="7"/>
        <v>327.10000000000002</v>
      </c>
      <c r="M37" s="89">
        <f t="shared" si="8"/>
        <v>340.1</v>
      </c>
      <c r="N37" s="89">
        <f t="shared" si="9"/>
        <v>340.1</v>
      </c>
      <c r="O37" s="89">
        <f t="shared" si="10"/>
        <v>355.1</v>
      </c>
    </row>
    <row r="38" spans="5:15">
      <c r="E38" s="47">
        <v>5</v>
      </c>
      <c r="F38" s="89">
        <f t="shared" si="11"/>
        <v>300</v>
      </c>
      <c r="G38" s="89">
        <f t="shared" si="2"/>
        <v>315</v>
      </c>
      <c r="H38" s="89">
        <f t="shared" si="3"/>
        <v>315</v>
      </c>
      <c r="I38" s="47">
        <f t="shared" si="4"/>
        <v>328.75</v>
      </c>
      <c r="J38" s="47">
        <f t="shared" si="5"/>
        <v>328.75</v>
      </c>
      <c r="K38" s="89">
        <f t="shared" si="6"/>
        <v>342.1</v>
      </c>
      <c r="L38" s="89">
        <f t="shared" si="7"/>
        <v>342.1</v>
      </c>
      <c r="M38" s="89">
        <f t="shared" si="8"/>
        <v>355.1</v>
      </c>
      <c r="N38" s="89">
        <f t="shared" si="9"/>
        <v>355.1</v>
      </c>
      <c r="O38" s="89">
        <f t="shared" si="10"/>
        <v>370.1</v>
      </c>
    </row>
    <row r="39" spans="5:15">
      <c r="E39" s="47">
        <v>5</v>
      </c>
      <c r="F39" s="89">
        <f t="shared" si="11"/>
        <v>315</v>
      </c>
      <c r="G39" s="89">
        <f t="shared" si="2"/>
        <v>330</v>
      </c>
      <c r="H39" s="89">
        <f t="shared" si="3"/>
        <v>330</v>
      </c>
      <c r="I39" s="47">
        <f t="shared" si="4"/>
        <v>343.75</v>
      </c>
      <c r="J39" s="47">
        <f t="shared" si="5"/>
        <v>343.75</v>
      </c>
      <c r="K39" s="89">
        <f t="shared" si="6"/>
        <v>357.1</v>
      </c>
      <c r="L39" s="89">
        <f t="shared" si="7"/>
        <v>357.1</v>
      </c>
      <c r="M39" s="89">
        <f t="shared" si="8"/>
        <v>370.1</v>
      </c>
      <c r="N39" s="89">
        <f t="shared" si="9"/>
        <v>370.1</v>
      </c>
      <c r="O39" s="89">
        <f t="shared" si="10"/>
        <v>385.1</v>
      </c>
    </row>
    <row r="40" spans="5:15">
      <c r="E40" s="47">
        <v>5</v>
      </c>
      <c r="F40" s="89">
        <f t="shared" si="11"/>
        <v>330</v>
      </c>
      <c r="G40" s="89">
        <f t="shared" si="2"/>
        <v>345</v>
      </c>
      <c r="H40" s="89">
        <f t="shared" si="3"/>
        <v>345</v>
      </c>
      <c r="I40" s="47">
        <f t="shared" si="4"/>
        <v>358.75</v>
      </c>
      <c r="J40" s="47">
        <f t="shared" si="5"/>
        <v>358.75</v>
      </c>
      <c r="K40" s="89">
        <f t="shared" si="6"/>
        <v>372.1</v>
      </c>
      <c r="L40" s="89">
        <f t="shared" si="7"/>
        <v>372.1</v>
      </c>
      <c r="M40" s="89">
        <f t="shared" si="8"/>
        <v>385.1</v>
      </c>
      <c r="N40" s="89">
        <f t="shared" si="9"/>
        <v>385.1</v>
      </c>
      <c r="O40" s="89">
        <f t="shared" si="10"/>
        <v>400.1</v>
      </c>
    </row>
    <row r="41" spans="5:15">
      <c r="E41" s="47">
        <v>5</v>
      </c>
      <c r="F41" s="89">
        <f t="shared" si="11"/>
        <v>345</v>
      </c>
      <c r="G41" s="89">
        <f t="shared" si="2"/>
        <v>360</v>
      </c>
      <c r="H41" s="89">
        <f t="shared" si="3"/>
        <v>360</v>
      </c>
      <c r="I41" s="47">
        <f t="shared" si="4"/>
        <v>373.75</v>
      </c>
      <c r="J41" s="47">
        <f t="shared" si="5"/>
        <v>373.75</v>
      </c>
      <c r="K41" s="89">
        <f t="shared" si="6"/>
        <v>387.1</v>
      </c>
      <c r="L41" s="89">
        <f t="shared" si="7"/>
        <v>387.1</v>
      </c>
      <c r="M41" s="89">
        <f t="shared" si="8"/>
        <v>400.1</v>
      </c>
      <c r="N41" s="89">
        <f t="shared" si="9"/>
        <v>400.1</v>
      </c>
      <c r="O41" s="89">
        <f t="shared" si="10"/>
        <v>415.1</v>
      </c>
    </row>
    <row r="42" spans="5:15">
      <c r="E42" s="47">
        <v>5</v>
      </c>
      <c r="F42" s="89">
        <f t="shared" si="11"/>
        <v>360</v>
      </c>
      <c r="G42" s="89">
        <f t="shared" si="2"/>
        <v>375</v>
      </c>
      <c r="H42" s="89">
        <f t="shared" si="3"/>
        <v>375</v>
      </c>
      <c r="I42" s="47">
        <f t="shared" si="4"/>
        <v>388.75</v>
      </c>
      <c r="J42" s="47">
        <f t="shared" si="5"/>
        <v>388.75</v>
      </c>
      <c r="K42" s="89">
        <f t="shared" si="6"/>
        <v>402.1</v>
      </c>
      <c r="L42" s="89">
        <f t="shared" si="7"/>
        <v>402.1</v>
      </c>
      <c r="M42" s="89">
        <f t="shared" si="8"/>
        <v>415.1</v>
      </c>
      <c r="N42" s="89">
        <f t="shared" si="9"/>
        <v>415.1</v>
      </c>
      <c r="O42" s="89">
        <f t="shared" si="10"/>
        <v>430.1</v>
      </c>
    </row>
    <row r="43" spans="5:15">
      <c r="E43" s="47">
        <v>5</v>
      </c>
      <c r="F43" s="89">
        <f t="shared" si="11"/>
        <v>375</v>
      </c>
      <c r="G43" s="89">
        <f t="shared" si="2"/>
        <v>390</v>
      </c>
      <c r="H43" s="89">
        <f t="shared" si="3"/>
        <v>390</v>
      </c>
      <c r="I43" s="47">
        <f t="shared" si="4"/>
        <v>403.75</v>
      </c>
      <c r="J43" s="47">
        <f t="shared" si="5"/>
        <v>403.75</v>
      </c>
      <c r="K43" s="89">
        <f t="shared" si="6"/>
        <v>417.1</v>
      </c>
      <c r="L43" s="89">
        <f t="shared" si="7"/>
        <v>417.1</v>
      </c>
      <c r="M43" s="89">
        <f t="shared" si="8"/>
        <v>430.1</v>
      </c>
      <c r="N43" s="89">
        <f t="shared" si="9"/>
        <v>430.1</v>
      </c>
      <c r="O43" s="89">
        <f t="shared" si="10"/>
        <v>445.1</v>
      </c>
    </row>
    <row r="44" spans="5:15">
      <c r="E44" s="47">
        <f>SUM(E18:E43)</f>
        <v>130</v>
      </c>
      <c r="O44" s="89"/>
    </row>
  </sheetData>
  <mergeCells count="8">
    <mergeCell ref="N16:O16"/>
    <mergeCell ref="B18:C18"/>
    <mergeCell ref="B22:C22"/>
    <mergeCell ref="B9:D9"/>
    <mergeCell ref="F16:G16"/>
    <mergeCell ref="H16:I16"/>
    <mergeCell ref="J16:K16"/>
    <mergeCell ref="L16:M16"/>
  </mergeCells>
  <pageMargins left="0.75" right="0.75" top="1" bottom="1" header="0.5" footer="0.5"/>
  <pageSetup orientation="portrait" horizontalDpi="4294967292" verticalDpi="4294967292"/>
  <ignoredErrors>
    <ignoredError sqref="I18:M43 L9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F80B8-E17A-1649-9501-36C4E53F14C5}">
  <dimension ref="A1:AO72"/>
  <sheetViews>
    <sheetView workbookViewId="0">
      <selection activeCell="J62" sqref="J62"/>
    </sheetView>
  </sheetViews>
  <sheetFormatPr baseColWidth="10" defaultRowHeight="15"/>
  <cols>
    <col min="1" max="12" width="10.83203125" style="228"/>
    <col min="13" max="13" width="12.33203125" style="228" customWidth="1"/>
    <col min="14" max="16" width="10.83203125" style="228"/>
    <col min="17" max="17" width="16" style="228" customWidth="1"/>
    <col min="18" max="19" width="12" style="228" bestFit="1" customWidth="1"/>
    <col min="20" max="21" width="12.83203125" style="228" customWidth="1"/>
    <col min="22" max="16384" width="10.83203125" style="228"/>
  </cols>
  <sheetData>
    <row r="1" spans="1:25">
      <c r="A1" s="228" t="s">
        <v>599</v>
      </c>
      <c r="E1" s="229" t="s">
        <v>600</v>
      </c>
      <c r="F1" s="229" t="s">
        <v>601</v>
      </c>
      <c r="G1" s="229" t="s">
        <v>602</v>
      </c>
      <c r="H1" s="229" t="s">
        <v>603</v>
      </c>
      <c r="U1" s="228" t="s">
        <v>604</v>
      </c>
      <c r="V1" s="228" t="s">
        <v>605</v>
      </c>
      <c r="W1" s="229" t="s">
        <v>606</v>
      </c>
      <c r="X1" s="229" t="s">
        <v>607</v>
      </c>
      <c r="Y1" s="229" t="s">
        <v>608</v>
      </c>
    </row>
    <row r="2" spans="1:25">
      <c r="A2" s="230" t="s">
        <v>609</v>
      </c>
      <c r="B2" s="230" t="s">
        <v>610</v>
      </c>
      <c r="C2" s="230" t="s">
        <v>611</v>
      </c>
      <c r="D2" s="230" t="s">
        <v>612</v>
      </c>
      <c r="E2" s="231" t="s">
        <v>613</v>
      </c>
      <c r="F2" s="229">
        <v>5000</v>
      </c>
      <c r="G2" s="229">
        <v>8000</v>
      </c>
      <c r="H2" s="229">
        <v>6000</v>
      </c>
      <c r="I2" s="228">
        <f>SUM(F2:H2)</f>
        <v>19000</v>
      </c>
      <c r="Q2" s="228" t="s">
        <v>614</v>
      </c>
      <c r="R2" s="228">
        <f>I2*130</f>
        <v>2470000</v>
      </c>
      <c r="U2" s="228" t="s">
        <v>615</v>
      </c>
      <c r="V2" s="228">
        <v>40</v>
      </c>
      <c r="W2" s="232">
        <f>V2+V3+V4+V5+V6+V7+V8+V11</f>
        <v>114</v>
      </c>
      <c r="X2" s="232">
        <f>V2+V3+V4+V5+V6+V7+V9+V11</f>
        <v>119</v>
      </c>
      <c r="Y2" s="232">
        <f>V2+V3+V4+V5+V6+V7+V10+V11</f>
        <v>124</v>
      </c>
    </row>
    <row r="3" spans="1:25">
      <c r="A3" s="229">
        <v>4.68</v>
      </c>
      <c r="B3" s="229">
        <v>0.9</v>
      </c>
      <c r="C3" s="229">
        <v>0.95</v>
      </c>
      <c r="D3" s="233">
        <f>A3*B3*C3</f>
        <v>4.0013999999999994</v>
      </c>
      <c r="E3" s="229" t="s">
        <v>616</v>
      </c>
      <c r="F3" s="229">
        <v>3000</v>
      </c>
      <c r="G3" s="229">
        <v>5000</v>
      </c>
      <c r="H3" s="229">
        <v>3000</v>
      </c>
      <c r="I3" s="228">
        <f>SUM(F3:H3)</f>
        <v>11000</v>
      </c>
      <c r="Q3" s="228" t="s">
        <v>617</v>
      </c>
      <c r="R3" s="228">
        <f>I3*150</f>
        <v>1650000</v>
      </c>
      <c r="U3" s="228" t="s">
        <v>618</v>
      </c>
      <c r="V3" s="228">
        <v>4</v>
      </c>
    </row>
    <row r="4" spans="1:25">
      <c r="A4" s="229">
        <v>5.85</v>
      </c>
      <c r="B4" s="229">
        <v>0.9</v>
      </c>
      <c r="C4" s="229">
        <v>0.95</v>
      </c>
      <c r="D4" s="233">
        <f t="shared" ref="D4:D12" si="0">A4*B4*C4</f>
        <v>5.0017499999999995</v>
      </c>
      <c r="E4" s="229" t="s">
        <v>619</v>
      </c>
      <c r="F4" s="229">
        <v>2000</v>
      </c>
      <c r="G4" s="229">
        <v>4000</v>
      </c>
      <c r="H4" s="229">
        <v>3000</v>
      </c>
      <c r="I4" s="228">
        <f>SUM(F4:H4)</f>
        <v>9000</v>
      </c>
      <c r="Q4" s="228" t="s">
        <v>620</v>
      </c>
      <c r="R4" s="228">
        <f>I4*170</f>
        <v>1530000</v>
      </c>
      <c r="S4" s="234">
        <f>SUM(R2:R4)</f>
        <v>5650000</v>
      </c>
      <c r="U4" s="228" t="s">
        <v>621</v>
      </c>
      <c r="V4" s="228">
        <v>30</v>
      </c>
    </row>
    <row r="5" spans="1:25">
      <c r="A5" s="229">
        <v>1.17</v>
      </c>
      <c r="B5" s="229">
        <v>0.9</v>
      </c>
      <c r="C5" s="229">
        <v>0.95</v>
      </c>
      <c r="D5" s="233">
        <f t="shared" si="0"/>
        <v>1.0003499999999999</v>
      </c>
      <c r="Q5" s="228" t="s">
        <v>606</v>
      </c>
      <c r="R5" s="228">
        <f>W2*I2</f>
        <v>2166000</v>
      </c>
      <c r="S5" s="234"/>
      <c r="U5" s="228" t="s">
        <v>622</v>
      </c>
      <c r="V5" s="228">
        <v>15</v>
      </c>
    </row>
    <row r="6" spans="1:25">
      <c r="A6" s="229"/>
      <c r="B6" s="229"/>
      <c r="C6" s="230" t="s">
        <v>623</v>
      </c>
      <c r="D6" s="233">
        <f>SUM(D3:D5)</f>
        <v>10.003499999999997</v>
      </c>
      <c r="E6" s="235" t="s">
        <v>624</v>
      </c>
      <c r="H6" s="228">
        <f>420*26</f>
        <v>10920</v>
      </c>
      <c r="Q6" s="228" t="s">
        <v>607</v>
      </c>
      <c r="R6" s="228">
        <f>X2*I3</f>
        <v>1309000</v>
      </c>
      <c r="S6" s="234"/>
      <c r="U6" s="228" t="s">
        <v>625</v>
      </c>
      <c r="V6" s="228">
        <v>2</v>
      </c>
    </row>
    <row r="7" spans="1:25">
      <c r="A7" s="229"/>
      <c r="B7" s="229"/>
      <c r="C7" s="229"/>
      <c r="D7" s="233"/>
      <c r="E7" s="235" t="s">
        <v>626</v>
      </c>
      <c r="H7" s="228">
        <f>H6*1.4</f>
        <v>15287.999999999998</v>
      </c>
      <c r="Q7" s="228" t="s">
        <v>608</v>
      </c>
      <c r="R7" s="228">
        <f>Y2*I4</f>
        <v>1116000</v>
      </c>
      <c r="S7" s="236">
        <f>SUM(R5:R7)</f>
        <v>4591000</v>
      </c>
      <c r="U7" s="228" t="s">
        <v>627</v>
      </c>
      <c r="V7" s="228">
        <v>2</v>
      </c>
    </row>
    <row r="8" spans="1:25">
      <c r="A8" s="235" t="s">
        <v>628</v>
      </c>
      <c r="B8" s="229"/>
      <c r="C8" s="229"/>
      <c r="D8" s="233"/>
      <c r="E8" s="228" t="s">
        <v>629</v>
      </c>
      <c r="H8" s="228">
        <f>H7-H6</f>
        <v>4367.9999999999982</v>
      </c>
      <c r="Q8" s="228" t="s">
        <v>630</v>
      </c>
      <c r="S8" s="234">
        <f>S4-S7</f>
        <v>1059000</v>
      </c>
      <c r="U8" s="228" t="s">
        <v>631</v>
      </c>
      <c r="V8" s="228">
        <v>20</v>
      </c>
    </row>
    <row r="9" spans="1:25">
      <c r="A9" s="230" t="s">
        <v>632</v>
      </c>
      <c r="B9" s="230" t="s">
        <v>431</v>
      </c>
      <c r="C9" s="230" t="s">
        <v>246</v>
      </c>
      <c r="D9" s="230" t="s">
        <v>238</v>
      </c>
      <c r="Q9" s="228" t="s">
        <v>633</v>
      </c>
      <c r="R9" s="228">
        <v>90000</v>
      </c>
      <c r="S9" s="234"/>
      <c r="U9" s="228" t="s">
        <v>634</v>
      </c>
      <c r="V9" s="228">
        <v>25</v>
      </c>
    </row>
    <row r="10" spans="1:25">
      <c r="A10" s="229">
        <v>3.51</v>
      </c>
      <c r="B10" s="229">
        <v>0.9</v>
      </c>
      <c r="C10" s="229">
        <v>0.95</v>
      </c>
      <c r="D10" s="233">
        <f t="shared" si="0"/>
        <v>3.0010499999999998</v>
      </c>
      <c r="Q10" s="228" t="s">
        <v>635</v>
      </c>
      <c r="R10" s="228">
        <f>N71*3</f>
        <v>85176</v>
      </c>
      <c r="S10" s="234"/>
      <c r="U10" s="228" t="s">
        <v>636</v>
      </c>
      <c r="V10" s="228">
        <v>30</v>
      </c>
    </row>
    <row r="11" spans="1:25">
      <c r="A11" s="229">
        <v>3.51</v>
      </c>
      <c r="B11" s="229">
        <v>0.9</v>
      </c>
      <c r="C11" s="229">
        <v>0.95</v>
      </c>
      <c r="D11" s="233">
        <f t="shared" si="0"/>
        <v>3.0010499999999998</v>
      </c>
      <c r="F11" s="237"/>
      <c r="G11" s="237" t="s">
        <v>241</v>
      </c>
      <c r="H11" s="238"/>
      <c r="I11" s="238"/>
      <c r="J11" s="237" t="s">
        <v>637</v>
      </c>
      <c r="K11" s="237"/>
      <c r="L11" s="237"/>
      <c r="M11" s="237" t="s">
        <v>638</v>
      </c>
      <c r="N11" s="237"/>
      <c r="O11" s="237"/>
      <c r="Q11" s="228" t="s">
        <v>639</v>
      </c>
      <c r="R11" s="228">
        <f>M66*300</f>
        <v>11700</v>
      </c>
      <c r="U11" s="228" t="s">
        <v>640</v>
      </c>
      <c r="V11" s="228">
        <v>1</v>
      </c>
    </row>
    <row r="12" spans="1:25">
      <c r="A12" s="229">
        <v>4.68</v>
      </c>
      <c r="B12" s="229">
        <v>0.9</v>
      </c>
      <c r="C12" s="229">
        <v>0.95</v>
      </c>
      <c r="D12" s="233">
        <f t="shared" si="0"/>
        <v>4.0013999999999994</v>
      </c>
      <c r="F12" s="235"/>
      <c r="G12" s="229">
        <v>1</v>
      </c>
      <c r="H12" s="239">
        <v>2</v>
      </c>
      <c r="I12" s="229">
        <v>3</v>
      </c>
      <c r="J12" s="229">
        <v>1</v>
      </c>
      <c r="K12" s="229">
        <v>2</v>
      </c>
      <c r="L12" s="229">
        <v>3</v>
      </c>
      <c r="M12" s="229">
        <v>1</v>
      </c>
      <c r="N12" s="229">
        <v>2</v>
      </c>
      <c r="O12" s="229">
        <v>3</v>
      </c>
      <c r="Q12" s="228" t="s">
        <v>641</v>
      </c>
      <c r="R12" s="240">
        <f>N69</f>
        <v>10530.584999999977</v>
      </c>
      <c r="S12" s="234"/>
    </row>
    <row r="13" spans="1:25">
      <c r="A13" s="229"/>
      <c r="B13" s="229"/>
      <c r="C13" s="230" t="s">
        <v>623</v>
      </c>
      <c r="D13" s="233">
        <f>SUM(D10:D12)</f>
        <v>10.003499999999999</v>
      </c>
      <c r="F13" s="235" t="s">
        <v>11</v>
      </c>
      <c r="G13" s="229">
        <v>5000</v>
      </c>
      <c r="H13" s="229">
        <v>8000</v>
      </c>
      <c r="I13" s="229">
        <v>6000</v>
      </c>
      <c r="J13" s="229">
        <v>3000</v>
      </c>
      <c r="K13" s="229">
        <v>5000</v>
      </c>
      <c r="L13" s="229">
        <v>3000</v>
      </c>
      <c r="M13" s="229">
        <v>2000</v>
      </c>
      <c r="N13" s="229">
        <v>4000</v>
      </c>
      <c r="O13" s="229">
        <v>3000</v>
      </c>
      <c r="Q13" s="228" t="s">
        <v>642</v>
      </c>
      <c r="R13" s="240">
        <f>P20+AE36+AE52</f>
        <v>7539.610944</v>
      </c>
      <c r="S13" s="236">
        <f>SUM(R9:R13)</f>
        <v>204946.19594399998</v>
      </c>
    </row>
    <row r="14" spans="1:25" ht="16" thickBot="1">
      <c r="F14" s="241" t="s">
        <v>101</v>
      </c>
      <c r="G14" s="229">
        <v>0</v>
      </c>
      <c r="H14" s="229">
        <f>G18</f>
        <v>500</v>
      </c>
      <c r="I14" s="229">
        <f>H18</f>
        <v>800</v>
      </c>
      <c r="J14" s="229">
        <v>0</v>
      </c>
      <c r="K14" s="229">
        <f>J18</f>
        <v>300.00000000000045</v>
      </c>
      <c r="L14" s="229">
        <f>K18</f>
        <v>500</v>
      </c>
      <c r="M14" s="229">
        <v>0</v>
      </c>
      <c r="N14" s="229">
        <f>M18</f>
        <v>200</v>
      </c>
      <c r="O14" s="229">
        <f>N18</f>
        <v>400</v>
      </c>
      <c r="Q14" s="228" t="s">
        <v>643</v>
      </c>
      <c r="S14" s="242">
        <f>S8-S13</f>
        <v>854053.80405599996</v>
      </c>
    </row>
    <row r="15" spans="1:25" ht="16" thickTop="1">
      <c r="A15" s="228" t="s">
        <v>644</v>
      </c>
      <c r="F15" s="235" t="s">
        <v>250</v>
      </c>
      <c r="G15" s="229">
        <f>G13*1.1</f>
        <v>5500</v>
      </c>
      <c r="H15" s="229">
        <f>(H13*1.1)-H14</f>
        <v>8300</v>
      </c>
      <c r="I15" s="229">
        <f t="shared" ref="I15:O15" si="1">(I13*1.1)-I14</f>
        <v>5800.0000000000009</v>
      </c>
      <c r="J15" s="229">
        <f t="shared" si="1"/>
        <v>3300.0000000000005</v>
      </c>
      <c r="K15" s="229">
        <f t="shared" si="1"/>
        <v>5200</v>
      </c>
      <c r="L15" s="229">
        <f t="shared" si="1"/>
        <v>2800.0000000000005</v>
      </c>
      <c r="M15" s="229">
        <f t="shared" si="1"/>
        <v>2200</v>
      </c>
      <c r="N15" s="229">
        <f t="shared" si="1"/>
        <v>4200</v>
      </c>
      <c r="O15" s="229">
        <f t="shared" si="1"/>
        <v>2900.0000000000005</v>
      </c>
    </row>
    <row r="16" spans="1:25">
      <c r="A16" s="230" t="s">
        <v>632</v>
      </c>
      <c r="B16" s="230" t="s">
        <v>431</v>
      </c>
      <c r="C16" s="230" t="s">
        <v>246</v>
      </c>
      <c r="D16" s="230" t="s">
        <v>238</v>
      </c>
      <c r="F16" s="235" t="s">
        <v>18</v>
      </c>
      <c r="G16" s="229">
        <f>G14+G15</f>
        <v>5500</v>
      </c>
      <c r="H16" s="229">
        <f t="shared" ref="H16:O16" si="2">H14+H15</f>
        <v>8800</v>
      </c>
      <c r="I16" s="229">
        <f t="shared" si="2"/>
        <v>6600.0000000000009</v>
      </c>
      <c r="J16" s="229">
        <f t="shared" si="2"/>
        <v>3300.0000000000005</v>
      </c>
      <c r="K16" s="229">
        <f t="shared" si="2"/>
        <v>5500</v>
      </c>
      <c r="L16" s="229">
        <f t="shared" si="2"/>
        <v>3300.0000000000005</v>
      </c>
      <c r="M16" s="229">
        <f t="shared" si="2"/>
        <v>2200</v>
      </c>
      <c r="N16" s="229">
        <f t="shared" si="2"/>
        <v>4400</v>
      </c>
      <c r="O16" s="229">
        <f t="shared" si="2"/>
        <v>3300.0000000000005</v>
      </c>
      <c r="P16" s="243"/>
    </row>
    <row r="17" spans="1:29">
      <c r="A17" s="229">
        <v>4.68</v>
      </c>
      <c r="B17" s="229">
        <v>0.9</v>
      </c>
      <c r="C17" s="229">
        <v>0.95</v>
      </c>
      <c r="D17" s="233">
        <f t="shared" ref="D17:D23" si="3">A17*B17*C17</f>
        <v>4.0013999999999994</v>
      </c>
      <c r="F17" s="235" t="s">
        <v>19</v>
      </c>
      <c r="G17" s="229">
        <f>G13</f>
        <v>5000</v>
      </c>
      <c r="H17" s="229">
        <f>H13</f>
        <v>8000</v>
      </c>
      <c r="I17" s="229">
        <f t="shared" ref="I17:O17" si="4">I13</f>
        <v>6000</v>
      </c>
      <c r="J17" s="229">
        <f t="shared" si="4"/>
        <v>3000</v>
      </c>
      <c r="K17" s="229">
        <f t="shared" si="4"/>
        <v>5000</v>
      </c>
      <c r="L17" s="229">
        <f t="shared" si="4"/>
        <v>3000</v>
      </c>
      <c r="M17" s="229">
        <f t="shared" si="4"/>
        <v>2000</v>
      </c>
      <c r="N17" s="229">
        <f t="shared" si="4"/>
        <v>4000</v>
      </c>
      <c r="O17" s="229">
        <f t="shared" si="4"/>
        <v>3000</v>
      </c>
    </row>
    <row r="18" spans="1:29">
      <c r="A18" s="229">
        <v>1.17</v>
      </c>
      <c r="B18" s="229">
        <v>0.9</v>
      </c>
      <c r="C18" s="229">
        <v>0.95</v>
      </c>
      <c r="D18" s="233">
        <f t="shared" si="3"/>
        <v>1.0003499999999999</v>
      </c>
      <c r="F18" s="235" t="s">
        <v>255</v>
      </c>
      <c r="G18" s="229">
        <f t="shared" ref="G18:O18" si="5">G16-G17</f>
        <v>500</v>
      </c>
      <c r="H18" s="229">
        <f t="shared" si="5"/>
        <v>800</v>
      </c>
      <c r="I18" s="229">
        <f t="shared" si="5"/>
        <v>600.00000000000091</v>
      </c>
      <c r="J18" s="229">
        <f t="shared" si="5"/>
        <v>300.00000000000045</v>
      </c>
      <c r="K18" s="229">
        <f t="shared" si="5"/>
        <v>500</v>
      </c>
      <c r="L18" s="229">
        <f t="shared" si="5"/>
        <v>300.00000000000045</v>
      </c>
      <c r="M18" s="229">
        <f t="shared" si="5"/>
        <v>200</v>
      </c>
      <c r="N18" s="229">
        <f t="shared" si="5"/>
        <v>400</v>
      </c>
      <c r="O18" s="229">
        <f t="shared" si="5"/>
        <v>300.00000000000045</v>
      </c>
      <c r="P18" s="239"/>
    </row>
    <row r="19" spans="1:29">
      <c r="A19" s="229">
        <v>1.17</v>
      </c>
      <c r="B19" s="229">
        <v>0.9</v>
      </c>
      <c r="C19" s="229">
        <v>0.95</v>
      </c>
      <c r="D19" s="233">
        <f t="shared" si="3"/>
        <v>1.0003499999999999</v>
      </c>
      <c r="F19" s="244"/>
      <c r="G19" s="245"/>
      <c r="H19" s="238"/>
      <c r="I19" s="238"/>
      <c r="J19" s="246"/>
      <c r="K19" s="237"/>
      <c r="L19" s="237"/>
      <c r="M19" s="246"/>
      <c r="N19" s="237"/>
      <c r="O19" s="237"/>
    </row>
    <row r="20" spans="1:29">
      <c r="A20" s="229">
        <v>1.17</v>
      </c>
      <c r="B20" s="229">
        <v>0.9</v>
      </c>
      <c r="C20" s="229">
        <v>0.95</v>
      </c>
      <c r="D20" s="233">
        <f t="shared" si="3"/>
        <v>1.0003499999999999</v>
      </c>
      <c r="F20" s="235" t="s">
        <v>645</v>
      </c>
      <c r="G20" s="234">
        <f t="shared" ref="G20:O20" si="6">(G18/2)*0.5</f>
        <v>125</v>
      </c>
      <c r="H20" s="234">
        <f t="shared" si="6"/>
        <v>200</v>
      </c>
      <c r="I20" s="234">
        <f t="shared" si="6"/>
        <v>150.00000000000023</v>
      </c>
      <c r="J20" s="234">
        <f t="shared" si="6"/>
        <v>75.000000000000114</v>
      </c>
      <c r="K20" s="234">
        <f t="shared" si="6"/>
        <v>125</v>
      </c>
      <c r="L20" s="234">
        <f t="shared" si="6"/>
        <v>75.000000000000114</v>
      </c>
      <c r="M20" s="234">
        <f t="shared" si="6"/>
        <v>50</v>
      </c>
      <c r="N20" s="234">
        <f t="shared" si="6"/>
        <v>100</v>
      </c>
      <c r="O20" s="234">
        <f t="shared" si="6"/>
        <v>75.000000000000114</v>
      </c>
      <c r="P20" s="234">
        <f>SUM(G20:O20)</f>
        <v>975.00000000000057</v>
      </c>
    </row>
    <row r="21" spans="1:29">
      <c r="A21" s="229">
        <v>1.17</v>
      </c>
      <c r="B21" s="229">
        <v>0.9</v>
      </c>
      <c r="C21" s="229">
        <v>0.95</v>
      </c>
      <c r="D21" s="233">
        <f t="shared" si="3"/>
        <v>1.0003499999999999</v>
      </c>
    </row>
    <row r="22" spans="1:29">
      <c r="A22" s="229">
        <v>1.17</v>
      </c>
      <c r="B22" s="229">
        <v>0.9</v>
      </c>
      <c r="C22" s="229">
        <v>0.95</v>
      </c>
      <c r="D22" s="233">
        <f t="shared" si="3"/>
        <v>1.0003499999999999</v>
      </c>
      <c r="F22" s="247" t="s">
        <v>646</v>
      </c>
      <c r="G22" s="247"/>
      <c r="H22" s="247"/>
      <c r="I22" s="247"/>
      <c r="J22" s="248"/>
      <c r="K22" s="248"/>
      <c r="L22" s="248" t="s">
        <v>647</v>
      </c>
      <c r="M22" s="248"/>
      <c r="N22" s="248"/>
      <c r="O22" s="248"/>
      <c r="P22" s="248"/>
      <c r="Q22" s="248"/>
      <c r="R22" s="249" t="s">
        <v>648</v>
      </c>
      <c r="S22" s="248"/>
      <c r="T22" s="248"/>
      <c r="U22" s="248"/>
      <c r="V22" s="248"/>
      <c r="W22" s="248"/>
      <c r="X22" s="248"/>
      <c r="Y22" s="249" t="s">
        <v>649</v>
      </c>
      <c r="Z22" s="248"/>
      <c r="AA22" s="248"/>
      <c r="AB22" s="248"/>
      <c r="AC22" s="248"/>
    </row>
    <row r="23" spans="1:29">
      <c r="A23" s="229">
        <v>1.17</v>
      </c>
      <c r="B23" s="229">
        <v>0.9</v>
      </c>
      <c r="C23" s="229">
        <v>0.95</v>
      </c>
      <c r="D23" s="233">
        <f t="shared" si="3"/>
        <v>1.0003499999999999</v>
      </c>
      <c r="G23" s="229">
        <v>0</v>
      </c>
      <c r="H23" s="229">
        <v>1</v>
      </c>
      <c r="I23" s="229">
        <v>2</v>
      </c>
      <c r="J23" s="229">
        <v>3</v>
      </c>
      <c r="M23" s="229">
        <v>0</v>
      </c>
      <c r="N23" s="229">
        <v>1</v>
      </c>
      <c r="O23" s="229">
        <v>2</v>
      </c>
      <c r="P23" s="229">
        <v>3</v>
      </c>
      <c r="S23" s="229">
        <v>-1</v>
      </c>
      <c r="T23" s="229">
        <v>0</v>
      </c>
      <c r="U23" s="229">
        <v>1</v>
      </c>
      <c r="V23" s="229">
        <v>2</v>
      </c>
      <c r="W23" s="229">
        <v>3</v>
      </c>
      <c r="Z23" s="229">
        <v>0</v>
      </c>
      <c r="AA23" s="229">
        <v>1</v>
      </c>
      <c r="AB23" s="229">
        <v>2</v>
      </c>
      <c r="AC23" s="229">
        <v>3</v>
      </c>
    </row>
    <row r="24" spans="1:29">
      <c r="C24" s="230" t="s">
        <v>623</v>
      </c>
      <c r="D24" s="233">
        <f>SUM(D17:D23)</f>
        <v>10.003499999999997</v>
      </c>
      <c r="F24" s="228" t="s">
        <v>101</v>
      </c>
      <c r="G24" s="250"/>
      <c r="H24" s="250">
        <v>200</v>
      </c>
      <c r="I24" s="251">
        <f>H28</f>
        <v>550</v>
      </c>
      <c r="J24" s="251">
        <f>I28</f>
        <v>885</v>
      </c>
      <c r="L24" s="228" t="s">
        <v>101</v>
      </c>
      <c r="N24" s="228">
        <v>50</v>
      </c>
      <c r="O24" s="228">
        <f>N28</f>
        <v>2222</v>
      </c>
      <c r="P24" s="240">
        <f>O28</f>
        <v>3541.5</v>
      </c>
      <c r="R24" s="228" t="s">
        <v>101</v>
      </c>
      <c r="T24" s="250"/>
      <c r="U24" s="250">
        <v>100</v>
      </c>
      <c r="V24" s="251">
        <f>U28+1000</f>
        <v>1550</v>
      </c>
      <c r="W24" s="251">
        <f>V28</f>
        <v>885</v>
      </c>
      <c r="Y24" s="228" t="s">
        <v>101</v>
      </c>
      <c r="AA24" s="228">
        <v>200</v>
      </c>
      <c r="AB24" s="240">
        <f>AA28</f>
        <v>275</v>
      </c>
      <c r="AC24" s="240">
        <f>AB28</f>
        <v>415</v>
      </c>
    </row>
    <row r="25" spans="1:29">
      <c r="F25" s="228" t="s">
        <v>102</v>
      </c>
      <c r="G25" s="250"/>
      <c r="H25" s="251">
        <f>G29*0.97</f>
        <v>11350</v>
      </c>
      <c r="I25" s="251">
        <f>H29*0.97</f>
        <v>18035</v>
      </c>
      <c r="J25" s="251">
        <f>I29*0.97</f>
        <v>11190.000000000002</v>
      </c>
      <c r="L25" s="228" t="s">
        <v>102</v>
      </c>
      <c r="N25" s="228">
        <f>M29*0.97</f>
        <v>46172</v>
      </c>
      <c r="O25" s="228">
        <f>N29*0.97</f>
        <v>72119.5</v>
      </c>
      <c r="P25" s="240">
        <f>O29*0.97</f>
        <v>44765.5</v>
      </c>
      <c r="R25" s="228" t="s">
        <v>102</v>
      </c>
      <c r="T25" s="250"/>
      <c r="U25" s="251">
        <f>S29</f>
        <v>11450</v>
      </c>
      <c r="V25" s="251">
        <f>T29</f>
        <v>17035</v>
      </c>
      <c r="W25" s="251">
        <f>U29</f>
        <v>11190.000000000002</v>
      </c>
      <c r="Y25" s="228" t="s">
        <v>102</v>
      </c>
      <c r="AA25" s="240">
        <f>Z29</f>
        <v>5575</v>
      </c>
      <c r="AB25" s="240">
        <f>AA29</f>
        <v>8440</v>
      </c>
      <c r="AC25" s="240">
        <f>AB29</f>
        <v>5675.0000000000009</v>
      </c>
    </row>
    <row r="26" spans="1:29">
      <c r="A26" s="228" t="s">
        <v>650</v>
      </c>
      <c r="F26" s="228" t="s">
        <v>18</v>
      </c>
      <c r="G26" s="250"/>
      <c r="H26" s="251">
        <f>H24+H25</f>
        <v>11550</v>
      </c>
      <c r="I26" s="251">
        <f>I24+I25</f>
        <v>18585</v>
      </c>
      <c r="J26" s="251">
        <f>J24+J25</f>
        <v>12075.000000000002</v>
      </c>
      <c r="L26" s="228" t="s">
        <v>18</v>
      </c>
      <c r="N26" s="228">
        <f>N24+N25</f>
        <v>46222</v>
      </c>
      <c r="O26" s="228">
        <f>O24+O25</f>
        <v>74341.5</v>
      </c>
      <c r="P26" s="228">
        <f>P24+P25</f>
        <v>48307</v>
      </c>
      <c r="R26" s="228" t="s">
        <v>18</v>
      </c>
      <c r="T26" s="250"/>
      <c r="U26" s="251">
        <f>U24+U25</f>
        <v>11550</v>
      </c>
      <c r="V26" s="251">
        <f>V24+V25</f>
        <v>18585</v>
      </c>
      <c r="W26" s="251">
        <f>W24+W25</f>
        <v>12075.000000000002</v>
      </c>
      <c r="Y26" s="228" t="s">
        <v>18</v>
      </c>
      <c r="AA26" s="228">
        <f>AA24+AA25</f>
        <v>5775</v>
      </c>
      <c r="AB26" s="240">
        <f>AB24+AB25</f>
        <v>8715</v>
      </c>
      <c r="AC26" s="240">
        <f>AC24+AC25</f>
        <v>6090.0000000000009</v>
      </c>
    </row>
    <row r="27" spans="1:29">
      <c r="A27" s="230" t="s">
        <v>651</v>
      </c>
      <c r="B27" s="230" t="s">
        <v>609</v>
      </c>
      <c r="F27" s="228" t="s">
        <v>652</v>
      </c>
      <c r="G27" s="250"/>
      <c r="H27" s="250">
        <f>G32</f>
        <v>11000</v>
      </c>
      <c r="I27" s="250">
        <f>H32</f>
        <v>17700</v>
      </c>
      <c r="J27" s="250">
        <f>I32</f>
        <v>11500.000000000002</v>
      </c>
      <c r="L27" s="228" t="s">
        <v>652</v>
      </c>
      <c r="N27" s="228">
        <f>N32</f>
        <v>44000</v>
      </c>
      <c r="O27" s="228">
        <f>O32</f>
        <v>70800</v>
      </c>
      <c r="P27" s="228">
        <f>P32</f>
        <v>46000.000000000007</v>
      </c>
      <c r="R27" s="228" t="s">
        <v>652</v>
      </c>
      <c r="T27" s="250"/>
      <c r="U27" s="250">
        <f>T32</f>
        <v>11000</v>
      </c>
      <c r="V27" s="250">
        <f>U32</f>
        <v>17700</v>
      </c>
      <c r="W27" s="250">
        <f>V32</f>
        <v>11500.000000000002</v>
      </c>
      <c r="Y27" s="228" t="s">
        <v>652</v>
      </c>
      <c r="AA27" s="228">
        <f>AA32</f>
        <v>5500</v>
      </c>
      <c r="AB27" s="228">
        <f>AB32</f>
        <v>8300</v>
      </c>
      <c r="AC27" s="228">
        <f>AC32</f>
        <v>5800.0000000000009</v>
      </c>
    </row>
    <row r="28" spans="1:29">
      <c r="A28" s="229">
        <v>600</v>
      </c>
      <c r="B28" s="229">
        <f>60/A28</f>
        <v>0.1</v>
      </c>
      <c r="F28" s="228" t="s">
        <v>104</v>
      </c>
      <c r="G28" s="250"/>
      <c r="H28" s="251">
        <f>H26-H27</f>
        <v>550</v>
      </c>
      <c r="I28" s="251">
        <f>I26-I27</f>
        <v>885</v>
      </c>
      <c r="J28" s="251">
        <f>J26-J27</f>
        <v>575</v>
      </c>
      <c r="L28" s="228" t="s">
        <v>104</v>
      </c>
      <c r="N28" s="228">
        <f>N26-N27</f>
        <v>2222</v>
      </c>
      <c r="O28" s="240">
        <f>O26-O27</f>
        <v>3541.5</v>
      </c>
      <c r="P28" s="228">
        <f>P26-P27</f>
        <v>2306.9999999999927</v>
      </c>
      <c r="R28" s="228" t="s">
        <v>104</v>
      </c>
      <c r="T28" s="250"/>
      <c r="U28" s="251">
        <f>U26-U27</f>
        <v>550</v>
      </c>
      <c r="V28" s="251">
        <f>V26-V27</f>
        <v>885</v>
      </c>
      <c r="W28" s="251">
        <f>W26-W27</f>
        <v>575</v>
      </c>
      <c r="Y28" s="228" t="s">
        <v>104</v>
      </c>
      <c r="AA28" s="228">
        <f>AA26-AA27</f>
        <v>275</v>
      </c>
      <c r="AB28" s="240">
        <f>AB26-AB27</f>
        <v>415</v>
      </c>
      <c r="AC28" s="228">
        <f>AC26-AC27</f>
        <v>290</v>
      </c>
    </row>
    <row r="29" spans="1:29">
      <c r="F29" s="228" t="s">
        <v>105</v>
      </c>
      <c r="G29" s="251">
        <f>G33</f>
        <v>11701.030927835052</v>
      </c>
      <c r="H29" s="251">
        <f>H33</f>
        <v>18592.783505154639</v>
      </c>
      <c r="I29" s="251">
        <f>I33</f>
        <v>11536.082474226807</v>
      </c>
      <c r="J29" s="250" t="s">
        <v>127</v>
      </c>
      <c r="L29" s="228" t="s">
        <v>105</v>
      </c>
      <c r="M29" s="228">
        <f>N34</f>
        <v>47600</v>
      </c>
      <c r="N29" s="228">
        <f>O34</f>
        <v>74350</v>
      </c>
      <c r="O29" s="228">
        <f>P34</f>
        <v>46150</v>
      </c>
      <c r="R29" s="228" t="s">
        <v>105</v>
      </c>
      <c r="S29" s="251">
        <f>T33</f>
        <v>11450</v>
      </c>
      <c r="T29" s="251">
        <f>U33</f>
        <v>17035</v>
      </c>
      <c r="U29" s="251">
        <f>V33</f>
        <v>11190.000000000002</v>
      </c>
      <c r="V29" s="250" t="s">
        <v>127</v>
      </c>
      <c r="W29" s="250" t="s">
        <v>127</v>
      </c>
      <c r="Y29" s="228" t="s">
        <v>105</v>
      </c>
      <c r="Z29" s="240">
        <f>AA33</f>
        <v>5575</v>
      </c>
      <c r="AA29" s="240">
        <f>AB33</f>
        <v>8440</v>
      </c>
      <c r="AB29" s="240">
        <f>AC33</f>
        <v>5675.0000000000009</v>
      </c>
    </row>
    <row r="31" spans="1:29">
      <c r="F31" s="229" t="s">
        <v>653</v>
      </c>
      <c r="M31" s="229" t="s">
        <v>654</v>
      </c>
      <c r="P31" s="239"/>
      <c r="R31" s="229" t="s">
        <v>653</v>
      </c>
      <c r="Y31" s="229"/>
      <c r="Z31" s="229" t="s">
        <v>655</v>
      </c>
      <c r="AC31" s="239"/>
    </row>
    <row r="32" spans="1:29">
      <c r="F32" s="229" t="s">
        <v>652</v>
      </c>
      <c r="G32" s="228">
        <f>$G$15+$J$15+$M$15</f>
        <v>11000</v>
      </c>
      <c r="H32" s="228">
        <f>H15+K15+N15</f>
        <v>17700</v>
      </c>
      <c r="I32" s="228">
        <f>I15+L15+O15</f>
        <v>11500.000000000002</v>
      </c>
      <c r="M32" s="229" t="s">
        <v>652</v>
      </c>
      <c r="N32" s="228">
        <f>($G$15*4)+($J$15*4)+($M$15*4)</f>
        <v>44000</v>
      </c>
      <c r="O32" s="228">
        <f>(H15*4)+(K15*4)+(N15*4)</f>
        <v>70800</v>
      </c>
      <c r="P32" s="228">
        <f>(I15*4)+(L15*4)+(O15*4)</f>
        <v>46000.000000000007</v>
      </c>
      <c r="R32" s="229" t="s">
        <v>652</v>
      </c>
      <c r="T32" s="228">
        <f>$G$15+$J$15+$M$15</f>
        <v>11000</v>
      </c>
      <c r="U32" s="228">
        <f>$H$15+$K$15+$N$15</f>
        <v>17700</v>
      </c>
      <c r="V32" s="228">
        <f>$I$15+$L$15+$O$15</f>
        <v>11500.000000000002</v>
      </c>
      <c r="Y32" s="229"/>
      <c r="Z32" s="229" t="s">
        <v>652</v>
      </c>
      <c r="AA32" s="228">
        <f>G15</f>
        <v>5500</v>
      </c>
      <c r="AB32" s="228">
        <f>H15</f>
        <v>8300</v>
      </c>
      <c r="AC32" s="228">
        <f>I15</f>
        <v>5800.0000000000009</v>
      </c>
    </row>
    <row r="33" spans="6:41">
      <c r="F33" s="229" t="s">
        <v>107</v>
      </c>
      <c r="G33" s="240">
        <f>((G32*1.05)-H24)/0.97</f>
        <v>11701.030927835052</v>
      </c>
      <c r="H33" s="240">
        <f>((H32*1.05)-I24)/0.97</f>
        <v>18592.783505154639</v>
      </c>
      <c r="I33" s="240">
        <f>((I32*1.05)-J24)/0.97</f>
        <v>11536.082474226807</v>
      </c>
      <c r="M33" s="229" t="s">
        <v>656</v>
      </c>
      <c r="N33" s="240">
        <f>((N32*1.05)-N24)/0.97</f>
        <v>47577.319587628866</v>
      </c>
      <c r="O33" s="240">
        <f>((O32*1.05)-O24)/0.97</f>
        <v>74348.453608247422</v>
      </c>
      <c r="P33" s="240">
        <f>((P32*1.05)-P24)/0.97</f>
        <v>46142.78350515465</v>
      </c>
      <c r="R33" s="229" t="s">
        <v>107</v>
      </c>
      <c r="T33" s="240">
        <f>((T32*1.05)-U24)</f>
        <v>11450</v>
      </c>
      <c r="U33" s="240">
        <f>((U32*1.05)-V24)</f>
        <v>17035</v>
      </c>
      <c r="V33" s="240">
        <f>((V32*1.05)-W24)</f>
        <v>11190.000000000002</v>
      </c>
      <c r="Y33" s="229"/>
      <c r="Z33" s="229" t="s">
        <v>656</v>
      </c>
      <c r="AA33" s="240">
        <f>((AA32*1.05)-AA24)</f>
        <v>5575</v>
      </c>
      <c r="AB33" s="240">
        <f>((AB32*1.05)-AB24)</f>
        <v>8440</v>
      </c>
      <c r="AC33" s="240">
        <f>((AC32*1.05)-AC24)</f>
        <v>5675.0000000000009</v>
      </c>
    </row>
    <row r="34" spans="6:41">
      <c r="F34" s="229"/>
      <c r="G34" s="240"/>
      <c r="M34" s="229" t="s">
        <v>656</v>
      </c>
      <c r="N34" s="228">
        <v>47600</v>
      </c>
      <c r="O34" s="228">
        <v>74350</v>
      </c>
      <c r="P34" s="228">
        <v>46150</v>
      </c>
      <c r="R34" s="229"/>
      <c r="S34" s="240"/>
      <c r="AO34" s="229"/>
    </row>
    <row r="36" spans="6:41">
      <c r="F36" s="229" t="s">
        <v>645</v>
      </c>
      <c r="H36" s="228">
        <f>(H28/2)*0.5</f>
        <v>137.5</v>
      </c>
      <c r="I36" s="228">
        <f>(I28/2)*0.5</f>
        <v>221.25</v>
      </c>
      <c r="J36" s="228">
        <f>(J28/2)*0.5</f>
        <v>143.75</v>
      </c>
      <c r="K36" s="234">
        <f>(H36+I36+J36)*2</f>
        <v>1005</v>
      </c>
      <c r="N36" s="228">
        <f>(N28/2)*0.5</f>
        <v>555.5</v>
      </c>
      <c r="O36" s="228">
        <f>(O28/2)*0.5</f>
        <v>885.375</v>
      </c>
      <c r="P36" s="228">
        <f>(P28/2)*0.5</f>
        <v>576.74999999999818</v>
      </c>
      <c r="Q36" s="234">
        <f>SUM(N36:P36)</f>
        <v>2017.6249999999982</v>
      </c>
      <c r="U36" s="228">
        <f>(U28/2)*0.5</f>
        <v>137.5</v>
      </c>
      <c r="V36" s="228">
        <f>(V28/2)*0.5</f>
        <v>221.25</v>
      </c>
      <c r="W36" s="228">
        <f>(W28/2)*0.5</f>
        <v>143.75</v>
      </c>
      <c r="X36" s="234">
        <f>SUM(U36:W36)*2</f>
        <v>1005</v>
      </c>
      <c r="AA36" s="228">
        <f>(AA28/2)*0.5</f>
        <v>68.75</v>
      </c>
      <c r="AB36" s="228">
        <f>(AB28/2)*0.5</f>
        <v>103.75</v>
      </c>
      <c r="AC36" s="228">
        <f>(AC28/2)*0.5</f>
        <v>72.5</v>
      </c>
      <c r="AD36" s="234">
        <f>SUM(AA36:AC36)</f>
        <v>245</v>
      </c>
      <c r="AE36" s="234">
        <f>AD36+X36+Q36+K36</f>
        <v>4272.6249999999982</v>
      </c>
    </row>
    <row r="37" spans="6:41">
      <c r="F37" s="249" t="s">
        <v>657</v>
      </c>
      <c r="G37" s="248"/>
      <c r="H37" s="248"/>
      <c r="I37" s="248"/>
      <c r="J37" s="248"/>
      <c r="K37" s="248"/>
      <c r="L37" s="249" t="s">
        <v>658</v>
      </c>
      <c r="M37" s="248"/>
      <c r="N37" s="248"/>
      <c r="O37" s="248"/>
      <c r="P37" s="248"/>
      <c r="Q37" s="248"/>
      <c r="R37" s="252" t="s">
        <v>659</v>
      </c>
      <c r="S37" s="248"/>
      <c r="T37" s="248"/>
      <c r="U37" s="248"/>
      <c r="V37" s="248"/>
      <c r="W37" s="248"/>
      <c r="X37" s="248"/>
      <c r="Y37" s="249" t="s">
        <v>660</v>
      </c>
      <c r="Z37" s="248"/>
      <c r="AA37" s="248"/>
      <c r="AB37" s="248"/>
      <c r="AC37" s="248"/>
      <c r="AD37" s="232"/>
    </row>
    <row r="38" spans="6:41">
      <c r="G38" s="229">
        <v>0</v>
      </c>
      <c r="H38" s="229">
        <v>1</v>
      </c>
      <c r="I38" s="229">
        <v>2</v>
      </c>
      <c r="J38" s="229">
        <v>3</v>
      </c>
      <c r="K38" s="234"/>
      <c r="M38" s="229">
        <v>0</v>
      </c>
      <c r="N38" s="229">
        <v>1</v>
      </c>
      <c r="O38" s="229">
        <v>2</v>
      </c>
      <c r="P38" s="229">
        <v>3</v>
      </c>
      <c r="R38" s="234"/>
      <c r="S38" s="229">
        <v>0</v>
      </c>
      <c r="T38" s="229">
        <v>1</v>
      </c>
      <c r="U38" s="229">
        <v>2</v>
      </c>
      <c r="V38" s="229">
        <v>3</v>
      </c>
      <c r="Z38" s="229">
        <v>0</v>
      </c>
      <c r="AA38" s="229">
        <v>1</v>
      </c>
      <c r="AB38" s="229">
        <v>2</v>
      </c>
      <c r="AC38" s="229">
        <v>3</v>
      </c>
      <c r="AD38" s="234"/>
    </row>
    <row r="39" spans="6:41">
      <c r="F39" s="228" t="s">
        <v>101</v>
      </c>
      <c r="H39" s="228">
        <v>100</v>
      </c>
      <c r="I39" s="240">
        <f>H43</f>
        <v>550</v>
      </c>
      <c r="J39" s="240">
        <f>I43</f>
        <v>885</v>
      </c>
      <c r="K39" s="234"/>
      <c r="L39" s="228" t="s">
        <v>101</v>
      </c>
      <c r="N39" s="228">
        <v>500</v>
      </c>
      <c r="O39" s="240">
        <f>N44</f>
        <v>591.44000000000051</v>
      </c>
      <c r="P39" s="240">
        <f>O44</f>
        <v>895.93120000000272</v>
      </c>
      <c r="R39" s="234" t="s">
        <v>101</v>
      </c>
      <c r="T39" s="228">
        <v>50</v>
      </c>
      <c r="U39" s="240">
        <f>T43</f>
        <v>110</v>
      </c>
      <c r="V39" s="240">
        <f>U43</f>
        <v>210</v>
      </c>
      <c r="Y39" s="228" t="s">
        <v>101</v>
      </c>
      <c r="AA39" s="228">
        <v>150</v>
      </c>
      <c r="AB39" s="240">
        <f>AA43</f>
        <v>165</v>
      </c>
      <c r="AC39" s="240">
        <f>AB43</f>
        <v>260</v>
      </c>
      <c r="AD39" s="234"/>
    </row>
    <row r="40" spans="6:41">
      <c r="F40" s="228" t="s">
        <v>102</v>
      </c>
      <c r="H40" s="240">
        <f>G44</f>
        <v>11450</v>
      </c>
      <c r="I40" s="240">
        <f>H44</f>
        <v>18035</v>
      </c>
      <c r="J40" s="240">
        <f>I44</f>
        <v>11190.000000000002</v>
      </c>
      <c r="K40" s="234"/>
      <c r="L40" s="228" t="s">
        <v>102</v>
      </c>
      <c r="N40" s="240">
        <f>M45*0.96</f>
        <v>11328</v>
      </c>
      <c r="O40" s="240">
        <f>N45*0.96</f>
        <v>18384</v>
      </c>
      <c r="P40" s="240">
        <f>O45*0.96</f>
        <v>11472</v>
      </c>
      <c r="R40" s="234" t="s">
        <v>102</v>
      </c>
      <c r="T40" s="240">
        <f>S44</f>
        <v>2260</v>
      </c>
      <c r="U40" s="240">
        <f>T44</f>
        <v>4300</v>
      </c>
      <c r="V40" s="240">
        <f>U44</f>
        <v>2835.0000000000005</v>
      </c>
      <c r="Y40" s="228" t="s">
        <v>102</v>
      </c>
      <c r="AA40" s="240">
        <f>Z44</f>
        <v>3315.0000000000005</v>
      </c>
      <c r="AB40" s="240">
        <f>AA44</f>
        <v>5295</v>
      </c>
      <c r="AC40" s="240">
        <f>AB44</f>
        <v>2680.0000000000005</v>
      </c>
      <c r="AD40" s="234"/>
    </row>
    <row r="41" spans="6:41">
      <c r="F41" s="228" t="s">
        <v>18</v>
      </c>
      <c r="H41" s="228">
        <f>H39+H40</f>
        <v>11550</v>
      </c>
      <c r="I41" s="240">
        <f>I39+I40</f>
        <v>18585</v>
      </c>
      <c r="J41" s="240">
        <f>J39+J40</f>
        <v>12075.000000000002</v>
      </c>
      <c r="K41" s="234"/>
      <c r="L41" s="228" t="s">
        <v>661</v>
      </c>
      <c r="N41" s="240">
        <f>(N39+N40)*0.02</f>
        <v>236.56</v>
      </c>
      <c r="O41" s="240">
        <f>(O39+O40)*0.02</f>
        <v>379.50880000000006</v>
      </c>
      <c r="P41" s="240">
        <f>(P39+P40)*0.02</f>
        <v>247.35862400000005</v>
      </c>
      <c r="R41" s="234" t="s">
        <v>18</v>
      </c>
      <c r="T41" s="228">
        <f>T39+T40</f>
        <v>2310</v>
      </c>
      <c r="U41" s="240">
        <f>U39+U40</f>
        <v>4410</v>
      </c>
      <c r="V41" s="240">
        <f>V39+V40</f>
        <v>3045.0000000000005</v>
      </c>
      <c r="Y41" s="228" t="s">
        <v>18</v>
      </c>
      <c r="AA41" s="228">
        <f>AA39+AA40</f>
        <v>3465.0000000000005</v>
      </c>
      <c r="AB41" s="240">
        <f>AB39+AB40</f>
        <v>5460</v>
      </c>
      <c r="AC41" s="240">
        <f>AC39+AC40</f>
        <v>2940.0000000000005</v>
      </c>
      <c r="AD41" s="234"/>
    </row>
    <row r="42" spans="6:41">
      <c r="F42" s="228" t="s">
        <v>652</v>
      </c>
      <c r="H42" s="228">
        <f>H47</f>
        <v>11000</v>
      </c>
      <c r="I42" s="228">
        <f>I47</f>
        <v>17700</v>
      </c>
      <c r="J42" s="228">
        <f>J47</f>
        <v>11500.000000000002</v>
      </c>
      <c r="K42" s="234"/>
      <c r="L42" s="228" t="s">
        <v>18</v>
      </c>
      <c r="N42" s="240">
        <f>N39+N40-N41</f>
        <v>11591.44</v>
      </c>
      <c r="O42" s="240">
        <f>O39+O40-O41</f>
        <v>18595.931200000003</v>
      </c>
      <c r="P42" s="240">
        <f>P39+P40-P41</f>
        <v>12120.572576000002</v>
      </c>
      <c r="R42" s="234" t="s">
        <v>652</v>
      </c>
      <c r="T42" s="228">
        <f>T47</f>
        <v>2200</v>
      </c>
      <c r="U42" s="228">
        <f>U47</f>
        <v>4200</v>
      </c>
      <c r="V42" s="228">
        <f>V47</f>
        <v>2900.0000000000005</v>
      </c>
      <c r="Y42" s="228" t="s">
        <v>652</v>
      </c>
      <c r="AA42" s="228">
        <f>AA47</f>
        <v>3300.0000000000005</v>
      </c>
      <c r="AB42" s="228">
        <f>AB47</f>
        <v>5200</v>
      </c>
      <c r="AC42" s="228">
        <f>AC47</f>
        <v>2800.0000000000005</v>
      </c>
      <c r="AD42" s="234"/>
    </row>
    <row r="43" spans="6:41">
      <c r="F43" s="228" t="s">
        <v>104</v>
      </c>
      <c r="H43" s="228">
        <f>H41-H42</f>
        <v>550</v>
      </c>
      <c r="I43" s="240">
        <f>I41-I42</f>
        <v>885</v>
      </c>
      <c r="J43" s="228">
        <f>J41-J42</f>
        <v>575</v>
      </c>
      <c r="K43" s="234"/>
      <c r="L43" s="228" t="s">
        <v>652</v>
      </c>
      <c r="N43" s="240">
        <f>N47</f>
        <v>11000</v>
      </c>
      <c r="O43" s="240">
        <f>O47</f>
        <v>17700</v>
      </c>
      <c r="P43" s="240">
        <f>P47</f>
        <v>11500.000000000002</v>
      </c>
      <c r="R43" s="234" t="s">
        <v>104</v>
      </c>
      <c r="T43" s="228">
        <f>T41-T42</f>
        <v>110</v>
      </c>
      <c r="U43" s="240">
        <f>U41-U42</f>
        <v>210</v>
      </c>
      <c r="V43" s="228">
        <f>V41-V42</f>
        <v>145</v>
      </c>
      <c r="Y43" s="228" t="s">
        <v>104</v>
      </c>
      <c r="AA43" s="228">
        <f>AA41-AA42</f>
        <v>165</v>
      </c>
      <c r="AB43" s="240">
        <f>AB41-AB42</f>
        <v>260</v>
      </c>
      <c r="AC43" s="228">
        <f>AC41-AC42</f>
        <v>140</v>
      </c>
      <c r="AD43" s="234"/>
    </row>
    <row r="44" spans="6:41">
      <c r="F44" s="228" t="s">
        <v>105</v>
      </c>
      <c r="G44" s="240">
        <f>H48</f>
        <v>11450</v>
      </c>
      <c r="H44" s="240">
        <f>I48</f>
        <v>18035</v>
      </c>
      <c r="I44" s="240">
        <f>J48</f>
        <v>11190.000000000002</v>
      </c>
      <c r="K44" s="234"/>
      <c r="L44" s="228" t="s">
        <v>104</v>
      </c>
      <c r="N44" s="240">
        <f>N42-N43</f>
        <v>591.44000000000051</v>
      </c>
      <c r="O44" s="240">
        <f>O42-O43</f>
        <v>895.93120000000272</v>
      </c>
      <c r="P44" s="240">
        <f>P42-P43</f>
        <v>620.57257600000048</v>
      </c>
      <c r="R44" s="234" t="s">
        <v>105</v>
      </c>
      <c r="S44" s="240">
        <f>T48</f>
        <v>2260</v>
      </c>
      <c r="T44" s="240">
        <f>U48</f>
        <v>4300</v>
      </c>
      <c r="U44" s="240">
        <f>V48</f>
        <v>2835.0000000000005</v>
      </c>
      <c r="Y44" s="228" t="s">
        <v>105</v>
      </c>
      <c r="Z44" s="240">
        <f>AA48</f>
        <v>3315.0000000000005</v>
      </c>
      <c r="AA44" s="240">
        <f>AB48</f>
        <v>5295</v>
      </c>
      <c r="AB44" s="240">
        <f>AC48</f>
        <v>2680.0000000000005</v>
      </c>
      <c r="AD44" s="234"/>
    </row>
    <row r="45" spans="6:41">
      <c r="K45" s="234"/>
      <c r="L45" s="228" t="s">
        <v>105</v>
      </c>
      <c r="M45" s="240">
        <f>N51</f>
        <v>11800</v>
      </c>
      <c r="N45" s="240">
        <f>O51</f>
        <v>19150</v>
      </c>
      <c r="O45" s="240">
        <f>P51</f>
        <v>11950</v>
      </c>
      <c r="P45" s="240"/>
      <c r="R45" s="234"/>
      <c r="AD45" s="234"/>
    </row>
    <row r="46" spans="6:41">
      <c r="G46" s="229" t="s">
        <v>662</v>
      </c>
      <c r="J46" s="239"/>
      <c r="K46" s="234"/>
      <c r="M46" s="229" t="s">
        <v>653</v>
      </c>
      <c r="P46" s="239"/>
      <c r="R46" s="232"/>
      <c r="S46" s="229" t="s">
        <v>663</v>
      </c>
      <c r="V46" s="239"/>
      <c r="Y46" s="229"/>
      <c r="Z46" s="229" t="s">
        <v>664</v>
      </c>
      <c r="AC46" s="239"/>
      <c r="AD46" s="234"/>
    </row>
    <row r="47" spans="6:41">
      <c r="G47" s="229" t="s">
        <v>652</v>
      </c>
      <c r="H47" s="228">
        <f>($G$15*1)+($J$15*1)+($M$15*1)</f>
        <v>11000</v>
      </c>
      <c r="I47" s="228">
        <f>($H$15*1)+($K$15*1)+($N$15*1)</f>
        <v>17700</v>
      </c>
      <c r="J47" s="228">
        <f>(I15*1)+(L15*1)+(O15*1)</f>
        <v>11500.000000000002</v>
      </c>
      <c r="K47" s="234"/>
      <c r="L47" s="229"/>
      <c r="M47" s="229" t="s">
        <v>652</v>
      </c>
      <c r="N47" s="228">
        <f>($G$15*1)+($J$15*1)+($M$15*1)</f>
        <v>11000</v>
      </c>
      <c r="O47" s="228">
        <f>($H$15*1)+($K$15*1)+($N$15*1)</f>
        <v>17700</v>
      </c>
      <c r="P47" s="228">
        <f>($I$15*1)+($L$15*1)+($O$15*1)</f>
        <v>11500.000000000002</v>
      </c>
      <c r="R47" s="232"/>
      <c r="S47" s="229" t="s">
        <v>652</v>
      </c>
      <c r="T47" s="228">
        <f>M15</f>
        <v>2200</v>
      </c>
      <c r="U47" s="228">
        <f>N15</f>
        <v>4200</v>
      </c>
      <c r="V47" s="228">
        <f>O15</f>
        <v>2900.0000000000005</v>
      </c>
      <c r="Y47" s="229"/>
      <c r="Z47" s="229" t="s">
        <v>652</v>
      </c>
      <c r="AA47" s="228">
        <f>J15</f>
        <v>3300.0000000000005</v>
      </c>
      <c r="AB47" s="228">
        <f>K15</f>
        <v>5200</v>
      </c>
      <c r="AC47" s="228">
        <f>L15</f>
        <v>2800.0000000000005</v>
      </c>
      <c r="AD47" s="234"/>
    </row>
    <row r="48" spans="6:41">
      <c r="G48" s="229" t="s">
        <v>656</v>
      </c>
      <c r="H48" s="240">
        <f>((H47*1.05)-H39)</f>
        <v>11450</v>
      </c>
      <c r="I48" s="240">
        <f>((I47*1.05)-I39)</f>
        <v>18035</v>
      </c>
      <c r="J48" s="240">
        <f>((J47*1.05)-J39)</f>
        <v>11190.000000000002</v>
      </c>
      <c r="K48" s="234"/>
      <c r="L48" s="229"/>
      <c r="M48" s="229"/>
      <c r="N48" s="240">
        <f>(N47*1.05)-(N39*0.98)</f>
        <v>11060</v>
      </c>
      <c r="O48" s="240">
        <f>(O47*1.05)-(O39*0.98)</f>
        <v>18005.388800000001</v>
      </c>
      <c r="P48" s="240">
        <f>(P47*1.05)-(P39*0.98)</f>
        <v>11196.987423999999</v>
      </c>
      <c r="R48" s="232"/>
      <c r="S48" s="229" t="s">
        <v>656</v>
      </c>
      <c r="T48" s="240">
        <f>((T47*1.05)-T39)</f>
        <v>2260</v>
      </c>
      <c r="U48" s="240">
        <f>((U47*1.05)-U39)</f>
        <v>4300</v>
      </c>
      <c r="V48" s="240">
        <f>((V47*1.05)-V39)</f>
        <v>2835.0000000000005</v>
      </c>
      <c r="Y48" s="229"/>
      <c r="Z48" s="229" t="s">
        <v>656</v>
      </c>
      <c r="AA48" s="240">
        <f>((AA47*1.05)-AA39)</f>
        <v>3315.0000000000005</v>
      </c>
      <c r="AB48" s="240">
        <f>((AB47*1.05)-AB39)</f>
        <v>5295</v>
      </c>
      <c r="AC48" s="240">
        <f>((AC47*1.05)-AC39)</f>
        <v>2680.0000000000005</v>
      </c>
      <c r="AD48" s="234"/>
    </row>
    <row r="49" spans="6:31">
      <c r="G49" s="229"/>
      <c r="K49" s="234"/>
      <c r="L49" s="229"/>
      <c r="N49" s="240">
        <f>N48/0.98</f>
        <v>11285.714285714286</v>
      </c>
      <c r="O49" s="240">
        <f>O48/0.98</f>
        <v>18372.845714285715</v>
      </c>
      <c r="P49" s="240">
        <f>P48/0.98</f>
        <v>11425.49737142857</v>
      </c>
      <c r="R49" s="232"/>
      <c r="V49" s="229"/>
      <c r="Y49" s="229"/>
      <c r="AC49" s="229"/>
      <c r="AD49" s="234"/>
    </row>
    <row r="50" spans="6:31">
      <c r="K50" s="234"/>
      <c r="L50" s="229"/>
      <c r="N50" s="240">
        <f>N49/0.96</f>
        <v>11755.952380952382</v>
      </c>
      <c r="O50" s="240">
        <f>O49/0.96</f>
        <v>19138.380952380954</v>
      </c>
      <c r="P50" s="240">
        <f>P49/0.96</f>
        <v>11901.55976190476</v>
      </c>
      <c r="R50" s="234"/>
      <c r="AA50" s="228">
        <f>(AA43/2)*0.5</f>
        <v>41.25</v>
      </c>
      <c r="AB50" s="228">
        <f>(AB43/2)*0.5</f>
        <v>65</v>
      </c>
      <c r="AC50" s="228">
        <f>(AC43/2)*0.5</f>
        <v>35</v>
      </c>
      <c r="AD50" s="234"/>
    </row>
    <row r="51" spans="6:31">
      <c r="K51" s="234"/>
      <c r="N51" s="228">
        <v>11800</v>
      </c>
      <c r="O51" s="228">
        <v>19150</v>
      </c>
      <c r="P51" s="228">
        <v>11950</v>
      </c>
      <c r="R51" s="234"/>
      <c r="AD51" s="234"/>
    </row>
    <row r="52" spans="6:31">
      <c r="H52" s="228">
        <f>(H43/2)*0.5</f>
        <v>137.5</v>
      </c>
      <c r="I52" s="228">
        <f>(I43/2)*0.5</f>
        <v>221.25</v>
      </c>
      <c r="J52" s="228">
        <f>(J43/2)*0.5</f>
        <v>143.75</v>
      </c>
      <c r="K52" s="234">
        <f>(H52+I52+J52)*3</f>
        <v>1507.5</v>
      </c>
      <c r="N52" s="228">
        <f>(N44/2)*0.5</f>
        <v>147.86000000000013</v>
      </c>
      <c r="O52" s="253">
        <f>(O44/2)*0.5</f>
        <v>223.98280000000068</v>
      </c>
      <c r="P52" s="253">
        <f>(P44/2)*0.5</f>
        <v>155.14314400000012</v>
      </c>
      <c r="Q52" s="234">
        <f>SUM(N52:P52)</f>
        <v>526.98594400000093</v>
      </c>
      <c r="T52" s="228">
        <f>(T43/2)*0.5</f>
        <v>27.5</v>
      </c>
      <c r="U52" s="228">
        <f>(U43/2)*0.5</f>
        <v>52.5</v>
      </c>
      <c r="V52" s="228">
        <f>(V43/2)*0.5</f>
        <v>36.25</v>
      </c>
      <c r="W52" s="234">
        <f>SUM(T52:V52)</f>
        <v>116.25</v>
      </c>
      <c r="AA52" s="228">
        <f>(AA43/2)*0.5</f>
        <v>41.25</v>
      </c>
      <c r="AB52" s="228">
        <f>(AB43/2)*0.5</f>
        <v>65</v>
      </c>
      <c r="AC52" s="228">
        <f>(AC43/2)*0.5</f>
        <v>35</v>
      </c>
      <c r="AD52" s="234">
        <f>SUM(AA52:AC52)</f>
        <v>141.25</v>
      </c>
      <c r="AE52" s="234">
        <f>AD52+W52+Q52+K52</f>
        <v>2291.9859440000009</v>
      </c>
    </row>
    <row r="53" spans="6:31">
      <c r="F53" s="247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</row>
    <row r="54" spans="6:31">
      <c r="F54" s="254" t="s">
        <v>499</v>
      </c>
      <c r="G54" s="255"/>
      <c r="H54" s="255"/>
      <c r="I54" s="255"/>
      <c r="J54" s="255"/>
      <c r="K54" s="255"/>
      <c r="L54" s="255"/>
      <c r="M54" s="255"/>
      <c r="N54" s="255"/>
      <c r="O54" s="255"/>
      <c r="P54" s="255"/>
      <c r="Q54" s="255"/>
      <c r="R54" s="229"/>
    </row>
    <row r="55" spans="6:31">
      <c r="F55" s="228" t="s">
        <v>665</v>
      </c>
      <c r="G55" s="239">
        <f>AVERAGE(G15:I15)+(830/3)</f>
        <v>6810</v>
      </c>
      <c r="H55" s="229"/>
      <c r="I55" s="229"/>
      <c r="R55" s="229"/>
    </row>
    <row r="56" spans="6:31">
      <c r="F56" s="228" t="s">
        <v>666</v>
      </c>
      <c r="G56" s="239">
        <f>AVERAGE(J15:L15)+(520/3)</f>
        <v>3940</v>
      </c>
      <c r="R56" s="229"/>
    </row>
    <row r="57" spans="6:31">
      <c r="F57" s="228" t="s">
        <v>667</v>
      </c>
      <c r="G57" s="239">
        <f>AVERAGE(M15:O15)+(420/3)</f>
        <v>3240</v>
      </c>
      <c r="R57" s="229"/>
    </row>
    <row r="58" spans="6:31">
      <c r="G58" s="239">
        <f>SUM(G55:G57)</f>
        <v>13990</v>
      </c>
      <c r="R58" s="229"/>
    </row>
    <row r="59" spans="6:31">
      <c r="F59" s="228" t="s">
        <v>668</v>
      </c>
      <c r="G59" s="233">
        <f>H6/G58</f>
        <v>0.78055754110078623</v>
      </c>
      <c r="H59" s="253"/>
      <c r="I59" s="253"/>
      <c r="R59" s="229"/>
    </row>
    <row r="60" spans="6:31">
      <c r="G60" s="228" t="s">
        <v>669</v>
      </c>
      <c r="R60" s="229"/>
    </row>
    <row r="61" spans="6:31">
      <c r="G61" s="229" t="s">
        <v>670</v>
      </c>
      <c r="H61" s="229" t="s">
        <v>612</v>
      </c>
      <c r="I61" s="229" t="s">
        <v>671</v>
      </c>
      <c r="J61" s="229" t="s">
        <v>672</v>
      </c>
      <c r="K61" s="229" t="s">
        <v>673</v>
      </c>
      <c r="L61" s="229" t="s">
        <v>674</v>
      </c>
      <c r="M61" s="229" t="s">
        <v>675</v>
      </c>
      <c r="R61" s="229"/>
    </row>
    <row r="62" spans="6:31">
      <c r="G62" s="229">
        <v>1</v>
      </c>
      <c r="H62" s="233">
        <f>D6</f>
        <v>10.003499999999997</v>
      </c>
      <c r="I62" s="233">
        <f>H62/$G$59</f>
        <v>12.815839285714283</v>
      </c>
      <c r="J62" s="229">
        <v>13</v>
      </c>
      <c r="K62" s="229">
        <f>H62/J62</f>
        <v>0.76949999999999974</v>
      </c>
      <c r="L62" s="229">
        <v>13</v>
      </c>
      <c r="M62" s="228">
        <v>13</v>
      </c>
      <c r="R62" s="229"/>
    </row>
    <row r="63" spans="6:31">
      <c r="G63" s="229">
        <v>2</v>
      </c>
      <c r="H63" s="233">
        <f>D13</f>
        <v>10.003499999999999</v>
      </c>
      <c r="I63" s="233">
        <f>H63/$G$59</f>
        <v>12.815839285714285</v>
      </c>
      <c r="J63" s="229">
        <v>13</v>
      </c>
      <c r="K63" s="229">
        <f>H63/J63</f>
        <v>0.76949999999999996</v>
      </c>
      <c r="L63" s="229">
        <v>13</v>
      </c>
      <c r="M63" s="228">
        <v>13</v>
      </c>
      <c r="R63" s="229"/>
    </row>
    <row r="64" spans="6:31">
      <c r="G64" s="229">
        <v>3</v>
      </c>
      <c r="H64" s="233">
        <f>D24</f>
        <v>10.003499999999997</v>
      </c>
      <c r="I64" s="233">
        <f>H64/$G$59</f>
        <v>12.815839285714283</v>
      </c>
      <c r="J64" s="229">
        <v>13</v>
      </c>
      <c r="K64" s="229">
        <f>H64/J64</f>
        <v>0.76949999999999974</v>
      </c>
      <c r="L64" s="229">
        <v>13</v>
      </c>
      <c r="M64" s="228">
        <v>13</v>
      </c>
      <c r="R64" s="229"/>
    </row>
    <row r="65" spans="6:18">
      <c r="G65" s="229">
        <v>4</v>
      </c>
      <c r="H65" s="233">
        <f>B28</f>
        <v>0.1</v>
      </c>
      <c r="I65" s="233">
        <f>H65/$G$59</f>
        <v>0.12811355311355313</v>
      </c>
      <c r="J65" s="229">
        <v>1</v>
      </c>
      <c r="K65" s="229">
        <f>H65/J65</f>
        <v>0.1</v>
      </c>
      <c r="L65" s="229">
        <f>J65-1</f>
        <v>0</v>
      </c>
      <c r="M65" s="228">
        <v>0</v>
      </c>
      <c r="R65" s="229"/>
    </row>
    <row r="66" spans="6:18">
      <c r="M66" s="228">
        <f>SUM(M62:M65)</f>
        <v>39</v>
      </c>
      <c r="R66" s="229"/>
    </row>
    <row r="67" spans="6:18">
      <c r="G67" s="229" t="s">
        <v>676</v>
      </c>
      <c r="H67" s="229"/>
      <c r="I67" s="229"/>
      <c r="J67" s="229"/>
      <c r="K67" s="229"/>
      <c r="L67" s="229"/>
      <c r="R67" s="229"/>
    </row>
    <row r="68" spans="6:18">
      <c r="G68" s="229" t="s">
        <v>677</v>
      </c>
      <c r="H68" s="229" t="s">
        <v>578</v>
      </c>
      <c r="I68" s="229" t="s">
        <v>579</v>
      </c>
      <c r="J68" s="229" t="s">
        <v>678</v>
      </c>
      <c r="K68" s="229" t="s">
        <v>679</v>
      </c>
      <c r="L68" s="229" t="s">
        <v>680</v>
      </c>
      <c r="M68" s="229" t="s">
        <v>681</v>
      </c>
      <c r="N68" s="229" t="s">
        <v>682</v>
      </c>
      <c r="R68" s="229"/>
    </row>
    <row r="69" spans="6:18">
      <c r="G69" s="229">
        <f>($K$62*G15)+($K$62*J15)+($K$62*M15)</f>
        <v>8464.4999999999964</v>
      </c>
      <c r="H69" s="229">
        <f>($K$62*H15)+($K$62*K15)+($K$62*N15)</f>
        <v>13620.149999999994</v>
      </c>
      <c r="I69" s="229">
        <f>($K$62*I15)+($K$62*L15)+($K$62*O15)</f>
        <v>8849.2499999999982</v>
      </c>
      <c r="J69" s="229">
        <f>H6</f>
        <v>10920</v>
      </c>
      <c r="K69" s="229">
        <f>H69-J69</f>
        <v>2700.1499999999942</v>
      </c>
      <c r="L69" s="229">
        <v>39</v>
      </c>
      <c r="M69" s="233">
        <f>K69/60</f>
        <v>45.002499999999905</v>
      </c>
      <c r="N69" s="234">
        <f>M69*L69*6</f>
        <v>10530.584999999977</v>
      </c>
      <c r="R69" s="229"/>
    </row>
    <row r="70" spans="6:18">
      <c r="H70" s="229"/>
      <c r="I70" s="229"/>
      <c r="J70" s="229"/>
      <c r="K70" s="229"/>
      <c r="L70" s="229"/>
      <c r="M70" s="228" t="s">
        <v>683</v>
      </c>
      <c r="N70" s="229" t="s">
        <v>684</v>
      </c>
      <c r="R70" s="229"/>
    </row>
    <row r="71" spans="6:18">
      <c r="H71" s="229"/>
      <c r="I71" s="229"/>
      <c r="J71" s="229"/>
      <c r="K71" s="229"/>
      <c r="L71" s="229"/>
      <c r="M71" s="229">
        <f>(420/60)*26</f>
        <v>182</v>
      </c>
      <c r="N71" s="234">
        <f>M66*M71*4</f>
        <v>28392</v>
      </c>
      <c r="R71" s="229"/>
    </row>
    <row r="72" spans="6:18">
      <c r="F72" s="256"/>
      <c r="G72" s="256"/>
      <c r="H72" s="255"/>
      <c r="I72" s="255"/>
      <c r="J72" s="255"/>
      <c r="K72" s="255"/>
      <c r="L72" s="255"/>
      <c r="M72" s="256"/>
      <c r="N72" s="256"/>
      <c r="O72" s="256"/>
      <c r="P72" s="256"/>
      <c r="Q72" s="256"/>
    </row>
  </sheetData>
  <pageMargins left="0.7" right="0.7" top="0.75" bottom="0.75" header="0.3" footer="0.3"/>
  <pageSetup paperSize="0" orientation="portrait" horizontalDpi="4294967292" verticalDpi="429496729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3FEB4-F494-2A4D-8AA0-2F7663E197A0}">
  <dimension ref="A1:X41"/>
  <sheetViews>
    <sheetView zoomScaleNormal="100" zoomScalePageLayoutView="150" workbookViewId="0">
      <selection activeCell="I8" sqref="I8"/>
    </sheetView>
  </sheetViews>
  <sheetFormatPr baseColWidth="10" defaultRowHeight="15"/>
  <cols>
    <col min="1" max="1" width="7.5" style="228" customWidth="1"/>
    <col min="2" max="2" width="5.1640625" style="228" customWidth="1"/>
    <col min="3" max="3" width="6.1640625" style="228" customWidth="1"/>
    <col min="4" max="4" width="7.5" style="228" customWidth="1"/>
    <col min="5" max="5" width="4.5" style="228" customWidth="1"/>
    <col min="6" max="7" width="10.83203125" style="228"/>
    <col min="8" max="8" width="11.6640625" style="228" bestFit="1" customWidth="1"/>
    <col min="9" max="10" width="10.83203125" style="228"/>
    <col min="11" max="11" width="12" style="228" customWidth="1"/>
    <col min="12" max="12" width="14.1640625" style="228" bestFit="1" customWidth="1"/>
    <col min="13" max="13" width="6.5" style="228" customWidth="1"/>
    <col min="14" max="14" width="6" style="228" customWidth="1"/>
    <col min="15" max="15" width="5.83203125" style="228" customWidth="1"/>
    <col min="16" max="16" width="10.83203125" style="228"/>
    <col min="17" max="18" width="5.83203125" style="228" customWidth="1"/>
    <col min="19" max="19" width="5" style="228" customWidth="1"/>
    <col min="20" max="20" width="10.83203125" style="228"/>
    <col min="21" max="21" width="6" style="228" customWidth="1"/>
    <col min="22" max="22" width="6.33203125" style="228" customWidth="1"/>
    <col min="23" max="23" width="5.83203125" style="228" customWidth="1"/>
    <col min="24" max="16384" width="10.83203125" style="228"/>
  </cols>
  <sheetData>
    <row r="1" spans="1:10" ht="32">
      <c r="A1" s="228" t="s">
        <v>599</v>
      </c>
      <c r="F1" s="229" t="s">
        <v>600</v>
      </c>
      <c r="G1" s="229" t="s">
        <v>601</v>
      </c>
      <c r="H1" s="229" t="s">
        <v>685</v>
      </c>
      <c r="I1" s="257" t="s">
        <v>686</v>
      </c>
    </row>
    <row r="2" spans="1:10">
      <c r="A2" s="230" t="s">
        <v>609</v>
      </c>
      <c r="B2" s="230" t="s">
        <v>610</v>
      </c>
      <c r="C2" s="230" t="s">
        <v>611</v>
      </c>
      <c r="D2" s="230" t="s">
        <v>612</v>
      </c>
      <c r="F2" s="231" t="s">
        <v>613</v>
      </c>
      <c r="G2" s="229">
        <v>5000</v>
      </c>
      <c r="H2" s="229"/>
      <c r="I2" s="239">
        <f>G2/H3</f>
        <v>192.30769230769232</v>
      </c>
    </row>
    <row r="3" spans="1:10">
      <c r="A3" s="229">
        <v>4.68</v>
      </c>
      <c r="B3" s="229">
        <v>0.9</v>
      </c>
      <c r="C3" s="229">
        <v>0.95</v>
      </c>
      <c r="D3" s="233">
        <f>A3*B3*C3</f>
        <v>4.0013999999999994</v>
      </c>
      <c r="F3" s="229" t="s">
        <v>616</v>
      </c>
      <c r="G3" s="229">
        <v>3000</v>
      </c>
      <c r="H3" s="229">
        <v>26</v>
      </c>
      <c r="I3" s="239">
        <f>G3/H3</f>
        <v>115.38461538461539</v>
      </c>
    </row>
    <row r="4" spans="1:10">
      <c r="A4" s="229">
        <v>5.85</v>
      </c>
      <c r="B4" s="229">
        <v>0.9</v>
      </c>
      <c r="C4" s="229">
        <v>0.95</v>
      </c>
      <c r="D4" s="233">
        <f t="shared" ref="D4:D12" si="0">A4*B4*C4</f>
        <v>5.0017499999999995</v>
      </c>
      <c r="F4" s="229" t="s">
        <v>619</v>
      </c>
      <c r="G4" s="229">
        <v>2000</v>
      </c>
      <c r="H4" s="229"/>
      <c r="I4" s="239">
        <f>G4/H3</f>
        <v>76.92307692307692</v>
      </c>
    </row>
    <row r="5" spans="1:10">
      <c r="A5" s="229">
        <v>1.17</v>
      </c>
      <c r="B5" s="229">
        <v>0.9</v>
      </c>
      <c r="C5" s="229">
        <v>0.95</v>
      </c>
      <c r="D5" s="233">
        <f t="shared" si="0"/>
        <v>1.0003499999999999</v>
      </c>
      <c r="I5" s="239">
        <f>SUM(I2:I4)</f>
        <v>384.61538461538464</v>
      </c>
      <c r="J5" s="228" t="s">
        <v>687</v>
      </c>
    </row>
    <row r="6" spans="1:10">
      <c r="A6" s="229"/>
      <c r="B6" s="229"/>
      <c r="C6" s="230" t="s">
        <v>623</v>
      </c>
      <c r="D6" s="233">
        <f>SUM(D3:D5)</f>
        <v>10.003499999999997</v>
      </c>
    </row>
    <row r="7" spans="1:10">
      <c r="A7" s="229"/>
      <c r="B7" s="229"/>
      <c r="C7" s="229"/>
      <c r="D7" s="233"/>
      <c r="F7" s="235" t="s">
        <v>688</v>
      </c>
      <c r="H7" s="228">
        <v>420</v>
      </c>
      <c r="I7" s="228">
        <f>H7/60</f>
        <v>7</v>
      </c>
    </row>
    <row r="8" spans="1:10">
      <c r="A8" s="235" t="s">
        <v>628</v>
      </c>
      <c r="B8" s="229"/>
      <c r="C8" s="229"/>
      <c r="D8" s="233"/>
    </row>
    <row r="9" spans="1:10">
      <c r="A9" s="230" t="s">
        <v>632</v>
      </c>
      <c r="B9" s="230" t="s">
        <v>431</v>
      </c>
      <c r="C9" s="230" t="s">
        <v>246</v>
      </c>
      <c r="D9" s="230" t="s">
        <v>238</v>
      </c>
      <c r="F9" s="228" t="s">
        <v>689</v>
      </c>
      <c r="I9" s="228">
        <f>H7/I2</f>
        <v>2.1839999999999997</v>
      </c>
    </row>
    <row r="10" spans="1:10">
      <c r="A10" s="229">
        <v>3.51</v>
      </c>
      <c r="B10" s="229">
        <v>0.9</v>
      </c>
      <c r="C10" s="229">
        <v>0.95</v>
      </c>
      <c r="D10" s="233">
        <f t="shared" si="0"/>
        <v>3.0010499999999998</v>
      </c>
      <c r="F10" s="228" t="s">
        <v>690</v>
      </c>
      <c r="I10" s="228">
        <f>H7/I3</f>
        <v>3.64</v>
      </c>
    </row>
    <row r="11" spans="1:10">
      <c r="A11" s="229">
        <v>3.51</v>
      </c>
      <c r="B11" s="229">
        <v>0.9</v>
      </c>
      <c r="C11" s="229">
        <v>0.95</v>
      </c>
      <c r="D11" s="233">
        <f t="shared" si="0"/>
        <v>3.0010499999999998</v>
      </c>
      <c r="F11" s="228" t="s">
        <v>691</v>
      </c>
      <c r="I11" s="228">
        <f>H7/I4</f>
        <v>5.46</v>
      </c>
    </row>
    <row r="12" spans="1:10">
      <c r="A12" s="229">
        <v>4.68</v>
      </c>
      <c r="B12" s="229">
        <v>0.9</v>
      </c>
      <c r="C12" s="229">
        <v>0.95</v>
      </c>
      <c r="D12" s="233">
        <f t="shared" si="0"/>
        <v>4.0013999999999994</v>
      </c>
    </row>
    <row r="13" spans="1:10">
      <c r="A13" s="229"/>
      <c r="B13" s="229"/>
      <c r="C13" s="230" t="s">
        <v>623</v>
      </c>
      <c r="D13" s="233">
        <f>SUM(D10:D12)</f>
        <v>10.003499999999999</v>
      </c>
      <c r="F13" s="228" t="s">
        <v>692</v>
      </c>
    </row>
    <row r="15" spans="1:10">
      <c r="A15" s="228" t="s">
        <v>644</v>
      </c>
      <c r="F15" s="228" t="s">
        <v>693</v>
      </c>
      <c r="G15" s="228">
        <f>I11/I9</f>
        <v>2.5000000000000004</v>
      </c>
      <c r="H15" s="228">
        <v>3</v>
      </c>
    </row>
    <row r="16" spans="1:10">
      <c r="A16" s="230" t="s">
        <v>632</v>
      </c>
      <c r="B16" s="230" t="s">
        <v>431</v>
      </c>
      <c r="C16" s="230" t="s">
        <v>246</v>
      </c>
      <c r="D16" s="230" t="s">
        <v>238</v>
      </c>
      <c r="F16" s="228" t="s">
        <v>694</v>
      </c>
      <c r="G16" s="228">
        <f>I11/I10</f>
        <v>1.5</v>
      </c>
      <c r="H16" s="228">
        <v>2</v>
      </c>
    </row>
    <row r="17" spans="1:24">
      <c r="A17" s="229">
        <v>4.68</v>
      </c>
      <c r="B17" s="229">
        <v>0.9</v>
      </c>
      <c r="C17" s="229">
        <v>0.95</v>
      </c>
      <c r="D17" s="233">
        <f t="shared" ref="D17:D23" si="1">A17*B17*C17</f>
        <v>4.0013999999999994</v>
      </c>
      <c r="F17" s="228" t="s">
        <v>695</v>
      </c>
      <c r="G17" s="228">
        <f>I11/I11</f>
        <v>1</v>
      </c>
      <c r="H17" s="228">
        <v>1</v>
      </c>
    </row>
    <row r="18" spans="1:24">
      <c r="A18" s="229">
        <v>1.17</v>
      </c>
      <c r="B18" s="229">
        <v>0.9</v>
      </c>
      <c r="C18" s="229">
        <v>0.95</v>
      </c>
      <c r="D18" s="233">
        <f t="shared" si="1"/>
        <v>1.0003499999999999</v>
      </c>
    </row>
    <row r="19" spans="1:24">
      <c r="A19" s="229">
        <v>1.17</v>
      </c>
      <c r="B19" s="229">
        <v>0.9</v>
      </c>
      <c r="C19" s="229">
        <v>0.95</v>
      </c>
      <c r="D19" s="233">
        <f t="shared" si="1"/>
        <v>1.0003499999999999</v>
      </c>
      <c r="F19" s="228" t="s">
        <v>696</v>
      </c>
      <c r="U19" s="228">
        <v>3</v>
      </c>
    </row>
    <row r="20" spans="1:24">
      <c r="A20" s="229">
        <v>1.17</v>
      </c>
      <c r="B20" s="229">
        <v>0.9</v>
      </c>
      <c r="C20" s="229">
        <v>0.95</v>
      </c>
      <c r="D20" s="233">
        <f t="shared" si="1"/>
        <v>1.0003499999999999</v>
      </c>
      <c r="F20" s="228" t="s">
        <v>697</v>
      </c>
      <c r="I20" s="228">
        <f>6*10</f>
        <v>60</v>
      </c>
    </row>
    <row r="21" spans="1:24">
      <c r="A21" s="229">
        <v>1.17</v>
      </c>
      <c r="B21" s="229">
        <v>0.9</v>
      </c>
      <c r="C21" s="229">
        <v>0.95</v>
      </c>
      <c r="D21" s="233">
        <f t="shared" si="1"/>
        <v>1.0003499999999999</v>
      </c>
      <c r="L21" s="228" t="s">
        <v>698</v>
      </c>
    </row>
    <row r="22" spans="1:24">
      <c r="A22" s="229">
        <v>1.17</v>
      </c>
      <c r="B22" s="229">
        <v>0.9</v>
      </c>
      <c r="C22" s="229">
        <v>0.95</v>
      </c>
      <c r="D22" s="233">
        <f t="shared" si="1"/>
        <v>1.0003499999999999</v>
      </c>
      <c r="J22" s="229" t="s">
        <v>699</v>
      </c>
      <c r="K22" s="229" t="s">
        <v>616</v>
      </c>
      <c r="L22" s="229" t="s">
        <v>700</v>
      </c>
      <c r="M22" s="229" t="s">
        <v>701</v>
      </c>
      <c r="N22" s="229" t="s">
        <v>702</v>
      </c>
      <c r="O22" s="229" t="s">
        <v>703</v>
      </c>
      <c r="P22" s="229" t="s">
        <v>704</v>
      </c>
      <c r="Q22" s="229" t="s">
        <v>701</v>
      </c>
      <c r="R22" s="229" t="s">
        <v>702</v>
      </c>
      <c r="S22" s="229" t="s">
        <v>703</v>
      </c>
      <c r="T22" s="229" t="s">
        <v>705</v>
      </c>
      <c r="U22" s="229" t="s">
        <v>706</v>
      </c>
      <c r="V22" s="229" t="s">
        <v>707</v>
      </c>
      <c r="W22" s="229" t="s">
        <v>708</v>
      </c>
      <c r="X22" s="229" t="s">
        <v>709</v>
      </c>
    </row>
    <row r="23" spans="1:24">
      <c r="A23" s="229">
        <v>1.17</v>
      </c>
      <c r="B23" s="229">
        <v>0.9</v>
      </c>
      <c r="C23" s="229">
        <v>0.95</v>
      </c>
      <c r="D23" s="233">
        <f t="shared" si="1"/>
        <v>1.0003499999999999</v>
      </c>
      <c r="J23" s="229" t="s">
        <v>710</v>
      </c>
      <c r="K23" s="229">
        <f>6*13</f>
        <v>78</v>
      </c>
      <c r="L23" s="229">
        <v>78</v>
      </c>
      <c r="M23" s="229" t="s">
        <v>711</v>
      </c>
      <c r="N23" s="229" t="s">
        <v>712</v>
      </c>
      <c r="O23" s="229" t="s">
        <v>712</v>
      </c>
      <c r="P23" s="229" t="s">
        <v>713</v>
      </c>
      <c r="Q23" s="258" t="s">
        <v>713</v>
      </c>
      <c r="R23" s="229" t="s">
        <v>712</v>
      </c>
      <c r="S23" s="229" t="s">
        <v>712</v>
      </c>
      <c r="T23" s="229" t="s">
        <v>714</v>
      </c>
      <c r="U23" s="229" t="s">
        <v>712</v>
      </c>
      <c r="V23" s="229">
        <v>3</v>
      </c>
      <c r="W23" s="229" t="s">
        <v>712</v>
      </c>
      <c r="X23" s="229" t="s">
        <v>712</v>
      </c>
    </row>
    <row r="24" spans="1:24">
      <c r="C24" s="230" t="s">
        <v>623</v>
      </c>
      <c r="D24" s="233">
        <f>SUM(D17:D23)</f>
        <v>10.003499999999997</v>
      </c>
      <c r="J24" s="229" t="s">
        <v>710</v>
      </c>
      <c r="K24" s="229">
        <f>6*13</f>
        <v>78</v>
      </c>
      <c r="L24" s="229">
        <f>L23+K24</f>
        <v>156</v>
      </c>
      <c r="M24" s="229" t="s">
        <v>712</v>
      </c>
      <c r="N24" s="229" t="s">
        <v>712</v>
      </c>
      <c r="O24" s="229" t="s">
        <v>712</v>
      </c>
      <c r="P24" s="258" t="s">
        <v>714</v>
      </c>
      <c r="Q24" s="229" t="s">
        <v>712</v>
      </c>
      <c r="R24" s="229"/>
      <c r="S24" s="229"/>
      <c r="T24" s="229" t="s">
        <v>715</v>
      </c>
      <c r="U24" s="229" t="s">
        <v>716</v>
      </c>
      <c r="V24" s="229">
        <v>2</v>
      </c>
      <c r="W24" s="229" t="s">
        <v>712</v>
      </c>
      <c r="X24" s="229" t="s">
        <v>712</v>
      </c>
    </row>
    <row r="25" spans="1:24">
      <c r="J25" s="229" t="s">
        <v>710</v>
      </c>
      <c r="K25" s="229">
        <f>6*13</f>
        <v>78</v>
      </c>
      <c r="L25" s="229">
        <f>L24+K25</f>
        <v>234</v>
      </c>
      <c r="M25" s="229" t="s">
        <v>712</v>
      </c>
      <c r="N25" s="229" t="s">
        <v>712</v>
      </c>
      <c r="O25" s="229" t="s">
        <v>712</v>
      </c>
      <c r="P25" s="229" t="s">
        <v>715</v>
      </c>
      <c r="Q25" s="229" t="s">
        <v>712</v>
      </c>
      <c r="R25" s="229"/>
      <c r="S25" s="229"/>
      <c r="T25" s="229" t="s">
        <v>717</v>
      </c>
      <c r="U25" s="229" t="s">
        <v>718</v>
      </c>
      <c r="V25" s="229">
        <v>1</v>
      </c>
      <c r="W25" s="229" t="s">
        <v>712</v>
      </c>
      <c r="X25" s="229" t="s">
        <v>712</v>
      </c>
    </row>
    <row r="26" spans="1:24">
      <c r="A26" s="228" t="s">
        <v>650</v>
      </c>
      <c r="J26" s="229" t="s">
        <v>710</v>
      </c>
      <c r="K26" s="229">
        <f>6*13</f>
        <v>78</v>
      </c>
      <c r="L26" s="229">
        <f>L25+K26</f>
        <v>312</v>
      </c>
      <c r="M26" s="229" t="s">
        <v>712</v>
      </c>
      <c r="N26" s="229" t="s">
        <v>712</v>
      </c>
      <c r="O26" s="229" t="s">
        <v>712</v>
      </c>
      <c r="P26" s="229" t="s">
        <v>719</v>
      </c>
      <c r="Q26" s="229" t="s">
        <v>712</v>
      </c>
      <c r="R26" s="229"/>
      <c r="S26" s="229"/>
      <c r="T26" s="229" t="s">
        <v>720</v>
      </c>
      <c r="U26" s="229" t="s">
        <v>718</v>
      </c>
      <c r="V26" s="229" t="s">
        <v>712</v>
      </c>
      <c r="W26" s="229" t="s">
        <v>712</v>
      </c>
      <c r="X26" s="229" t="s">
        <v>712</v>
      </c>
    </row>
    <row r="27" spans="1:24">
      <c r="A27" s="230" t="s">
        <v>651</v>
      </c>
      <c r="B27" s="230" t="s">
        <v>609</v>
      </c>
      <c r="J27" s="229" t="s">
        <v>710</v>
      </c>
      <c r="K27" s="229">
        <f>6*13</f>
        <v>78</v>
      </c>
      <c r="L27" s="229">
        <f>L26+K27</f>
        <v>390</v>
      </c>
      <c r="M27" s="229" t="s">
        <v>712</v>
      </c>
      <c r="N27" s="229" t="s">
        <v>712</v>
      </c>
      <c r="O27" s="229" t="s">
        <v>712</v>
      </c>
      <c r="P27" s="229" t="s">
        <v>720</v>
      </c>
      <c r="Q27" s="229" t="s">
        <v>712</v>
      </c>
      <c r="R27" s="229"/>
      <c r="S27" s="229"/>
      <c r="T27" s="229" t="s">
        <v>721</v>
      </c>
      <c r="U27" s="229">
        <v>-6</v>
      </c>
      <c r="V27" s="229" t="s">
        <v>712</v>
      </c>
      <c r="W27" s="229" t="s">
        <v>712</v>
      </c>
      <c r="X27" s="229" t="s">
        <v>722</v>
      </c>
    </row>
    <row r="28" spans="1:24">
      <c r="A28" s="229">
        <v>600</v>
      </c>
      <c r="B28" s="229">
        <f>60/A28</f>
        <v>0.1</v>
      </c>
      <c r="W28" s="229"/>
      <c r="X28" s="229"/>
    </row>
    <row r="29" spans="1:24">
      <c r="W29" s="229"/>
      <c r="X29" s="229"/>
    </row>
    <row r="30" spans="1:24">
      <c r="W30" s="229"/>
      <c r="X30" s="229"/>
    </row>
    <row r="31" spans="1:24">
      <c r="W31" s="229"/>
      <c r="X31" s="229"/>
    </row>
    <row r="32" spans="1:24">
      <c r="W32" s="229"/>
      <c r="X32" s="229"/>
    </row>
    <row r="33" spans="13:24"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</row>
    <row r="34" spans="13:24"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</row>
    <row r="35" spans="13:24"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</row>
    <row r="36" spans="13:24"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</row>
    <row r="37" spans="13:24"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</row>
    <row r="38" spans="13:24"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</row>
    <row r="39" spans="13:24"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</row>
    <row r="40" spans="13:24"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</row>
    <row r="41" spans="13:24">
      <c r="M41" s="229"/>
      <c r="N41" s="229"/>
      <c r="O41" s="229"/>
      <c r="P41" s="229"/>
      <c r="Q41" s="229"/>
      <c r="R41" s="229"/>
      <c r="S41" s="229"/>
      <c r="T41" s="229"/>
      <c r="U41" s="229"/>
      <c r="V41" s="229"/>
      <c r="W41" s="229"/>
      <c r="X41" s="229"/>
    </row>
  </sheetData>
  <pageMargins left="0.7" right="0.7" top="0.75" bottom="0.75" header="0.3" footer="0.3"/>
  <pageSetup paperSize="0" orientation="portrait" horizontalDpi="4294967292" verticalDpi="429496729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0C914-A6AE-B845-98D2-6E866E079E8D}">
  <dimension ref="B2:P26"/>
  <sheetViews>
    <sheetView workbookViewId="0">
      <selection activeCell="K17" sqref="K17"/>
    </sheetView>
  </sheetViews>
  <sheetFormatPr baseColWidth="10" defaultRowHeight="16"/>
  <cols>
    <col min="1" max="2" width="10.83203125" style="259"/>
    <col min="3" max="3" width="22" style="259" customWidth="1"/>
    <col min="4" max="7" width="10.83203125" style="259"/>
    <col min="8" max="8" width="14.6640625" style="259" bestFit="1" customWidth="1"/>
    <col min="9" max="9" width="10.83203125" style="259"/>
    <col min="10" max="10" width="7.83203125" style="259" bestFit="1" customWidth="1"/>
    <col min="11" max="15" width="10.83203125" style="259"/>
    <col min="16" max="16" width="14.6640625" style="259" bestFit="1" customWidth="1"/>
    <col min="17" max="16384" width="10.83203125" style="259"/>
  </cols>
  <sheetData>
    <row r="2" spans="2:16" ht="17">
      <c r="C2" s="260" t="s">
        <v>723</v>
      </c>
      <c r="D2" s="261">
        <v>1</v>
      </c>
      <c r="E2" s="261">
        <v>2</v>
      </c>
      <c r="F2" s="261">
        <v>3</v>
      </c>
      <c r="G2" s="261">
        <v>4</v>
      </c>
      <c r="H2" s="261">
        <v>5</v>
      </c>
      <c r="I2" s="261">
        <v>6</v>
      </c>
    </row>
    <row r="3" spans="2:16" ht="34">
      <c r="C3" s="262" t="s">
        <v>724</v>
      </c>
      <c r="D3" s="261">
        <v>240</v>
      </c>
      <c r="E3" s="261">
        <v>130</v>
      </c>
      <c r="F3" s="261">
        <v>210</v>
      </c>
      <c r="G3" s="261">
        <v>90</v>
      </c>
      <c r="H3" s="261">
        <v>170</v>
      </c>
      <c r="I3" s="261">
        <v>165</v>
      </c>
    </row>
    <row r="4" spans="2:16" ht="51">
      <c r="C4" s="260" t="s">
        <v>725</v>
      </c>
      <c r="D4" s="261">
        <v>240</v>
      </c>
      <c r="E4" s="261">
        <v>360</v>
      </c>
      <c r="F4" s="261">
        <v>480</v>
      </c>
      <c r="G4" s="261">
        <v>240</v>
      </c>
      <c r="H4" s="261">
        <v>720</v>
      </c>
      <c r="I4" s="261">
        <v>780</v>
      </c>
    </row>
    <row r="6" spans="2:16" ht="17">
      <c r="B6" s="259" t="s">
        <v>726</v>
      </c>
      <c r="C6" s="263" t="s">
        <v>723</v>
      </c>
      <c r="D6" s="264" t="s">
        <v>727</v>
      </c>
      <c r="E6" s="264" t="s">
        <v>595</v>
      </c>
      <c r="F6" s="264" t="s">
        <v>596</v>
      </c>
      <c r="G6" s="264" t="s">
        <v>728</v>
      </c>
      <c r="H6" s="264" t="s">
        <v>729</v>
      </c>
      <c r="I6" s="264"/>
      <c r="J6" s="259" t="s">
        <v>730</v>
      </c>
      <c r="K6" s="263" t="s">
        <v>723</v>
      </c>
      <c r="L6" s="264" t="s">
        <v>727</v>
      </c>
      <c r="M6" s="264" t="s">
        <v>595</v>
      </c>
      <c r="N6" s="264" t="s">
        <v>596</v>
      </c>
      <c r="O6" s="264" t="s">
        <v>728</v>
      </c>
      <c r="P6" s="264" t="s">
        <v>729</v>
      </c>
    </row>
    <row r="7" spans="2:16">
      <c r="C7" s="264">
        <v>1</v>
      </c>
      <c r="D7" s="263">
        <v>240</v>
      </c>
      <c r="E7" s="263">
        <v>0</v>
      </c>
      <c r="F7" s="264">
        <f t="shared" ref="F7:F12" si="0">E7+D7</f>
        <v>240</v>
      </c>
      <c r="G7" s="264">
        <v>240</v>
      </c>
      <c r="H7" s="259">
        <f t="shared" ref="H7:H12" si="1">F7-G7</f>
        <v>0</v>
      </c>
      <c r="K7" s="264">
        <v>4</v>
      </c>
      <c r="L7" s="263">
        <v>90</v>
      </c>
      <c r="M7" s="263">
        <v>0</v>
      </c>
      <c r="N7" s="264">
        <f t="shared" ref="N7:N12" si="2">M7+L7</f>
        <v>90</v>
      </c>
      <c r="O7" s="264">
        <v>240</v>
      </c>
      <c r="P7" s="259">
        <v>0</v>
      </c>
    </row>
    <row r="8" spans="2:16">
      <c r="C8" s="264">
        <v>2</v>
      </c>
      <c r="D8" s="263">
        <v>130</v>
      </c>
      <c r="E8" s="264">
        <f>F7</f>
        <v>240</v>
      </c>
      <c r="F8" s="264">
        <f t="shared" si="0"/>
        <v>370</v>
      </c>
      <c r="G8" s="264">
        <v>360</v>
      </c>
      <c r="H8" s="259">
        <f t="shared" si="1"/>
        <v>10</v>
      </c>
      <c r="K8" s="264">
        <v>2</v>
      </c>
      <c r="L8" s="263">
        <v>130</v>
      </c>
      <c r="M8" s="264">
        <f>N7</f>
        <v>90</v>
      </c>
      <c r="N8" s="264">
        <f t="shared" si="2"/>
        <v>220</v>
      </c>
      <c r="O8" s="264">
        <v>360</v>
      </c>
      <c r="P8" s="259">
        <v>0</v>
      </c>
    </row>
    <row r="9" spans="2:16">
      <c r="C9" s="264">
        <v>3</v>
      </c>
      <c r="D9" s="263">
        <v>210</v>
      </c>
      <c r="E9" s="264">
        <f>F8</f>
        <v>370</v>
      </c>
      <c r="F9" s="264">
        <f t="shared" si="0"/>
        <v>580</v>
      </c>
      <c r="G9" s="264">
        <v>480</v>
      </c>
      <c r="H9" s="259">
        <f t="shared" si="1"/>
        <v>100</v>
      </c>
      <c r="K9" s="264">
        <v>6</v>
      </c>
      <c r="L9" s="263">
        <v>165</v>
      </c>
      <c r="M9" s="264">
        <f>N8</f>
        <v>220</v>
      </c>
      <c r="N9" s="264">
        <f t="shared" si="2"/>
        <v>385</v>
      </c>
      <c r="O9" s="264">
        <v>780</v>
      </c>
      <c r="P9" s="259">
        <v>0</v>
      </c>
    </row>
    <row r="10" spans="2:16">
      <c r="C10" s="264">
        <v>4</v>
      </c>
      <c r="D10" s="263">
        <v>90</v>
      </c>
      <c r="E10" s="264">
        <f>F9</f>
        <v>580</v>
      </c>
      <c r="F10" s="264">
        <f t="shared" si="0"/>
        <v>670</v>
      </c>
      <c r="G10" s="264">
        <v>240</v>
      </c>
      <c r="H10" s="259">
        <f t="shared" si="1"/>
        <v>430</v>
      </c>
      <c r="K10" s="264">
        <v>5</v>
      </c>
      <c r="L10" s="263">
        <v>170</v>
      </c>
      <c r="M10" s="264">
        <f>N9</f>
        <v>385</v>
      </c>
      <c r="N10" s="264">
        <f t="shared" si="2"/>
        <v>555</v>
      </c>
      <c r="O10" s="264">
        <v>720</v>
      </c>
      <c r="P10" s="259">
        <v>0</v>
      </c>
    </row>
    <row r="11" spans="2:16">
      <c r="C11" s="264">
        <v>5</v>
      </c>
      <c r="D11" s="263">
        <v>170</v>
      </c>
      <c r="E11" s="264">
        <f>F10</f>
        <v>670</v>
      </c>
      <c r="F11" s="264">
        <f t="shared" si="0"/>
        <v>840</v>
      </c>
      <c r="G11" s="264">
        <v>720</v>
      </c>
      <c r="H11" s="259">
        <f t="shared" si="1"/>
        <v>120</v>
      </c>
      <c r="K11" s="264">
        <v>3</v>
      </c>
      <c r="L11" s="263">
        <v>210</v>
      </c>
      <c r="M11" s="264">
        <f>N10</f>
        <v>555</v>
      </c>
      <c r="N11" s="264">
        <f t="shared" si="2"/>
        <v>765</v>
      </c>
      <c r="O11" s="264">
        <v>480</v>
      </c>
      <c r="P11" s="259">
        <f>N11-O11</f>
        <v>285</v>
      </c>
    </row>
    <row r="12" spans="2:16">
      <c r="C12" s="264">
        <v>6</v>
      </c>
      <c r="D12" s="263">
        <v>165</v>
      </c>
      <c r="E12" s="264">
        <f>F11</f>
        <v>840</v>
      </c>
      <c r="F12" s="264">
        <f t="shared" si="0"/>
        <v>1005</v>
      </c>
      <c r="G12" s="264">
        <v>780</v>
      </c>
      <c r="H12" s="259">
        <f t="shared" si="1"/>
        <v>225</v>
      </c>
      <c r="K12" s="264">
        <v>1</v>
      </c>
      <c r="L12" s="263">
        <v>240</v>
      </c>
      <c r="M12" s="264">
        <f>N11</f>
        <v>765</v>
      </c>
      <c r="N12" s="264">
        <f t="shared" si="2"/>
        <v>1005</v>
      </c>
      <c r="O12" s="264">
        <v>240</v>
      </c>
      <c r="P12" s="259">
        <f>N12-O12</f>
        <v>765</v>
      </c>
    </row>
    <row r="13" spans="2:16">
      <c r="F13" s="264"/>
    </row>
    <row r="14" spans="2:16">
      <c r="B14" s="259" t="s">
        <v>731</v>
      </c>
      <c r="C14" s="259" t="s">
        <v>732</v>
      </c>
      <c r="D14" s="264">
        <f>F12/6</f>
        <v>167.5</v>
      </c>
      <c r="K14" s="263"/>
      <c r="L14" s="264"/>
      <c r="M14" s="264"/>
      <c r="N14" s="264"/>
      <c r="O14" s="264"/>
      <c r="P14" s="264"/>
    </row>
    <row r="15" spans="2:16">
      <c r="C15" s="259" t="s">
        <v>733</v>
      </c>
      <c r="D15" s="263">
        <v>5</v>
      </c>
      <c r="K15" s="264"/>
      <c r="L15" s="263"/>
      <c r="M15" s="263"/>
      <c r="N15" s="264"/>
      <c r="O15" s="264"/>
    </row>
    <row r="16" spans="2:16">
      <c r="C16" s="259" t="s">
        <v>734</v>
      </c>
      <c r="D16" s="264">
        <f>AVERAGE(H7:H12)</f>
        <v>147.5</v>
      </c>
      <c r="E16" s="265">
        <f>D16/60</f>
        <v>2.4583333333333335</v>
      </c>
      <c r="K16" s="264"/>
      <c r="L16" s="263"/>
      <c r="M16" s="264"/>
      <c r="N16" s="264"/>
      <c r="O16" s="264"/>
    </row>
    <row r="17" spans="2:15">
      <c r="D17" s="264"/>
      <c r="K17" s="264"/>
      <c r="L17" s="263"/>
      <c r="M17" s="264"/>
      <c r="N17" s="264"/>
      <c r="O17" s="264"/>
    </row>
    <row r="18" spans="2:15">
      <c r="B18" s="259" t="s">
        <v>735</v>
      </c>
      <c r="C18" s="259" t="s">
        <v>732</v>
      </c>
      <c r="D18" s="266">
        <f>N12/6</f>
        <v>167.5</v>
      </c>
      <c r="K18" s="264"/>
      <c r="L18" s="263"/>
      <c r="M18" s="264"/>
      <c r="N18" s="264"/>
      <c r="O18" s="264"/>
    </row>
    <row r="19" spans="2:15">
      <c r="C19" s="259" t="s">
        <v>733</v>
      </c>
      <c r="D19" s="263">
        <v>2</v>
      </c>
      <c r="K19" s="264"/>
      <c r="L19" s="263"/>
      <c r="M19" s="264"/>
      <c r="N19" s="264"/>
      <c r="O19" s="264"/>
    </row>
    <row r="20" spans="2:15">
      <c r="C20" s="259" t="s">
        <v>734</v>
      </c>
      <c r="D20" s="264">
        <f>AVERAGE(P7:P12)</f>
        <v>175</v>
      </c>
      <c r="E20" s="265">
        <f>D20/60</f>
        <v>2.9166666666666665</v>
      </c>
      <c r="K20" s="264"/>
      <c r="L20" s="263"/>
      <c r="M20" s="264"/>
      <c r="N20" s="264"/>
      <c r="O20" s="264"/>
    </row>
    <row r="22" spans="2:15">
      <c r="B22" s="259" t="s">
        <v>736</v>
      </c>
      <c r="C22" s="259" t="s">
        <v>737</v>
      </c>
    </row>
    <row r="24" spans="2:15">
      <c r="B24" s="259" t="s">
        <v>738</v>
      </c>
      <c r="C24" s="259" t="s">
        <v>739</v>
      </c>
    </row>
    <row r="26" spans="2:15">
      <c r="B26" s="259" t="s">
        <v>740</v>
      </c>
      <c r="C26" s="259" t="s">
        <v>741</v>
      </c>
    </row>
  </sheetData>
  <pageMargins left="0.75" right="0.75" top="1" bottom="1" header="0.5" footer="0.5"/>
  <pageSetup orientation="portrait" horizontalDpi="4294967292" verticalDpi="429496729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A58FC-194A-D449-AB5B-0E5DA94127C3}">
  <dimension ref="B2:R71"/>
  <sheetViews>
    <sheetView workbookViewId="0">
      <selection activeCell="R29" sqref="R29"/>
    </sheetView>
  </sheetViews>
  <sheetFormatPr baseColWidth="10" defaultRowHeight="16"/>
  <cols>
    <col min="1" max="1" width="6.1640625" customWidth="1"/>
    <col min="2" max="2" width="12.33203125" customWidth="1"/>
    <col min="3" max="3" width="18" customWidth="1"/>
    <col min="4" max="4" width="17.5" customWidth="1"/>
    <col min="5" max="5" width="15.6640625" customWidth="1"/>
    <col min="7" max="7" width="15.33203125" customWidth="1"/>
    <col min="8" max="8" width="22.83203125" customWidth="1"/>
    <col min="9" max="9" width="10.83203125" customWidth="1"/>
    <col min="10" max="10" width="9" hidden="1" customWidth="1"/>
    <col min="11" max="11" width="9.1640625" hidden="1" customWidth="1"/>
    <col min="12" max="12" width="21.83203125" hidden="1" customWidth="1"/>
    <col min="13" max="13" width="16.5" hidden="1" customWidth="1"/>
    <col min="14" max="14" width="12.5" hidden="1" customWidth="1"/>
    <col min="18" max="18" width="13.33203125" customWidth="1"/>
  </cols>
  <sheetData>
    <row r="2" spans="2:14">
      <c r="D2" s="444" t="s">
        <v>742</v>
      </c>
      <c r="E2" s="444"/>
      <c r="F2" s="444"/>
    </row>
    <row r="3" spans="2:14">
      <c r="D3" s="37">
        <v>400</v>
      </c>
      <c r="E3" s="37">
        <v>400</v>
      </c>
      <c r="F3" s="37">
        <v>200</v>
      </c>
    </row>
    <row r="4" spans="2:14" ht="29" customHeight="1">
      <c r="B4" s="37" t="s">
        <v>723</v>
      </c>
      <c r="C4" s="37" t="s">
        <v>377</v>
      </c>
      <c r="D4" s="37" t="s">
        <v>743</v>
      </c>
      <c r="E4" s="37" t="s">
        <v>744</v>
      </c>
      <c r="F4" s="37" t="s">
        <v>745</v>
      </c>
      <c r="G4" s="37" t="s">
        <v>746</v>
      </c>
      <c r="J4" s="267" t="s">
        <v>723</v>
      </c>
      <c r="K4" s="267" t="s">
        <v>377</v>
      </c>
      <c r="L4" s="268" t="s">
        <v>747</v>
      </c>
      <c r="M4" s="268" t="s">
        <v>748</v>
      </c>
      <c r="N4" s="268" t="s">
        <v>749</v>
      </c>
    </row>
    <row r="5" spans="2:14">
      <c r="B5" s="37" t="s">
        <v>110</v>
      </c>
      <c r="C5" s="37">
        <v>2000</v>
      </c>
      <c r="D5" s="37">
        <f>$C$5/D3</f>
        <v>5</v>
      </c>
      <c r="E5" s="37">
        <f>$C$5/E3</f>
        <v>5</v>
      </c>
      <c r="F5" s="37">
        <f>$C$5/F3</f>
        <v>10</v>
      </c>
      <c r="G5" s="37">
        <f>D5+E5+F5</f>
        <v>20</v>
      </c>
      <c r="J5" s="47" t="s">
        <v>110</v>
      </c>
      <c r="K5" s="47">
        <v>2000</v>
      </c>
      <c r="L5" s="47">
        <v>110</v>
      </c>
      <c r="M5" s="47">
        <v>180</v>
      </c>
      <c r="N5" s="47">
        <v>500</v>
      </c>
    </row>
    <row r="6" spans="2:14">
      <c r="B6" s="37" t="s">
        <v>111</v>
      </c>
      <c r="C6" s="37">
        <v>3000</v>
      </c>
      <c r="D6" s="37">
        <f>$C$6/D3</f>
        <v>7.5</v>
      </c>
      <c r="E6" s="37">
        <f>$C$6/E3</f>
        <v>7.5</v>
      </c>
      <c r="F6" s="37">
        <f>$C$6/F3</f>
        <v>15</v>
      </c>
      <c r="G6" s="37">
        <f t="shared" ref="G6:G9" si="0">D6+E6+F6</f>
        <v>30</v>
      </c>
      <c r="J6" s="47" t="s">
        <v>111</v>
      </c>
      <c r="K6" s="47">
        <v>3000</v>
      </c>
      <c r="L6" s="47">
        <v>120</v>
      </c>
      <c r="M6" s="47">
        <v>200</v>
      </c>
      <c r="N6" s="47">
        <v>1000</v>
      </c>
    </row>
    <row r="7" spans="2:14">
      <c r="B7" s="37" t="s">
        <v>143</v>
      </c>
      <c r="C7" s="37">
        <v>1000</v>
      </c>
      <c r="D7" s="37">
        <f>$C$7/D3</f>
        <v>2.5</v>
      </c>
      <c r="E7" s="37">
        <f>$C$7/E3</f>
        <v>2.5</v>
      </c>
      <c r="F7" s="37">
        <f>$C$7/F3</f>
        <v>5</v>
      </c>
      <c r="G7" s="37">
        <f t="shared" si="0"/>
        <v>10</v>
      </c>
      <c r="J7" s="47" t="s">
        <v>143</v>
      </c>
      <c r="K7" s="47">
        <v>1000</v>
      </c>
      <c r="L7" s="47">
        <v>122</v>
      </c>
      <c r="M7" s="47">
        <v>175</v>
      </c>
      <c r="N7" s="47">
        <v>300</v>
      </c>
    </row>
    <row r="8" spans="2:14">
      <c r="B8" s="37" t="s">
        <v>144</v>
      </c>
      <c r="C8" s="37">
        <v>1600</v>
      </c>
      <c r="D8" s="37">
        <f>$C$8/D3</f>
        <v>4</v>
      </c>
      <c r="E8" s="37">
        <f>$C$8/E3</f>
        <v>4</v>
      </c>
      <c r="F8" s="37">
        <f>$C$8/F3</f>
        <v>8</v>
      </c>
      <c r="G8" s="37">
        <f t="shared" si="0"/>
        <v>16</v>
      </c>
      <c r="J8" s="47" t="s">
        <v>144</v>
      </c>
      <c r="K8" s="47">
        <v>1600</v>
      </c>
      <c r="L8" s="47">
        <v>125</v>
      </c>
      <c r="M8" s="47">
        <v>230</v>
      </c>
      <c r="N8" s="47">
        <v>500</v>
      </c>
    </row>
    <row r="9" spans="2:14">
      <c r="B9" s="37" t="s">
        <v>246</v>
      </c>
      <c r="C9" s="37">
        <v>1800</v>
      </c>
      <c r="D9" s="37">
        <f>$C$9/D3</f>
        <v>4.5</v>
      </c>
      <c r="E9" s="37">
        <f>$C$9/E3</f>
        <v>4.5</v>
      </c>
      <c r="F9" s="37">
        <f>$C$9/F3</f>
        <v>9</v>
      </c>
      <c r="G9" s="37">
        <f t="shared" si="0"/>
        <v>18</v>
      </c>
      <c r="J9" s="269" t="s">
        <v>246</v>
      </c>
      <c r="K9" s="269">
        <v>1800</v>
      </c>
      <c r="L9" s="269">
        <v>130</v>
      </c>
      <c r="M9" s="269">
        <v>210</v>
      </c>
      <c r="N9" s="269">
        <v>800</v>
      </c>
    </row>
    <row r="11" spans="2:14" ht="34">
      <c r="B11" s="270" t="s">
        <v>723</v>
      </c>
      <c r="C11" s="271" t="s">
        <v>750</v>
      </c>
      <c r="D11" s="271" t="s">
        <v>751</v>
      </c>
      <c r="E11" s="271" t="s">
        <v>752</v>
      </c>
      <c r="F11" s="271" t="s">
        <v>749</v>
      </c>
      <c r="G11" s="271" t="s">
        <v>753</v>
      </c>
    </row>
    <row r="12" spans="2:14">
      <c r="B12" s="47" t="s">
        <v>110</v>
      </c>
      <c r="C12" s="47">
        <v>110</v>
      </c>
      <c r="D12" s="47">
        <f>G5</f>
        <v>20</v>
      </c>
      <c r="E12" s="47">
        <v>180</v>
      </c>
      <c r="F12" s="47">
        <v>500</v>
      </c>
      <c r="G12" s="47">
        <f>+E12-$C$18</f>
        <v>50</v>
      </c>
    </row>
    <row r="13" spans="2:14">
      <c r="B13" s="47" t="s">
        <v>111</v>
      </c>
      <c r="C13" s="47">
        <v>120</v>
      </c>
      <c r="D13" s="47">
        <f t="shared" ref="D13:D16" si="1">G6</f>
        <v>30</v>
      </c>
      <c r="E13" s="47">
        <v>200</v>
      </c>
      <c r="F13" s="47">
        <v>1000</v>
      </c>
      <c r="G13" s="47">
        <f t="shared" ref="G13:G16" si="2">+E13-$C$18</f>
        <v>70</v>
      </c>
    </row>
    <row r="14" spans="2:14">
      <c r="B14" s="47" t="s">
        <v>143</v>
      </c>
      <c r="C14" s="47">
        <v>122</v>
      </c>
      <c r="D14" s="47">
        <f t="shared" si="1"/>
        <v>10</v>
      </c>
      <c r="E14" s="47">
        <v>175</v>
      </c>
      <c r="F14" s="47">
        <v>300</v>
      </c>
      <c r="G14" s="47">
        <f t="shared" si="2"/>
        <v>45</v>
      </c>
    </row>
    <row r="15" spans="2:14">
      <c r="B15" s="47" t="s">
        <v>144</v>
      </c>
      <c r="C15" s="47">
        <v>125</v>
      </c>
      <c r="D15" s="47">
        <f t="shared" si="1"/>
        <v>16</v>
      </c>
      <c r="E15" s="47">
        <v>230</v>
      </c>
      <c r="F15" s="47">
        <v>500</v>
      </c>
      <c r="G15" s="47">
        <f t="shared" si="2"/>
        <v>100</v>
      </c>
    </row>
    <row r="16" spans="2:14">
      <c r="B16" s="269" t="s">
        <v>246</v>
      </c>
      <c r="C16" s="269">
        <v>130</v>
      </c>
      <c r="D16" s="269">
        <f t="shared" si="1"/>
        <v>18</v>
      </c>
      <c r="E16" s="269">
        <v>210</v>
      </c>
      <c r="F16" s="269">
        <v>800</v>
      </c>
      <c r="G16" s="269">
        <f t="shared" si="2"/>
        <v>80</v>
      </c>
    </row>
    <row r="18" spans="2:18">
      <c r="B18" s="272" t="s">
        <v>754</v>
      </c>
      <c r="C18" s="272">
        <v>130</v>
      </c>
    </row>
    <row r="21" spans="2:18" ht="17" thickBot="1">
      <c r="B21" s="455" t="s">
        <v>755</v>
      </c>
      <c r="C21" s="455"/>
      <c r="D21" s="455"/>
      <c r="E21" s="455"/>
      <c r="F21" s="455"/>
      <c r="G21" s="47"/>
    </row>
    <row r="22" spans="2:18" ht="34">
      <c r="B22" s="273" t="s">
        <v>756</v>
      </c>
      <c r="C22" s="273" t="s">
        <v>270</v>
      </c>
      <c r="D22" s="273" t="s">
        <v>757</v>
      </c>
      <c r="E22" s="273" t="s">
        <v>758</v>
      </c>
      <c r="F22" s="273" t="s">
        <v>759</v>
      </c>
      <c r="G22" s="47"/>
      <c r="H22" s="274" t="s">
        <v>760</v>
      </c>
      <c r="I22" s="150">
        <f>D28/5</f>
        <v>54.4</v>
      </c>
      <c r="R22" s="275"/>
    </row>
    <row r="23" spans="2:18" ht="18">
      <c r="B23" s="47" t="s">
        <v>143</v>
      </c>
      <c r="C23" s="47">
        <v>10</v>
      </c>
      <c r="D23" s="47">
        <f>C23</f>
        <v>10</v>
      </c>
      <c r="E23" s="47">
        <v>45</v>
      </c>
      <c r="F23" s="47">
        <f>IF((D23-E23)&gt;0,D23-E23,0)</f>
        <v>0</v>
      </c>
      <c r="H23" s="276" t="s">
        <v>335</v>
      </c>
      <c r="I23" s="277">
        <f>C28/D28</f>
        <v>0.34558823529411764</v>
      </c>
      <c r="R23" s="275"/>
    </row>
    <row r="24" spans="2:18" ht="18">
      <c r="B24" s="47" t="s">
        <v>110</v>
      </c>
      <c r="C24" s="47">
        <v>20</v>
      </c>
      <c r="D24" s="47">
        <f>D23+C24</f>
        <v>30</v>
      </c>
      <c r="E24" s="47">
        <v>50</v>
      </c>
      <c r="F24" s="47">
        <f t="shared" ref="F24:F27" si="3">IF((D24-E24)&gt;0,D24-E24,0)</f>
        <v>0</v>
      </c>
      <c r="H24" s="278" t="s">
        <v>761</v>
      </c>
      <c r="I24" s="158">
        <f>1/I23</f>
        <v>2.8936170212765959</v>
      </c>
      <c r="R24" s="275"/>
    </row>
    <row r="25" spans="2:18" ht="19" thickBot="1">
      <c r="B25" s="47" t="s">
        <v>111</v>
      </c>
      <c r="C25" s="47">
        <v>30</v>
      </c>
      <c r="D25" s="47">
        <f t="shared" ref="D25:D27" si="4">D24+C25</f>
        <v>60</v>
      </c>
      <c r="E25" s="47">
        <v>70</v>
      </c>
      <c r="F25" s="47">
        <f t="shared" si="3"/>
        <v>0</v>
      </c>
      <c r="H25" s="279" t="s">
        <v>734</v>
      </c>
      <c r="I25" s="156">
        <f>F28/5</f>
        <v>0</v>
      </c>
      <c r="R25" s="275"/>
    </row>
    <row r="26" spans="2:18" ht="18">
      <c r="B26" s="47" t="s">
        <v>246</v>
      </c>
      <c r="C26" s="47">
        <v>18</v>
      </c>
      <c r="D26" s="47">
        <f t="shared" si="4"/>
        <v>78</v>
      </c>
      <c r="E26" s="47">
        <v>80</v>
      </c>
      <c r="F26" s="47">
        <f t="shared" si="3"/>
        <v>0</v>
      </c>
      <c r="R26" s="275"/>
    </row>
    <row r="27" spans="2:18" ht="18">
      <c r="B27" s="47" t="s">
        <v>144</v>
      </c>
      <c r="C27" s="47">
        <v>16</v>
      </c>
      <c r="D27" s="47">
        <f t="shared" si="4"/>
        <v>94</v>
      </c>
      <c r="E27" s="47">
        <v>100</v>
      </c>
      <c r="F27" s="47">
        <f t="shared" si="3"/>
        <v>0</v>
      </c>
      <c r="G27" s="47"/>
      <c r="R27" s="275"/>
    </row>
    <row r="28" spans="2:18">
      <c r="B28" s="280" t="s">
        <v>361</v>
      </c>
      <c r="C28" s="280">
        <f>SUM(C23:C27)</f>
        <v>94</v>
      </c>
      <c r="D28" s="280">
        <f>SUM(D23:D27)</f>
        <v>272</v>
      </c>
      <c r="E28" s="280"/>
      <c r="F28" s="280">
        <f>SUM(F23:F27)</f>
        <v>0</v>
      </c>
      <c r="G28" s="47"/>
    </row>
    <row r="29" spans="2:18">
      <c r="B29" s="47"/>
      <c r="C29" s="47"/>
      <c r="D29" s="47"/>
      <c r="E29" s="47"/>
      <c r="F29" s="47"/>
      <c r="G29" s="47"/>
    </row>
    <row r="30" spans="2:18">
      <c r="B30" s="47"/>
      <c r="C30" s="47"/>
      <c r="D30" s="47"/>
      <c r="E30" s="47"/>
      <c r="F30" s="47"/>
      <c r="G30" s="47"/>
    </row>
    <row r="31" spans="2:18" ht="17" thickBot="1">
      <c r="B31" s="455" t="s">
        <v>762</v>
      </c>
      <c r="C31" s="455"/>
      <c r="D31" s="455"/>
      <c r="E31" s="455"/>
      <c r="F31" s="455"/>
      <c r="G31" s="47"/>
    </row>
    <row r="32" spans="2:18" ht="34">
      <c r="B32" s="273" t="s">
        <v>756</v>
      </c>
      <c r="C32" s="273" t="s">
        <v>270</v>
      </c>
      <c r="D32" s="273" t="s">
        <v>757</v>
      </c>
      <c r="E32" s="273" t="s">
        <v>758</v>
      </c>
      <c r="F32" s="273" t="s">
        <v>759</v>
      </c>
      <c r="G32" s="47"/>
      <c r="H32" s="274" t="s">
        <v>760</v>
      </c>
      <c r="I32" s="150">
        <f>D38/5</f>
        <v>56.4</v>
      </c>
    </row>
    <row r="33" spans="2:18">
      <c r="B33" s="47" t="s">
        <v>110</v>
      </c>
      <c r="C33" s="47">
        <v>20</v>
      </c>
      <c r="D33" s="47">
        <f>C33</f>
        <v>20</v>
      </c>
      <c r="E33" s="47">
        <v>50</v>
      </c>
      <c r="F33" s="47">
        <f>IF((D33-E33)&gt;0,D33-E33,0)</f>
        <v>0</v>
      </c>
      <c r="H33" s="276" t="s">
        <v>335</v>
      </c>
      <c r="I33" s="277">
        <f>C38/D38</f>
        <v>0.33333333333333331</v>
      </c>
    </row>
    <row r="34" spans="2:18" ht="17">
      <c r="B34" s="47" t="s">
        <v>143</v>
      </c>
      <c r="C34" s="47">
        <v>10</v>
      </c>
      <c r="D34" s="47">
        <f>D33+C34</f>
        <v>30</v>
      </c>
      <c r="E34" s="47">
        <v>45</v>
      </c>
      <c r="F34" s="47">
        <f t="shared" ref="F34:F37" si="5">IF((D34-E34)&gt;0,D34-E34,0)</f>
        <v>0</v>
      </c>
      <c r="H34" s="278" t="s">
        <v>761</v>
      </c>
      <c r="I34" s="158">
        <f>1/I33</f>
        <v>3</v>
      </c>
    </row>
    <row r="35" spans="2:18" ht="17" thickBot="1">
      <c r="B35" s="47" t="s">
        <v>111</v>
      </c>
      <c r="C35" s="47">
        <v>30</v>
      </c>
      <c r="D35" s="47">
        <f t="shared" ref="D35:D37" si="6">D34+C35</f>
        <v>60</v>
      </c>
      <c r="E35" s="47">
        <v>70</v>
      </c>
      <c r="F35" s="47">
        <f t="shared" si="5"/>
        <v>0</v>
      </c>
      <c r="H35" s="279" t="s">
        <v>734</v>
      </c>
      <c r="I35" s="156">
        <f>F38/5</f>
        <v>0</v>
      </c>
    </row>
    <row r="36" spans="2:18">
      <c r="B36" s="47" t="s">
        <v>246</v>
      </c>
      <c r="C36" s="47">
        <v>18</v>
      </c>
      <c r="D36" s="47">
        <f t="shared" si="6"/>
        <v>78</v>
      </c>
      <c r="E36" s="47">
        <v>80</v>
      </c>
      <c r="F36" s="47">
        <f t="shared" si="5"/>
        <v>0</v>
      </c>
    </row>
    <row r="37" spans="2:18">
      <c r="B37" s="47" t="s">
        <v>144</v>
      </c>
      <c r="C37" s="47">
        <v>16</v>
      </c>
      <c r="D37" s="47">
        <f t="shared" si="6"/>
        <v>94</v>
      </c>
      <c r="E37" s="47">
        <v>100</v>
      </c>
      <c r="F37" s="47">
        <f t="shared" si="5"/>
        <v>0</v>
      </c>
      <c r="G37" s="47"/>
    </row>
    <row r="38" spans="2:18">
      <c r="B38" s="280" t="s">
        <v>361</v>
      </c>
      <c r="C38" s="280">
        <f>SUM(C33:C37)</f>
        <v>94</v>
      </c>
      <c r="D38" s="280">
        <f>SUM(D33:D37)</f>
        <v>282</v>
      </c>
      <c r="E38" s="280"/>
      <c r="F38" s="280">
        <f>SUM(F33:F37)</f>
        <v>0</v>
      </c>
      <c r="G38" s="47"/>
    </row>
    <row r="39" spans="2:18">
      <c r="B39" s="47"/>
      <c r="C39" s="47"/>
      <c r="D39" s="47"/>
      <c r="E39" s="47"/>
      <c r="F39" s="47"/>
      <c r="G39" s="47"/>
    </row>
    <row r="40" spans="2:18" ht="17" thickBot="1">
      <c r="B40" s="455" t="s">
        <v>763</v>
      </c>
      <c r="C40" s="455"/>
      <c r="D40" s="455"/>
      <c r="E40" s="455"/>
      <c r="F40" s="455"/>
      <c r="G40" s="47"/>
    </row>
    <row r="41" spans="2:18" ht="34">
      <c r="B41" s="273" t="s">
        <v>756</v>
      </c>
      <c r="C41" s="273" t="s">
        <v>270</v>
      </c>
      <c r="D41" s="273" t="s">
        <v>757</v>
      </c>
      <c r="E41" s="273" t="s">
        <v>758</v>
      </c>
      <c r="F41" s="273" t="s">
        <v>759</v>
      </c>
      <c r="G41" s="47"/>
      <c r="H41" s="274" t="s">
        <v>760</v>
      </c>
      <c r="I41" s="150">
        <f>D47/5</f>
        <v>47.6</v>
      </c>
      <c r="O41" s="37" t="s">
        <v>723</v>
      </c>
      <c r="P41" s="37" t="s">
        <v>743</v>
      </c>
      <c r="Q41" s="37" t="s">
        <v>744</v>
      </c>
      <c r="R41" s="37" t="s">
        <v>745</v>
      </c>
    </row>
    <row r="42" spans="2:18">
      <c r="B42" s="47" t="s">
        <v>143</v>
      </c>
      <c r="C42" s="47">
        <v>10</v>
      </c>
      <c r="D42" s="47">
        <f>C42</f>
        <v>10</v>
      </c>
      <c r="E42" s="47">
        <v>45</v>
      </c>
      <c r="F42" s="47">
        <f>IF((D42-E42)&gt;0,D42-E42,0)</f>
        <v>0</v>
      </c>
      <c r="H42" s="276" t="s">
        <v>335</v>
      </c>
      <c r="I42" s="277">
        <f>C47/D47</f>
        <v>0.3949579831932773</v>
      </c>
      <c r="O42" s="37" t="s">
        <v>110</v>
      </c>
      <c r="P42" s="37">
        <f t="shared" ref="P42:R46" si="7">D5</f>
        <v>5</v>
      </c>
      <c r="Q42" s="37">
        <f t="shared" si="7"/>
        <v>5</v>
      </c>
      <c r="R42" s="37">
        <f t="shared" si="7"/>
        <v>10</v>
      </c>
    </row>
    <row r="43" spans="2:18" ht="17">
      <c r="B43" s="47" t="s">
        <v>144</v>
      </c>
      <c r="C43" s="47">
        <v>16</v>
      </c>
      <c r="D43" s="47">
        <f>D42+C43</f>
        <v>26</v>
      </c>
      <c r="E43" s="47">
        <v>100</v>
      </c>
      <c r="F43" s="47">
        <f t="shared" ref="F43:F46" si="8">IF((D43-E43)&gt;0,D43-E43,0)</f>
        <v>0</v>
      </c>
      <c r="H43" s="278" t="s">
        <v>761</v>
      </c>
      <c r="I43" s="158">
        <f>1/I42</f>
        <v>2.5319148936170213</v>
      </c>
      <c r="O43" s="37" t="s">
        <v>111</v>
      </c>
      <c r="P43" s="37">
        <f t="shared" si="7"/>
        <v>7.5</v>
      </c>
      <c r="Q43" s="37">
        <f t="shared" si="7"/>
        <v>7.5</v>
      </c>
      <c r="R43" s="37">
        <f t="shared" si="7"/>
        <v>15</v>
      </c>
    </row>
    <row r="44" spans="2:18" ht="17" thickBot="1">
      <c r="B44" s="47" t="s">
        <v>246</v>
      </c>
      <c r="C44" s="47">
        <v>18</v>
      </c>
      <c r="D44" s="47">
        <f t="shared" ref="D44:D46" si="9">D43+C44</f>
        <v>44</v>
      </c>
      <c r="E44" s="47">
        <v>80</v>
      </c>
      <c r="F44" s="47">
        <f t="shared" si="8"/>
        <v>0</v>
      </c>
      <c r="H44" s="279" t="s">
        <v>734</v>
      </c>
      <c r="I44" s="156">
        <f>F47/5</f>
        <v>7.6</v>
      </c>
      <c r="O44" s="37" t="s">
        <v>143</v>
      </c>
      <c r="P44" s="37">
        <f t="shared" si="7"/>
        <v>2.5</v>
      </c>
      <c r="Q44" s="37">
        <f t="shared" si="7"/>
        <v>2.5</v>
      </c>
      <c r="R44" s="37">
        <f t="shared" si="7"/>
        <v>5</v>
      </c>
    </row>
    <row r="45" spans="2:18">
      <c r="B45" s="47" t="s">
        <v>110</v>
      </c>
      <c r="C45" s="47">
        <v>20</v>
      </c>
      <c r="D45" s="47">
        <f t="shared" si="9"/>
        <v>64</v>
      </c>
      <c r="E45" s="47">
        <v>50</v>
      </c>
      <c r="F45" s="47">
        <f t="shared" si="8"/>
        <v>14</v>
      </c>
      <c r="O45" s="37" t="s">
        <v>144</v>
      </c>
      <c r="P45" s="37">
        <f t="shared" si="7"/>
        <v>4</v>
      </c>
      <c r="Q45" s="37">
        <f t="shared" si="7"/>
        <v>4</v>
      </c>
      <c r="R45" s="37">
        <f t="shared" si="7"/>
        <v>8</v>
      </c>
    </row>
    <row r="46" spans="2:18">
      <c r="B46" s="47" t="s">
        <v>111</v>
      </c>
      <c r="C46" s="47">
        <v>30</v>
      </c>
      <c r="D46" s="47">
        <f t="shared" si="9"/>
        <v>94</v>
      </c>
      <c r="E46" s="47">
        <v>70</v>
      </c>
      <c r="F46" s="47">
        <f t="shared" si="8"/>
        <v>24</v>
      </c>
      <c r="G46" s="47"/>
      <c r="O46" s="37" t="s">
        <v>246</v>
      </c>
      <c r="P46" s="37">
        <f t="shared" si="7"/>
        <v>4.5</v>
      </c>
      <c r="Q46" s="37">
        <f t="shared" si="7"/>
        <v>4.5</v>
      </c>
      <c r="R46" s="37">
        <f t="shared" si="7"/>
        <v>9</v>
      </c>
    </row>
    <row r="47" spans="2:18">
      <c r="B47" s="280" t="s">
        <v>361</v>
      </c>
      <c r="C47" s="280">
        <f>SUM(C42:C46)</f>
        <v>94</v>
      </c>
      <c r="D47" s="280">
        <f>SUM(D42:D46)</f>
        <v>238</v>
      </c>
      <c r="E47" s="280"/>
      <c r="F47" s="280">
        <f>SUM(F42:F46)</f>
        <v>38</v>
      </c>
      <c r="G47" s="47"/>
    </row>
    <row r="48" spans="2:18">
      <c r="B48" s="47"/>
      <c r="C48" s="47"/>
      <c r="D48" s="47"/>
      <c r="E48" s="47"/>
      <c r="F48" s="47"/>
      <c r="G48" s="47"/>
      <c r="O48" s="37" t="s">
        <v>723</v>
      </c>
      <c r="P48" s="37" t="s">
        <v>764</v>
      </c>
      <c r="Q48" s="37" t="s">
        <v>765</v>
      </c>
    </row>
    <row r="49" spans="2:17">
      <c r="B49" s="47"/>
      <c r="C49" s="47"/>
      <c r="D49" s="47"/>
      <c r="E49" s="47"/>
      <c r="F49" s="47"/>
      <c r="G49" s="47"/>
      <c r="O49" s="37" t="s">
        <v>110</v>
      </c>
      <c r="P49" s="37">
        <f>P42+Q42</f>
        <v>10</v>
      </c>
      <c r="Q49" s="37">
        <f>R42+Q42</f>
        <v>15</v>
      </c>
    </row>
    <row r="50" spans="2:17">
      <c r="B50" s="47"/>
      <c r="C50" s="47"/>
      <c r="D50" s="47"/>
      <c r="E50" s="47"/>
      <c r="F50" s="47"/>
      <c r="G50" s="47"/>
      <c r="O50" s="37" t="s">
        <v>111</v>
      </c>
      <c r="P50" s="37">
        <f t="shared" ref="P50:P53" si="10">P43+Q43</f>
        <v>15</v>
      </c>
      <c r="Q50" s="37">
        <f t="shared" ref="Q50:Q53" si="11">R43+Q43</f>
        <v>22.5</v>
      </c>
    </row>
    <row r="51" spans="2:17">
      <c r="B51" s="47"/>
      <c r="C51" s="47"/>
      <c r="D51" s="47"/>
      <c r="E51" s="47"/>
      <c r="F51" s="47"/>
      <c r="G51" s="47"/>
      <c r="O51" s="37" t="s">
        <v>143</v>
      </c>
      <c r="P51" s="37">
        <f t="shared" si="10"/>
        <v>5</v>
      </c>
      <c r="Q51" s="37">
        <f t="shared" si="11"/>
        <v>7.5</v>
      </c>
    </row>
    <row r="52" spans="2:17">
      <c r="B52" s="47"/>
      <c r="C52" s="47"/>
      <c r="D52" s="47">
        <v>0</v>
      </c>
      <c r="E52" s="47"/>
      <c r="F52" s="47"/>
      <c r="G52" s="47"/>
      <c r="O52" s="37" t="s">
        <v>144</v>
      </c>
      <c r="P52" s="37">
        <f t="shared" si="10"/>
        <v>8</v>
      </c>
      <c r="Q52" s="37">
        <f t="shared" si="11"/>
        <v>12</v>
      </c>
    </row>
    <row r="53" spans="2:17">
      <c r="B53" s="47"/>
      <c r="C53" s="47"/>
      <c r="D53" s="47">
        <v>0</v>
      </c>
      <c r="E53" s="47"/>
      <c r="F53" s="47"/>
      <c r="G53" s="47"/>
      <c r="O53" s="37" t="s">
        <v>246</v>
      </c>
      <c r="P53" s="37">
        <f t="shared" si="10"/>
        <v>9</v>
      </c>
      <c r="Q53" s="37">
        <f t="shared" si="11"/>
        <v>13.5</v>
      </c>
    </row>
    <row r="54" spans="2:17">
      <c r="B54" s="47"/>
      <c r="C54" s="47"/>
      <c r="D54" s="47">
        <v>0</v>
      </c>
      <c r="E54" s="47"/>
      <c r="F54" s="47"/>
      <c r="G54" s="47"/>
    </row>
    <row r="55" spans="2:17">
      <c r="B55" s="47"/>
      <c r="C55" s="47"/>
      <c r="D55" s="47">
        <f>SUM(D52:D54)</f>
        <v>0</v>
      </c>
      <c r="E55" s="47"/>
      <c r="F55" s="47"/>
      <c r="G55" s="47"/>
      <c r="O55" s="281" t="s">
        <v>756</v>
      </c>
      <c r="P55" s="282" t="s">
        <v>766</v>
      </c>
    </row>
    <row r="56" spans="2:17">
      <c r="B56" s="47"/>
      <c r="C56" s="47"/>
      <c r="D56" s="47"/>
      <c r="E56" s="47"/>
      <c r="F56" s="47"/>
      <c r="G56" s="47"/>
    </row>
    <row r="57" spans="2:17">
      <c r="B57" s="47"/>
      <c r="C57" s="47"/>
      <c r="D57" s="47"/>
      <c r="E57" s="47"/>
      <c r="F57" s="47"/>
      <c r="G57" s="47"/>
    </row>
    <row r="58" spans="2:17">
      <c r="B58" s="47"/>
      <c r="C58" s="47"/>
      <c r="D58" s="47"/>
      <c r="E58" s="47"/>
      <c r="F58" s="47"/>
      <c r="G58" s="47"/>
    </row>
    <row r="59" spans="2:17">
      <c r="B59" s="47"/>
      <c r="C59" s="47"/>
      <c r="D59" s="47"/>
      <c r="E59" s="47"/>
      <c r="F59" s="47"/>
      <c r="G59" s="47"/>
    </row>
    <row r="60" spans="2:17">
      <c r="B60" s="47"/>
      <c r="C60" s="47"/>
      <c r="D60" s="47"/>
      <c r="E60" s="47"/>
      <c r="F60" s="47"/>
      <c r="G60" s="47"/>
    </row>
    <row r="61" spans="2:17">
      <c r="B61" s="47"/>
      <c r="C61" s="47"/>
      <c r="D61" s="47"/>
      <c r="E61" s="47"/>
      <c r="F61" s="47"/>
      <c r="G61" s="47"/>
    </row>
    <row r="62" spans="2:17">
      <c r="B62" s="47"/>
      <c r="C62" s="47"/>
      <c r="D62" s="47"/>
      <c r="E62" s="47"/>
      <c r="F62" s="47"/>
      <c r="G62" s="47"/>
    </row>
    <row r="63" spans="2:17">
      <c r="B63" s="47"/>
      <c r="C63" s="47"/>
      <c r="D63" s="47"/>
      <c r="E63" s="47"/>
      <c r="F63" s="47"/>
      <c r="G63" s="47"/>
    </row>
    <row r="64" spans="2:17">
      <c r="B64" s="47"/>
      <c r="C64" s="47"/>
      <c r="D64" s="47"/>
      <c r="E64" s="47"/>
      <c r="F64" s="47"/>
      <c r="G64" s="47"/>
    </row>
    <row r="65" spans="2:7">
      <c r="B65" s="47"/>
      <c r="C65" s="47"/>
      <c r="D65" s="47"/>
      <c r="E65" s="47"/>
      <c r="F65" s="47"/>
      <c r="G65" s="47"/>
    </row>
    <row r="66" spans="2:7">
      <c r="B66" s="47"/>
      <c r="C66" s="47"/>
      <c r="D66" s="47"/>
      <c r="E66" s="47"/>
      <c r="F66" s="47"/>
      <c r="G66" s="47"/>
    </row>
    <row r="67" spans="2:7">
      <c r="B67" s="47"/>
      <c r="C67" s="47"/>
      <c r="D67" s="47"/>
      <c r="E67" s="47"/>
      <c r="F67" s="47"/>
      <c r="G67" s="47"/>
    </row>
    <row r="68" spans="2:7">
      <c r="B68" s="47"/>
      <c r="C68" s="47"/>
      <c r="D68" s="47"/>
      <c r="E68" s="47"/>
      <c r="F68" s="47"/>
      <c r="G68" s="47"/>
    </row>
    <row r="69" spans="2:7">
      <c r="B69" s="47"/>
      <c r="C69" s="47"/>
      <c r="D69" s="47"/>
      <c r="E69" s="47"/>
      <c r="F69" s="47"/>
      <c r="G69" s="47"/>
    </row>
    <row r="70" spans="2:7">
      <c r="B70" s="47"/>
      <c r="C70" s="47"/>
      <c r="D70" s="47"/>
      <c r="E70" s="47"/>
      <c r="F70" s="47"/>
      <c r="G70" s="47"/>
    </row>
    <row r="71" spans="2:7">
      <c r="B71" s="47"/>
      <c r="C71" s="47"/>
      <c r="D71" s="47"/>
      <c r="E71" s="47"/>
      <c r="F71" s="47"/>
      <c r="G71" s="47"/>
    </row>
  </sheetData>
  <mergeCells count="4">
    <mergeCell ref="D2:F2"/>
    <mergeCell ref="B21:F21"/>
    <mergeCell ref="B31:F31"/>
    <mergeCell ref="B40:F40"/>
  </mergeCells>
  <pageMargins left="0.75" right="0.75" top="1" bottom="1" header="0.5" footer="0.5"/>
  <pageSetup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CF8A6-E836-D844-9F32-FD84661511D1}">
  <dimension ref="A1:H35"/>
  <sheetViews>
    <sheetView workbookViewId="0">
      <selection activeCell="I9" sqref="I9"/>
    </sheetView>
  </sheetViews>
  <sheetFormatPr baseColWidth="10" defaultRowHeight="16"/>
  <cols>
    <col min="1" max="1" width="29.6640625" customWidth="1"/>
    <col min="3" max="3" width="11.83203125" customWidth="1"/>
    <col min="5" max="5" width="12.5" customWidth="1"/>
    <col min="6" max="6" width="12.6640625" customWidth="1"/>
  </cols>
  <sheetData>
    <row r="1" spans="1:8">
      <c r="A1" s="30" t="s">
        <v>0</v>
      </c>
    </row>
    <row r="2" spans="1:8">
      <c r="A2" s="31" t="s">
        <v>1</v>
      </c>
    </row>
    <row r="3" spans="1:8">
      <c r="A3" s="31" t="s">
        <v>2</v>
      </c>
    </row>
    <row r="4" spans="1:8">
      <c r="A4" s="32" t="s">
        <v>3</v>
      </c>
    </row>
    <row r="6" spans="1:8">
      <c r="A6" s="33" t="s">
        <v>4</v>
      </c>
    </row>
    <row r="7" spans="1:8">
      <c r="A7" s="34" t="s">
        <v>6</v>
      </c>
      <c r="B7" s="35" t="s">
        <v>7</v>
      </c>
      <c r="C7" s="35" t="s">
        <v>8</v>
      </c>
      <c r="D7" s="35" t="s">
        <v>9</v>
      </c>
      <c r="E7" s="35" t="s">
        <v>49</v>
      </c>
      <c r="F7" s="35" t="s">
        <v>50</v>
      </c>
      <c r="G7" s="35" t="s">
        <v>51</v>
      </c>
    </row>
    <row r="8" spans="1:8">
      <c r="A8" s="36" t="s">
        <v>11</v>
      </c>
      <c r="B8" s="37">
        <v>25000</v>
      </c>
      <c r="C8" s="37">
        <v>6500</v>
      </c>
      <c r="D8" s="37">
        <v>15000</v>
      </c>
      <c r="E8" s="37">
        <v>19000</v>
      </c>
      <c r="F8" s="37">
        <v>32000</v>
      </c>
      <c r="G8" s="37">
        <v>29000</v>
      </c>
    </row>
    <row r="9" spans="1:8">
      <c r="A9" s="36" t="s">
        <v>13</v>
      </c>
      <c r="B9" s="37">
        <v>12000</v>
      </c>
      <c r="C9" s="38">
        <f>B15</f>
        <v>6166.6666666666679</v>
      </c>
      <c r="D9" s="38">
        <f>C15</f>
        <v>18833.333333333336</v>
      </c>
      <c r="E9" s="38">
        <f>D15</f>
        <v>23000</v>
      </c>
      <c r="F9" s="38">
        <f>E15</f>
        <v>23166.666666666664</v>
      </c>
      <c r="G9" s="38">
        <f>F15</f>
        <v>10333.333333333328</v>
      </c>
    </row>
    <row r="10" spans="1:8">
      <c r="A10" s="36" t="s">
        <v>15</v>
      </c>
      <c r="B10" s="38">
        <f t="shared" ref="B10:G10" si="0">$C$28</f>
        <v>20282.186948853618</v>
      </c>
      <c r="C10" s="38">
        <f t="shared" si="0"/>
        <v>20282.186948853618</v>
      </c>
      <c r="D10" s="38">
        <f t="shared" si="0"/>
        <v>20282.186948853618</v>
      </c>
      <c r="E10" s="38">
        <f t="shared" si="0"/>
        <v>20282.186948853618</v>
      </c>
      <c r="F10" s="38">
        <f t="shared" si="0"/>
        <v>20282.186948853618</v>
      </c>
      <c r="G10" s="38">
        <f t="shared" si="0"/>
        <v>20282.186948853618</v>
      </c>
    </row>
    <row r="11" spans="1:8">
      <c r="A11" s="36" t="s">
        <v>16</v>
      </c>
      <c r="B11" s="38">
        <v>0</v>
      </c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9"/>
    </row>
    <row r="12" spans="1:8">
      <c r="A12" s="36" t="s">
        <v>17</v>
      </c>
      <c r="B12" s="38">
        <f t="shared" ref="B12:G12" si="1">B10*$B$25</f>
        <v>1115.52028218695</v>
      </c>
      <c r="C12" s="38">
        <f t="shared" si="1"/>
        <v>1115.52028218695</v>
      </c>
      <c r="D12" s="38">
        <f t="shared" si="1"/>
        <v>1115.52028218695</v>
      </c>
      <c r="E12" s="38">
        <f t="shared" si="1"/>
        <v>1115.52028218695</v>
      </c>
      <c r="F12" s="38">
        <f t="shared" si="1"/>
        <v>1115.52028218695</v>
      </c>
      <c r="G12" s="38">
        <f t="shared" si="1"/>
        <v>1115.52028218695</v>
      </c>
    </row>
    <row r="13" spans="1:8">
      <c r="A13" s="36" t="s">
        <v>18</v>
      </c>
      <c r="B13" s="38">
        <f t="shared" ref="B13:G13" si="2">B9+B10+B11-B12</f>
        <v>31166.666666666668</v>
      </c>
      <c r="C13" s="38">
        <f t="shared" si="2"/>
        <v>25333.333333333336</v>
      </c>
      <c r="D13" s="38">
        <f t="shared" si="2"/>
        <v>38000</v>
      </c>
      <c r="E13" s="38">
        <f t="shared" si="2"/>
        <v>42166.666666666664</v>
      </c>
      <c r="F13" s="38">
        <f t="shared" si="2"/>
        <v>42333.333333333328</v>
      </c>
      <c r="G13" s="38">
        <f t="shared" si="2"/>
        <v>29499.999999999996</v>
      </c>
    </row>
    <row r="14" spans="1:8">
      <c r="A14" s="36" t="s">
        <v>19</v>
      </c>
      <c r="B14" s="37">
        <f t="shared" ref="B14:G14" si="3">B8</f>
        <v>25000</v>
      </c>
      <c r="C14" s="37">
        <f t="shared" si="3"/>
        <v>6500</v>
      </c>
      <c r="D14" s="37">
        <f t="shared" si="3"/>
        <v>15000</v>
      </c>
      <c r="E14" s="37">
        <f t="shared" si="3"/>
        <v>19000</v>
      </c>
      <c r="F14" s="37">
        <f t="shared" si="3"/>
        <v>32000</v>
      </c>
      <c r="G14" s="37">
        <f t="shared" si="3"/>
        <v>29000</v>
      </c>
    </row>
    <row r="15" spans="1:8">
      <c r="A15" s="36" t="s">
        <v>20</v>
      </c>
      <c r="B15" s="38">
        <f t="shared" ref="B15:G15" si="4">B13-B14</f>
        <v>6166.6666666666679</v>
      </c>
      <c r="C15" s="38">
        <f t="shared" si="4"/>
        <v>18833.333333333336</v>
      </c>
      <c r="D15" s="38">
        <f t="shared" si="4"/>
        <v>23000</v>
      </c>
      <c r="E15" s="38">
        <f t="shared" si="4"/>
        <v>23166.666666666664</v>
      </c>
      <c r="F15" s="38">
        <f t="shared" si="4"/>
        <v>10333.333333333328</v>
      </c>
      <c r="G15" s="38">
        <f t="shared" si="4"/>
        <v>499.99999999999636</v>
      </c>
    </row>
    <row r="16" spans="1:8">
      <c r="A16" s="40"/>
      <c r="B16" s="41"/>
      <c r="C16" s="41"/>
      <c r="D16" s="41"/>
      <c r="E16" s="41"/>
      <c r="F16" s="41"/>
      <c r="G16" s="41"/>
    </row>
    <row r="17" spans="1:8">
      <c r="A17" s="36" t="s">
        <v>21</v>
      </c>
      <c r="B17" s="37"/>
      <c r="C17" s="37"/>
      <c r="D17" s="37"/>
      <c r="E17" s="37"/>
      <c r="F17" s="37"/>
      <c r="G17" s="37"/>
    </row>
    <row r="18" spans="1:8">
      <c r="A18" s="36" t="s">
        <v>22</v>
      </c>
      <c r="B18" s="38">
        <f t="shared" ref="B18:G18" si="5">B15</f>
        <v>6166.6666666666679</v>
      </c>
      <c r="C18" s="38">
        <f t="shared" si="5"/>
        <v>18833.333333333336</v>
      </c>
      <c r="D18" s="38">
        <f t="shared" si="5"/>
        <v>23000</v>
      </c>
      <c r="E18" s="38">
        <f t="shared" si="5"/>
        <v>23166.666666666664</v>
      </c>
      <c r="F18" s="38">
        <f t="shared" si="5"/>
        <v>10333.333333333328</v>
      </c>
      <c r="G18" s="38">
        <f t="shared" si="5"/>
        <v>499.99999999999636</v>
      </c>
    </row>
    <row r="19" spans="1:8">
      <c r="A19" s="36" t="s">
        <v>23</v>
      </c>
      <c r="B19" s="38">
        <f>D26-B26</f>
        <v>13</v>
      </c>
      <c r="C19" s="37">
        <v>0</v>
      </c>
      <c r="D19" s="37">
        <v>0</v>
      </c>
      <c r="E19" s="38">
        <v>0</v>
      </c>
      <c r="F19" s="37">
        <v>0</v>
      </c>
      <c r="G19" s="37">
        <v>0</v>
      </c>
    </row>
    <row r="20" spans="1:8">
      <c r="A20" s="36" t="s">
        <v>24</v>
      </c>
      <c r="B20" s="37">
        <v>0</v>
      </c>
      <c r="C20" s="38">
        <v>0</v>
      </c>
      <c r="D20" s="37">
        <v>0</v>
      </c>
      <c r="E20" s="37">
        <v>0</v>
      </c>
      <c r="F20" s="38">
        <v>0</v>
      </c>
      <c r="G20" s="37">
        <v>0</v>
      </c>
    </row>
    <row r="21" spans="1:8">
      <c r="A21" s="36" t="s">
        <v>25</v>
      </c>
      <c r="B21" s="38">
        <f t="shared" ref="B21:G21" si="6">$D$26</f>
        <v>21</v>
      </c>
      <c r="C21" s="38">
        <f t="shared" si="6"/>
        <v>21</v>
      </c>
      <c r="D21" s="38">
        <f t="shared" si="6"/>
        <v>21</v>
      </c>
      <c r="E21" s="38">
        <f t="shared" si="6"/>
        <v>21</v>
      </c>
      <c r="F21" s="38">
        <f t="shared" si="6"/>
        <v>21</v>
      </c>
      <c r="G21" s="38">
        <f t="shared" si="6"/>
        <v>21</v>
      </c>
    </row>
    <row r="22" spans="1:8">
      <c r="A22" s="36" t="s">
        <v>26</v>
      </c>
      <c r="B22" s="37">
        <v>0</v>
      </c>
      <c r="C22" s="38">
        <v>0</v>
      </c>
      <c r="D22" s="37">
        <v>0</v>
      </c>
      <c r="E22" s="37">
        <v>0</v>
      </c>
      <c r="F22" s="38">
        <v>0</v>
      </c>
      <c r="G22" s="37">
        <v>0</v>
      </c>
    </row>
    <row r="23" spans="1:8">
      <c r="A23" s="36" t="s">
        <v>27</v>
      </c>
      <c r="B23" s="42">
        <f t="shared" ref="B23:G23" si="7">(B18*$B$30)+(B19*$B$31)+(B20*$B$33)+(B21*$B$32)+(B34*$B$22)</f>
        <v>10683.333333333334</v>
      </c>
      <c r="C23" s="42">
        <f t="shared" si="7"/>
        <v>15716.666666666668</v>
      </c>
      <c r="D23" s="42">
        <f t="shared" si="7"/>
        <v>17800</v>
      </c>
      <c r="E23" s="42">
        <f t="shared" si="7"/>
        <v>17883.333333333332</v>
      </c>
      <c r="F23" s="42">
        <f t="shared" si="7"/>
        <v>11466.666666666664</v>
      </c>
      <c r="G23" s="42">
        <f t="shared" si="7"/>
        <v>6549.9999999999982</v>
      </c>
      <c r="H23" s="43">
        <f>SUM(B23:G23)</f>
        <v>80100</v>
      </c>
    </row>
    <row r="24" spans="1:8">
      <c r="B24" s="44"/>
      <c r="C24" s="44"/>
      <c r="D24" s="44"/>
      <c r="E24" s="44"/>
      <c r="F24" s="44"/>
      <c r="G24" s="44"/>
    </row>
    <row r="25" spans="1:8">
      <c r="A25" t="s">
        <v>52</v>
      </c>
      <c r="B25" s="45">
        <f>1-0.945</f>
        <v>5.5000000000000049E-2</v>
      </c>
      <c r="H25" s="46"/>
    </row>
    <row r="26" spans="1:8">
      <c r="A26" t="s">
        <v>53</v>
      </c>
      <c r="B26" s="47">
        <v>8</v>
      </c>
      <c r="C26" s="47" t="s">
        <v>54</v>
      </c>
      <c r="D26" s="48">
        <v>21</v>
      </c>
      <c r="E26" s="47"/>
      <c r="F26" s="47"/>
      <c r="G26" s="47"/>
    </row>
    <row r="27" spans="1:8">
      <c r="A27" t="s">
        <v>55</v>
      </c>
      <c r="B27" s="47">
        <v>1000</v>
      </c>
      <c r="C27" s="47"/>
      <c r="D27" s="47"/>
      <c r="E27" s="47"/>
      <c r="F27" s="47"/>
      <c r="G27" s="47"/>
    </row>
    <row r="28" spans="1:8">
      <c r="A28" t="s">
        <v>32</v>
      </c>
      <c r="B28" s="48">
        <f>(B8+C8+D8+E8+F8+G8-B9+500)/6</f>
        <v>19166.666666666668</v>
      </c>
      <c r="C28" s="48">
        <f>B28/(1-B25)</f>
        <v>20282.186948853618</v>
      </c>
      <c r="D28" s="47"/>
      <c r="F28" s="47"/>
      <c r="G28" s="47"/>
    </row>
    <row r="29" spans="1:8">
      <c r="A29" t="s">
        <v>56</v>
      </c>
      <c r="B29" s="48">
        <f>C28*0.2</f>
        <v>4056.4373897707237</v>
      </c>
      <c r="C29" s="48">
        <f>C28+B29</f>
        <v>24338.62433862434</v>
      </c>
      <c r="D29" s="47"/>
      <c r="E29" s="47"/>
      <c r="F29" s="47"/>
      <c r="G29" s="47"/>
    </row>
    <row r="30" spans="1:8">
      <c r="A30" t="s">
        <v>34</v>
      </c>
      <c r="B30" s="49">
        <v>0.5</v>
      </c>
      <c r="C30" s="47"/>
      <c r="D30" s="47"/>
      <c r="E30" s="47"/>
      <c r="F30" s="47"/>
      <c r="G30" s="47"/>
    </row>
    <row r="31" spans="1:8">
      <c r="A31" t="s">
        <v>36</v>
      </c>
      <c r="B31" s="50">
        <v>100</v>
      </c>
      <c r="C31" s="47"/>
      <c r="D31" s="47"/>
      <c r="E31" s="47"/>
      <c r="F31" s="47"/>
      <c r="G31" s="47"/>
    </row>
    <row r="32" spans="1:8">
      <c r="A32" t="s">
        <v>38</v>
      </c>
      <c r="B32" s="50">
        <v>300</v>
      </c>
      <c r="C32" s="47"/>
      <c r="D32" s="47"/>
      <c r="E32" s="47"/>
      <c r="F32" s="47"/>
      <c r="G32" s="47"/>
    </row>
    <row r="33" spans="1:7">
      <c r="A33" t="s">
        <v>40</v>
      </c>
      <c r="B33" s="50">
        <v>450</v>
      </c>
      <c r="C33" s="47"/>
      <c r="D33" s="47"/>
      <c r="E33" s="47"/>
      <c r="F33" s="47"/>
      <c r="G33" s="47"/>
    </row>
    <row r="34" spans="1:7">
      <c r="A34" t="s">
        <v>41</v>
      </c>
      <c r="B34" s="50">
        <v>0</v>
      </c>
      <c r="C34" s="47"/>
      <c r="D34" s="47"/>
      <c r="E34" s="47"/>
      <c r="F34" s="47"/>
      <c r="G34" s="47"/>
    </row>
    <row r="35" spans="1:7">
      <c r="B35" s="47"/>
      <c r="C35" s="47"/>
      <c r="D35" s="47"/>
      <c r="E35" s="47"/>
      <c r="F35" s="47"/>
      <c r="G35" s="47"/>
    </row>
  </sheetData>
  <pageMargins left="0.75" right="0.75" top="1" bottom="1" header="0.5" footer="0.5"/>
  <pageSetup paperSize="9" orientation="portrait" horizontalDpi="4294967292" verticalDpi="429496729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66E59-0725-8740-A732-3A0E4FFDE5A6}">
  <dimension ref="A1:K31"/>
  <sheetViews>
    <sheetView workbookViewId="0">
      <selection activeCell="M16" sqref="M16"/>
    </sheetView>
  </sheetViews>
  <sheetFormatPr baseColWidth="10" defaultRowHeight="16"/>
  <cols>
    <col min="1" max="1" width="8.6640625" customWidth="1"/>
    <col min="2" max="2" width="11.5" customWidth="1"/>
    <col min="5" max="5" width="10.83203125" customWidth="1"/>
    <col min="7" max="7" width="9.6640625" customWidth="1"/>
    <col min="8" max="8" width="10.1640625" customWidth="1"/>
  </cols>
  <sheetData>
    <row r="1" spans="1:11">
      <c r="A1" s="283"/>
      <c r="B1" s="283"/>
      <c r="C1" s="283"/>
      <c r="D1" s="283"/>
      <c r="E1" s="283"/>
      <c r="F1" s="283"/>
      <c r="G1" s="283"/>
      <c r="H1" s="283"/>
      <c r="I1" s="283"/>
      <c r="J1" s="283"/>
      <c r="K1" s="283"/>
    </row>
    <row r="2" spans="1:11" ht="17" thickBot="1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283"/>
    </row>
    <row r="3" spans="1:11" ht="48">
      <c r="A3" s="283"/>
      <c r="B3" s="284" t="s">
        <v>767</v>
      </c>
      <c r="C3" s="285" t="s">
        <v>768</v>
      </c>
      <c r="D3" s="285" t="s">
        <v>769</v>
      </c>
      <c r="E3" s="285" t="s">
        <v>770</v>
      </c>
      <c r="F3" s="286" t="s">
        <v>771</v>
      </c>
      <c r="G3" s="287" t="s">
        <v>772</v>
      </c>
      <c r="H3" s="287" t="s">
        <v>756</v>
      </c>
      <c r="I3" s="283"/>
      <c r="J3" s="283"/>
      <c r="K3" s="283"/>
    </row>
    <row r="4" spans="1:11">
      <c r="A4" s="283"/>
      <c r="B4" s="288" t="s">
        <v>773</v>
      </c>
      <c r="C4" s="289">
        <v>7500</v>
      </c>
      <c r="D4" s="290">
        <v>32</v>
      </c>
      <c r="E4" s="291">
        <v>3000</v>
      </c>
      <c r="F4" s="292">
        <v>5000</v>
      </c>
      <c r="G4" s="293">
        <f t="shared" ref="G4:G9" si="0">F4/E4</f>
        <v>1.6666666666666667</v>
      </c>
      <c r="H4" s="294">
        <v>1</v>
      </c>
      <c r="I4" s="283"/>
      <c r="J4" s="283"/>
      <c r="K4" s="283"/>
    </row>
    <row r="5" spans="1:11">
      <c r="A5" s="283"/>
      <c r="B5" s="288" t="s">
        <v>774</v>
      </c>
      <c r="C5" s="289">
        <v>4000</v>
      </c>
      <c r="D5" s="290">
        <v>17</v>
      </c>
      <c r="E5" s="291">
        <v>1000</v>
      </c>
      <c r="F5" s="292">
        <v>3000</v>
      </c>
      <c r="G5" s="293">
        <f t="shared" si="0"/>
        <v>3</v>
      </c>
      <c r="H5" s="294">
        <v>6</v>
      </c>
      <c r="I5" s="283"/>
      <c r="J5" s="283"/>
      <c r="K5" s="283"/>
    </row>
    <row r="6" spans="1:11" ht="15" customHeight="1">
      <c r="A6" s="283"/>
      <c r="B6" s="288" t="s">
        <v>775</v>
      </c>
      <c r="C6" s="289">
        <v>5000</v>
      </c>
      <c r="D6" s="290">
        <v>21</v>
      </c>
      <c r="E6" s="291">
        <v>2000</v>
      </c>
      <c r="F6" s="292">
        <v>4500</v>
      </c>
      <c r="G6" s="293">
        <f t="shared" si="0"/>
        <v>2.25</v>
      </c>
      <c r="H6" s="294">
        <v>4</v>
      </c>
      <c r="I6" s="283"/>
      <c r="J6" s="283"/>
      <c r="K6" s="283"/>
    </row>
    <row r="7" spans="1:11">
      <c r="A7" s="283"/>
      <c r="B7" s="288" t="s">
        <v>776</v>
      </c>
      <c r="C7" s="289">
        <v>2000</v>
      </c>
      <c r="D7" s="290">
        <v>8</v>
      </c>
      <c r="E7" s="291">
        <v>800</v>
      </c>
      <c r="F7" s="292">
        <v>1500</v>
      </c>
      <c r="G7" s="293">
        <f t="shared" si="0"/>
        <v>1.875</v>
      </c>
      <c r="H7" s="294">
        <v>3</v>
      </c>
      <c r="I7" s="283"/>
      <c r="J7" s="283"/>
      <c r="K7" s="283"/>
    </row>
    <row r="8" spans="1:11" ht="15" customHeight="1">
      <c r="A8" s="283"/>
      <c r="B8" s="288" t="s">
        <v>777</v>
      </c>
      <c r="C8" s="289">
        <v>3000</v>
      </c>
      <c r="D8" s="290">
        <v>13</v>
      </c>
      <c r="E8" s="291">
        <v>700</v>
      </c>
      <c r="F8" s="292">
        <v>2000</v>
      </c>
      <c r="G8" s="293">
        <f t="shared" si="0"/>
        <v>2.8571428571428572</v>
      </c>
      <c r="H8" s="294">
        <v>5</v>
      </c>
      <c r="I8" s="283"/>
      <c r="J8" s="283"/>
      <c r="K8" s="283"/>
    </row>
    <row r="9" spans="1:11" ht="17" thickBot="1">
      <c r="A9" s="283"/>
      <c r="B9" s="295" t="s">
        <v>778</v>
      </c>
      <c r="C9" s="296">
        <v>3500</v>
      </c>
      <c r="D9" s="297">
        <v>15</v>
      </c>
      <c r="E9" s="298">
        <v>1200</v>
      </c>
      <c r="F9" s="299">
        <v>2100</v>
      </c>
      <c r="G9" s="293">
        <f t="shared" si="0"/>
        <v>1.75</v>
      </c>
      <c r="H9" s="294">
        <v>2</v>
      </c>
      <c r="I9" s="283"/>
      <c r="J9" s="283"/>
      <c r="K9" s="283"/>
    </row>
    <row r="10" spans="1:11">
      <c r="A10" s="283"/>
      <c r="B10" s="283"/>
      <c r="C10" s="283"/>
      <c r="D10" s="283"/>
      <c r="E10" s="283"/>
      <c r="F10" s="283"/>
      <c r="G10" s="283"/>
      <c r="H10" s="283"/>
      <c r="I10" s="283"/>
      <c r="J10" s="283"/>
      <c r="K10" s="283"/>
    </row>
    <row r="11" spans="1:11">
      <c r="A11" s="283"/>
      <c r="B11" s="283"/>
      <c r="C11" s="283"/>
      <c r="D11" s="283"/>
      <c r="E11" s="283"/>
      <c r="F11" s="283"/>
      <c r="G11" s="283"/>
      <c r="H11" s="283"/>
      <c r="I11" s="283"/>
      <c r="J11" s="283"/>
      <c r="K11" s="283"/>
    </row>
    <row r="12" spans="1:11">
      <c r="A12" s="300" t="s">
        <v>772</v>
      </c>
      <c r="B12" s="301" t="s">
        <v>270</v>
      </c>
      <c r="C12" s="301" t="s">
        <v>779</v>
      </c>
      <c r="D12" s="301" t="s">
        <v>595</v>
      </c>
      <c r="E12" s="301" t="s">
        <v>596</v>
      </c>
      <c r="F12" s="301" t="s">
        <v>780</v>
      </c>
      <c r="G12" s="301" t="s">
        <v>781</v>
      </c>
      <c r="H12" s="301" t="s">
        <v>782</v>
      </c>
      <c r="I12" s="301" t="s">
        <v>783</v>
      </c>
      <c r="J12" s="301" t="s">
        <v>784</v>
      </c>
      <c r="K12" s="301"/>
    </row>
    <row r="13" spans="1:11">
      <c r="A13" s="283"/>
      <c r="B13" s="283" t="s">
        <v>773</v>
      </c>
      <c r="C13" s="302">
        <v>7500</v>
      </c>
      <c r="D13" s="303">
        <v>0</v>
      </c>
      <c r="E13" s="303">
        <v>32</v>
      </c>
      <c r="F13" s="293">
        <f t="shared" ref="F13:F18" si="1">E13/24</f>
        <v>1.3333333333333333</v>
      </c>
      <c r="G13" s="302">
        <v>5000</v>
      </c>
      <c r="H13" s="304">
        <f t="shared" ref="H13:H18" si="2">G13/I13</f>
        <v>1.6666666666666667</v>
      </c>
      <c r="I13" s="302">
        <v>3000</v>
      </c>
      <c r="J13" s="302">
        <f t="shared" ref="J13:J18" si="3">IF(H13&gt;F13,0,(F13-H13)*I13)</f>
        <v>0</v>
      </c>
      <c r="K13" s="283"/>
    </row>
    <row r="14" spans="1:11">
      <c r="A14" s="283"/>
      <c r="B14" s="283" t="s">
        <v>778</v>
      </c>
      <c r="C14" s="302">
        <v>3500</v>
      </c>
      <c r="D14" s="303">
        <f>E13</f>
        <v>32</v>
      </c>
      <c r="E14" s="303">
        <f>D14+15</f>
        <v>47</v>
      </c>
      <c r="F14" s="293">
        <f t="shared" si="1"/>
        <v>1.9583333333333333</v>
      </c>
      <c r="G14" s="302">
        <v>2100</v>
      </c>
      <c r="H14" s="304">
        <f t="shared" si="2"/>
        <v>1.75</v>
      </c>
      <c r="I14" s="302">
        <v>1200</v>
      </c>
      <c r="J14" s="302">
        <f t="shared" si="3"/>
        <v>249.99999999999991</v>
      </c>
      <c r="K14" s="283"/>
    </row>
    <row r="15" spans="1:11">
      <c r="A15" s="283"/>
      <c r="B15" s="283" t="s">
        <v>785</v>
      </c>
      <c r="C15" s="302">
        <v>2000</v>
      </c>
      <c r="D15" s="303">
        <f>E14</f>
        <v>47</v>
      </c>
      <c r="E15" s="303">
        <f>D15+8</f>
        <v>55</v>
      </c>
      <c r="F15" s="293">
        <f t="shared" si="1"/>
        <v>2.2916666666666665</v>
      </c>
      <c r="G15" s="302">
        <v>1500</v>
      </c>
      <c r="H15" s="304">
        <f t="shared" si="2"/>
        <v>1.875</v>
      </c>
      <c r="I15" s="302">
        <v>800</v>
      </c>
      <c r="J15" s="302">
        <f t="shared" si="3"/>
        <v>333.3333333333332</v>
      </c>
      <c r="K15" s="283"/>
    </row>
    <row r="16" spans="1:11">
      <c r="A16" s="283"/>
      <c r="B16" s="283" t="s">
        <v>775</v>
      </c>
      <c r="C16" s="302">
        <v>5000</v>
      </c>
      <c r="D16" s="303">
        <f>E15</f>
        <v>55</v>
      </c>
      <c r="E16" s="303">
        <f>D16+21</f>
        <v>76</v>
      </c>
      <c r="F16" s="293">
        <f t="shared" si="1"/>
        <v>3.1666666666666665</v>
      </c>
      <c r="G16" s="302">
        <v>4500</v>
      </c>
      <c r="H16" s="304">
        <f t="shared" si="2"/>
        <v>2.25</v>
      </c>
      <c r="I16" s="302">
        <v>2000</v>
      </c>
      <c r="J16" s="302">
        <f t="shared" si="3"/>
        <v>1833.333333333333</v>
      </c>
      <c r="K16" s="283"/>
    </row>
    <row r="17" spans="1:11">
      <c r="A17" s="283"/>
      <c r="B17" s="283" t="s">
        <v>777</v>
      </c>
      <c r="C17" s="302">
        <v>3000</v>
      </c>
      <c r="D17" s="303">
        <f>E16</f>
        <v>76</v>
      </c>
      <c r="E17" s="303">
        <f>D17+13</f>
        <v>89</v>
      </c>
      <c r="F17" s="293">
        <f t="shared" si="1"/>
        <v>3.7083333333333335</v>
      </c>
      <c r="G17" s="302">
        <v>2000</v>
      </c>
      <c r="H17" s="304">
        <f t="shared" si="2"/>
        <v>2.8571428571428572</v>
      </c>
      <c r="I17" s="302">
        <v>700</v>
      </c>
      <c r="J17" s="302">
        <f t="shared" si="3"/>
        <v>595.83333333333337</v>
      </c>
      <c r="K17" s="283"/>
    </row>
    <row r="18" spans="1:11">
      <c r="A18" s="283"/>
      <c r="B18" s="283" t="s">
        <v>774</v>
      </c>
      <c r="C18" s="302">
        <v>4000</v>
      </c>
      <c r="D18" s="303">
        <f>E17</f>
        <v>89</v>
      </c>
      <c r="E18" s="303">
        <f>D18+17</f>
        <v>106</v>
      </c>
      <c r="F18" s="293">
        <f t="shared" si="1"/>
        <v>4.416666666666667</v>
      </c>
      <c r="G18" s="302">
        <v>3000</v>
      </c>
      <c r="H18" s="304">
        <f t="shared" si="2"/>
        <v>3</v>
      </c>
      <c r="I18" s="302">
        <v>1000</v>
      </c>
      <c r="J18" s="302">
        <f t="shared" si="3"/>
        <v>1416.666666666667</v>
      </c>
      <c r="K18" s="283"/>
    </row>
    <row r="19" spans="1:11">
      <c r="A19" s="283"/>
      <c r="B19" s="283"/>
      <c r="C19" s="283"/>
      <c r="D19" s="283"/>
      <c r="E19" s="283"/>
      <c r="F19" s="283"/>
      <c r="G19" s="283"/>
      <c r="H19" s="283"/>
      <c r="I19" s="300" t="s">
        <v>786</v>
      </c>
      <c r="J19" s="305">
        <f>SUM(J13:J18)</f>
        <v>4429.1666666666661</v>
      </c>
      <c r="K19" s="283"/>
    </row>
    <row r="20" spans="1:11">
      <c r="A20" s="283"/>
      <c r="B20" s="283"/>
      <c r="C20" s="283"/>
      <c r="D20" s="283"/>
      <c r="E20" s="283"/>
      <c r="F20" s="283"/>
      <c r="G20" s="283"/>
      <c r="H20" s="283"/>
      <c r="I20" s="283"/>
      <c r="J20" s="283"/>
      <c r="K20" s="283"/>
    </row>
    <row r="21" spans="1:11">
      <c r="A21" s="283"/>
      <c r="B21" s="283" t="s">
        <v>787</v>
      </c>
      <c r="C21" s="283"/>
      <c r="D21" s="283"/>
      <c r="E21" s="283"/>
      <c r="F21" s="283"/>
      <c r="G21" s="283"/>
      <c r="H21" s="283"/>
      <c r="I21" s="283"/>
      <c r="J21" s="283"/>
      <c r="K21" s="283"/>
    </row>
    <row r="22" spans="1:11">
      <c r="A22" s="283"/>
      <c r="B22" s="283"/>
      <c r="C22" s="283"/>
      <c r="D22" s="283"/>
      <c r="E22" s="283"/>
      <c r="F22" s="283"/>
      <c r="G22" s="283"/>
      <c r="H22" s="283"/>
      <c r="I22" s="283"/>
      <c r="J22" s="283"/>
      <c r="K22" s="283"/>
    </row>
    <row r="23" spans="1:11">
      <c r="A23" s="283"/>
      <c r="B23" s="283"/>
      <c r="C23" s="283"/>
      <c r="D23" s="283"/>
      <c r="E23" s="283"/>
      <c r="F23" s="283"/>
      <c r="G23" s="283"/>
      <c r="H23" s="283"/>
      <c r="I23" s="283"/>
      <c r="J23" s="283"/>
      <c r="K23" s="283"/>
    </row>
    <row r="24" spans="1:11">
      <c r="A24" s="300" t="s">
        <v>730</v>
      </c>
      <c r="B24" s="301" t="s">
        <v>270</v>
      </c>
      <c r="C24" s="301" t="s">
        <v>779</v>
      </c>
      <c r="D24" s="301" t="s">
        <v>595</v>
      </c>
      <c r="E24" s="301" t="s">
        <v>596</v>
      </c>
      <c r="F24" s="301" t="s">
        <v>780</v>
      </c>
      <c r="G24" s="301" t="s">
        <v>781</v>
      </c>
      <c r="H24" s="301" t="s">
        <v>782</v>
      </c>
      <c r="I24" s="301" t="s">
        <v>783</v>
      </c>
      <c r="J24" s="301" t="s">
        <v>784</v>
      </c>
      <c r="K24" s="283"/>
    </row>
    <row r="25" spans="1:11">
      <c r="A25" s="283"/>
      <c r="B25" s="287" t="s">
        <v>776</v>
      </c>
      <c r="C25" s="302">
        <v>2000</v>
      </c>
      <c r="D25" s="303">
        <v>0</v>
      </c>
      <c r="E25" s="303">
        <v>8</v>
      </c>
      <c r="F25" s="293">
        <f t="shared" ref="F25:F30" si="4">E25/24</f>
        <v>0.33333333333333331</v>
      </c>
      <c r="G25" s="302">
        <v>1500</v>
      </c>
      <c r="H25" s="304">
        <f t="shared" ref="H25:H30" si="5">G25/I25</f>
        <v>1.875</v>
      </c>
      <c r="I25" s="302">
        <v>800</v>
      </c>
      <c r="J25" s="302">
        <f t="shared" ref="J25:J30" si="6">IF(H25&gt;F25,0,(F25-H25)*I25)</f>
        <v>0</v>
      </c>
      <c r="K25" s="283"/>
    </row>
    <row r="26" spans="1:11">
      <c r="A26" s="283"/>
      <c r="B26" s="287" t="s">
        <v>777</v>
      </c>
      <c r="C26" s="302">
        <v>3000</v>
      </c>
      <c r="D26" s="303">
        <f>E25</f>
        <v>8</v>
      </c>
      <c r="E26" s="303">
        <f>D26+13</f>
        <v>21</v>
      </c>
      <c r="F26" s="293">
        <f t="shared" si="4"/>
        <v>0.875</v>
      </c>
      <c r="G26" s="302">
        <v>2000</v>
      </c>
      <c r="H26" s="304">
        <f t="shared" si="5"/>
        <v>2.8571428571428572</v>
      </c>
      <c r="I26" s="302">
        <v>700</v>
      </c>
      <c r="J26" s="302">
        <f t="shared" si="6"/>
        <v>0</v>
      </c>
      <c r="K26" s="283"/>
    </row>
    <row r="27" spans="1:11">
      <c r="A27" s="283"/>
      <c r="B27" s="287" t="s">
        <v>778</v>
      </c>
      <c r="C27" s="302">
        <v>3500</v>
      </c>
      <c r="D27" s="303">
        <f>E26</f>
        <v>21</v>
      </c>
      <c r="E27" s="303">
        <f>D27+15</f>
        <v>36</v>
      </c>
      <c r="F27" s="293">
        <f t="shared" si="4"/>
        <v>1.5</v>
      </c>
      <c r="G27" s="302">
        <v>2100</v>
      </c>
      <c r="H27" s="304">
        <f t="shared" si="5"/>
        <v>1.75</v>
      </c>
      <c r="I27" s="302">
        <v>1200</v>
      </c>
      <c r="J27" s="302">
        <f t="shared" si="6"/>
        <v>0</v>
      </c>
      <c r="K27" s="283"/>
    </row>
    <row r="28" spans="1:11">
      <c r="A28" s="283"/>
      <c r="B28" s="287" t="s">
        <v>774</v>
      </c>
      <c r="C28" s="302">
        <v>4000</v>
      </c>
      <c r="D28" s="303">
        <f>E27</f>
        <v>36</v>
      </c>
      <c r="E28" s="303">
        <f>D28+17</f>
        <v>53</v>
      </c>
      <c r="F28" s="293">
        <f t="shared" si="4"/>
        <v>2.2083333333333335</v>
      </c>
      <c r="G28" s="302">
        <v>3000</v>
      </c>
      <c r="H28" s="304">
        <f t="shared" si="5"/>
        <v>3</v>
      </c>
      <c r="I28" s="302">
        <v>1000</v>
      </c>
      <c r="J28" s="302">
        <f t="shared" si="6"/>
        <v>0</v>
      </c>
      <c r="K28" s="283"/>
    </row>
    <row r="29" spans="1:11">
      <c r="A29" s="283"/>
      <c r="B29" s="287" t="s">
        <v>775</v>
      </c>
      <c r="C29" s="302">
        <v>5000</v>
      </c>
      <c r="D29" s="303">
        <f>E28</f>
        <v>53</v>
      </c>
      <c r="E29" s="303">
        <f>D29+21</f>
        <v>74</v>
      </c>
      <c r="F29" s="293">
        <f t="shared" si="4"/>
        <v>3.0833333333333335</v>
      </c>
      <c r="G29" s="302">
        <v>4500</v>
      </c>
      <c r="H29" s="304">
        <f t="shared" si="5"/>
        <v>2.25</v>
      </c>
      <c r="I29" s="302">
        <v>2000</v>
      </c>
      <c r="J29" s="302">
        <f t="shared" si="6"/>
        <v>1666.666666666667</v>
      </c>
      <c r="K29" s="283"/>
    </row>
    <row r="30" spans="1:11">
      <c r="A30" s="283"/>
      <c r="B30" s="287" t="s">
        <v>773</v>
      </c>
      <c r="C30" s="302">
        <v>7500</v>
      </c>
      <c r="D30" s="303">
        <f>E29</f>
        <v>74</v>
      </c>
      <c r="E30" s="303">
        <f>D30+32</f>
        <v>106</v>
      </c>
      <c r="F30" s="293">
        <f t="shared" si="4"/>
        <v>4.416666666666667</v>
      </c>
      <c r="G30" s="302">
        <v>5000</v>
      </c>
      <c r="H30" s="304">
        <f t="shared" si="5"/>
        <v>1.6666666666666667</v>
      </c>
      <c r="I30" s="302">
        <v>3000</v>
      </c>
      <c r="J30" s="302">
        <f t="shared" si="6"/>
        <v>8250</v>
      </c>
      <c r="K30" s="283"/>
    </row>
    <row r="31" spans="1:11">
      <c r="A31" s="283"/>
      <c r="B31" s="283"/>
      <c r="C31" s="283"/>
      <c r="D31" s="283"/>
      <c r="E31" s="283"/>
      <c r="F31" s="283"/>
      <c r="G31" s="283"/>
      <c r="H31" s="283"/>
      <c r="I31" s="300" t="s">
        <v>786</v>
      </c>
      <c r="J31" s="305">
        <f>SUM(J25:J30)</f>
        <v>9916.6666666666679</v>
      </c>
      <c r="K31" s="283"/>
    </row>
  </sheetData>
  <pageMargins left="0.75" right="0.75" top="1" bottom="1" header="0.5" footer="0.5"/>
  <pageSetup orientation="portrait" horizontalDpi="4294967292" verticalDpi="429496729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FF5DE-CC2D-3C4D-9280-372B3B8558F7}">
  <dimension ref="A1:K33"/>
  <sheetViews>
    <sheetView workbookViewId="0">
      <selection activeCell="K17" sqref="K17"/>
    </sheetView>
  </sheetViews>
  <sheetFormatPr baseColWidth="10" defaultRowHeight="16"/>
  <sheetData>
    <row r="1" spans="1:11" ht="18" customHeight="1">
      <c r="B1" s="287"/>
      <c r="C1" s="287"/>
      <c r="D1" s="287"/>
      <c r="E1" s="456" t="s">
        <v>788</v>
      </c>
      <c r="F1" s="456"/>
    </row>
    <row r="2" spans="1:11" ht="32">
      <c r="B2" s="306" t="s">
        <v>789</v>
      </c>
      <c r="C2" s="306" t="s">
        <v>790</v>
      </c>
      <c r="D2" s="306" t="s">
        <v>758</v>
      </c>
      <c r="E2" s="306" t="s">
        <v>743</v>
      </c>
      <c r="F2" s="306" t="s">
        <v>744</v>
      </c>
      <c r="G2" s="306" t="s">
        <v>762</v>
      </c>
      <c r="H2" s="306" t="s">
        <v>791</v>
      </c>
      <c r="I2" s="306" t="s">
        <v>792</v>
      </c>
      <c r="J2" s="306" t="s">
        <v>793</v>
      </c>
    </row>
    <row r="3" spans="1:11">
      <c r="B3" s="290">
        <v>1</v>
      </c>
      <c r="C3" s="290">
        <v>0</v>
      </c>
      <c r="D3" s="290">
        <v>6</v>
      </c>
      <c r="E3" s="290">
        <v>1</v>
      </c>
      <c r="F3" s="290">
        <v>3</v>
      </c>
      <c r="G3" s="37">
        <f t="shared" ref="G3:G9" si="0">(D3-C3)-(E3+F3)</f>
        <v>2</v>
      </c>
      <c r="H3" s="307">
        <v>4</v>
      </c>
      <c r="I3" s="308">
        <f t="shared" ref="I3:I9" si="1">(D3-C3)/(E3+F3)</f>
        <v>1.5</v>
      </c>
      <c r="J3" s="307">
        <v>5</v>
      </c>
    </row>
    <row r="4" spans="1:11">
      <c r="B4" s="290">
        <v>2</v>
      </c>
      <c r="C4" s="290">
        <v>1</v>
      </c>
      <c r="D4" s="290">
        <v>6</v>
      </c>
      <c r="E4" s="290">
        <v>4</v>
      </c>
      <c r="F4" s="290">
        <v>1</v>
      </c>
      <c r="G4" s="37">
        <f t="shared" si="0"/>
        <v>0</v>
      </c>
      <c r="H4" s="307">
        <v>1</v>
      </c>
      <c r="I4" s="308">
        <f t="shared" si="1"/>
        <v>1</v>
      </c>
      <c r="J4" s="307">
        <v>1</v>
      </c>
    </row>
    <row r="5" spans="1:11">
      <c r="B5" s="290">
        <v>3</v>
      </c>
      <c r="C5" s="290">
        <v>2</v>
      </c>
      <c r="D5" s="290">
        <v>12</v>
      </c>
      <c r="E5" s="290">
        <v>5</v>
      </c>
      <c r="F5" s="290">
        <v>4</v>
      </c>
      <c r="G5" s="37">
        <f t="shared" si="0"/>
        <v>1</v>
      </c>
      <c r="H5" s="307">
        <v>3</v>
      </c>
      <c r="I5" s="308">
        <f t="shared" si="1"/>
        <v>1.1111111111111112</v>
      </c>
      <c r="J5" s="307">
        <v>3</v>
      </c>
    </row>
    <row r="6" spans="1:11">
      <c r="B6" s="290">
        <v>4</v>
      </c>
      <c r="C6" s="290">
        <v>4</v>
      </c>
      <c r="D6" s="290">
        <v>8</v>
      </c>
      <c r="E6" s="290">
        <v>3</v>
      </c>
      <c r="F6" s="290">
        <v>1</v>
      </c>
      <c r="G6" s="37">
        <f t="shared" si="0"/>
        <v>0</v>
      </c>
      <c r="H6" s="307">
        <v>2</v>
      </c>
      <c r="I6" s="308">
        <f t="shared" si="1"/>
        <v>1</v>
      </c>
      <c r="J6" s="307">
        <v>2</v>
      </c>
    </row>
    <row r="7" spans="1:11">
      <c r="B7" s="290">
        <v>5</v>
      </c>
      <c r="C7" s="290">
        <v>6</v>
      </c>
      <c r="D7" s="290">
        <v>15</v>
      </c>
      <c r="E7" s="290">
        <v>1</v>
      </c>
      <c r="F7" s="290">
        <v>3</v>
      </c>
      <c r="G7" s="37">
        <f t="shared" si="0"/>
        <v>5</v>
      </c>
      <c r="H7" s="307">
        <v>7</v>
      </c>
      <c r="I7" s="308">
        <f t="shared" si="1"/>
        <v>2.25</v>
      </c>
      <c r="J7" s="307">
        <v>7</v>
      </c>
    </row>
    <row r="8" spans="1:11">
      <c r="B8" s="290">
        <v>6</v>
      </c>
      <c r="C8" s="290">
        <v>8</v>
      </c>
      <c r="D8" s="290">
        <v>16</v>
      </c>
      <c r="E8" s="290">
        <v>4</v>
      </c>
      <c r="F8" s="290">
        <v>2</v>
      </c>
      <c r="G8" s="37">
        <f t="shared" si="0"/>
        <v>2</v>
      </c>
      <c r="H8" s="307">
        <v>5</v>
      </c>
      <c r="I8" s="308">
        <f t="shared" si="1"/>
        <v>1.3333333333333333</v>
      </c>
      <c r="J8" s="307">
        <v>4</v>
      </c>
    </row>
    <row r="9" spans="1:11">
      <c r="B9" s="290">
        <v>7</v>
      </c>
      <c r="C9" s="290">
        <v>10</v>
      </c>
      <c r="D9" s="290">
        <v>20</v>
      </c>
      <c r="E9" s="290">
        <v>1</v>
      </c>
      <c r="F9" s="290">
        <v>5</v>
      </c>
      <c r="G9" s="37">
        <f t="shared" si="0"/>
        <v>4</v>
      </c>
      <c r="H9" s="307">
        <v>6</v>
      </c>
      <c r="I9" s="308">
        <f t="shared" si="1"/>
        <v>1.6666666666666667</v>
      </c>
      <c r="J9" s="307">
        <v>6</v>
      </c>
    </row>
    <row r="11" spans="1:11">
      <c r="A11" s="282" t="s">
        <v>762</v>
      </c>
      <c r="D11" s="457" t="s">
        <v>794</v>
      </c>
      <c r="E11" s="458"/>
      <c r="F11" s="457" t="s">
        <v>795</v>
      </c>
      <c r="G11" s="458"/>
    </row>
    <row r="12" spans="1:11">
      <c r="B12" s="309" t="s">
        <v>789</v>
      </c>
      <c r="C12" s="309" t="s">
        <v>796</v>
      </c>
      <c r="D12" s="309" t="s">
        <v>595</v>
      </c>
      <c r="E12" s="309" t="s">
        <v>596</v>
      </c>
      <c r="F12" s="309" t="s">
        <v>595</v>
      </c>
      <c r="G12" s="309" t="s">
        <v>596</v>
      </c>
      <c r="H12" s="309" t="s">
        <v>797</v>
      </c>
      <c r="I12" s="309" t="s">
        <v>798</v>
      </c>
      <c r="J12" s="47"/>
    </row>
    <row r="13" spans="1:11">
      <c r="B13" s="37">
        <v>2</v>
      </c>
      <c r="C13" s="37">
        <v>1</v>
      </c>
      <c r="D13" s="37">
        <v>1</v>
      </c>
      <c r="E13" s="37">
        <v>5</v>
      </c>
      <c r="F13" s="37">
        <f>E13</f>
        <v>5</v>
      </c>
      <c r="G13" s="37">
        <v>6</v>
      </c>
      <c r="H13" s="37">
        <v>6</v>
      </c>
      <c r="I13" s="37">
        <v>0</v>
      </c>
      <c r="J13" s="47"/>
    </row>
    <row r="14" spans="1:11">
      <c r="B14" s="37">
        <v>4</v>
      </c>
      <c r="C14" s="37">
        <v>4</v>
      </c>
      <c r="D14" s="37">
        <f t="shared" ref="D14:D19" si="2">E13</f>
        <v>5</v>
      </c>
      <c r="E14" s="37">
        <v>8</v>
      </c>
      <c r="F14" s="37">
        <f>E14</f>
        <v>8</v>
      </c>
      <c r="G14" s="37">
        <v>9</v>
      </c>
      <c r="H14" s="37">
        <v>8</v>
      </c>
      <c r="I14" s="37">
        <v>1</v>
      </c>
      <c r="J14" s="47"/>
    </row>
    <row r="15" spans="1:11">
      <c r="B15" s="37">
        <v>3</v>
      </c>
      <c r="C15" s="37">
        <v>2</v>
      </c>
      <c r="D15" s="37">
        <f t="shared" si="2"/>
        <v>8</v>
      </c>
      <c r="E15" s="37">
        <v>13</v>
      </c>
      <c r="F15" s="37">
        <f>E15</f>
        <v>13</v>
      </c>
      <c r="G15" s="37">
        <v>17</v>
      </c>
      <c r="H15" s="37">
        <v>12</v>
      </c>
      <c r="I15" s="37">
        <v>5</v>
      </c>
      <c r="J15" s="47"/>
      <c r="K15" t="s">
        <v>799</v>
      </c>
    </row>
    <row r="16" spans="1:11">
      <c r="B16" s="37">
        <v>1</v>
      </c>
      <c r="C16" s="37">
        <v>0</v>
      </c>
      <c r="D16" s="37">
        <f t="shared" si="2"/>
        <v>13</v>
      </c>
      <c r="E16" s="37">
        <v>14</v>
      </c>
      <c r="F16" s="37">
        <v>17</v>
      </c>
      <c r="G16" s="37">
        <v>20</v>
      </c>
      <c r="H16" s="37">
        <v>6</v>
      </c>
      <c r="I16" s="37">
        <v>14</v>
      </c>
      <c r="J16" s="47"/>
      <c r="K16" t="s">
        <v>800</v>
      </c>
    </row>
    <row r="17" spans="1:10">
      <c r="B17" s="37">
        <v>6</v>
      </c>
      <c r="C17" s="37">
        <v>8</v>
      </c>
      <c r="D17" s="37">
        <f t="shared" si="2"/>
        <v>14</v>
      </c>
      <c r="E17" s="37">
        <v>18</v>
      </c>
      <c r="F17" s="37">
        <v>20</v>
      </c>
      <c r="G17" s="37">
        <v>22</v>
      </c>
      <c r="H17" s="37">
        <v>16</v>
      </c>
      <c r="I17" s="37">
        <v>6</v>
      </c>
      <c r="J17" s="47"/>
    </row>
    <row r="18" spans="1:10">
      <c r="B18" s="37">
        <v>7</v>
      </c>
      <c r="C18" s="37">
        <v>10</v>
      </c>
      <c r="D18" s="37">
        <f t="shared" si="2"/>
        <v>18</v>
      </c>
      <c r="E18" s="37">
        <v>19</v>
      </c>
      <c r="F18" s="37">
        <v>22</v>
      </c>
      <c r="G18" s="37">
        <v>27</v>
      </c>
      <c r="H18" s="37">
        <v>20</v>
      </c>
      <c r="I18" s="37">
        <v>7</v>
      </c>
      <c r="J18" s="47"/>
    </row>
    <row r="19" spans="1:10">
      <c r="B19" s="37">
        <v>5</v>
      </c>
      <c r="C19" s="37">
        <v>6</v>
      </c>
      <c r="D19" s="37">
        <f t="shared" si="2"/>
        <v>19</v>
      </c>
      <c r="E19" s="37">
        <v>20</v>
      </c>
      <c r="F19" s="37">
        <v>27</v>
      </c>
      <c r="G19" s="37">
        <v>30</v>
      </c>
      <c r="H19" s="37">
        <v>15</v>
      </c>
      <c r="I19" s="37">
        <v>15</v>
      </c>
    </row>
    <row r="20" spans="1:10">
      <c r="H20" s="282" t="s">
        <v>801</v>
      </c>
      <c r="I20" s="310">
        <f>AVERAGE(I13:I19)</f>
        <v>6.8571428571428568</v>
      </c>
    </row>
    <row r="21" spans="1:10">
      <c r="H21" s="282" t="s">
        <v>802</v>
      </c>
      <c r="I21" s="311">
        <v>6</v>
      </c>
    </row>
    <row r="23" spans="1:10">
      <c r="A23" s="282" t="s">
        <v>803</v>
      </c>
      <c r="D23" s="457" t="s">
        <v>794</v>
      </c>
      <c r="E23" s="458"/>
      <c r="F23" s="457" t="s">
        <v>795</v>
      </c>
      <c r="G23" s="458"/>
    </row>
    <row r="24" spans="1:10">
      <c r="B24" s="309" t="s">
        <v>789</v>
      </c>
      <c r="C24" s="309" t="s">
        <v>796</v>
      </c>
      <c r="D24" s="309" t="s">
        <v>595</v>
      </c>
      <c r="E24" s="309" t="s">
        <v>596</v>
      </c>
      <c r="F24" s="309" t="s">
        <v>595</v>
      </c>
      <c r="G24" s="309" t="s">
        <v>596</v>
      </c>
      <c r="H24" s="309" t="s">
        <v>797</v>
      </c>
      <c r="I24" s="309" t="s">
        <v>798</v>
      </c>
    </row>
    <row r="25" spans="1:10">
      <c r="B25" s="37">
        <v>2</v>
      </c>
      <c r="C25" s="37">
        <v>1</v>
      </c>
      <c r="D25" s="37">
        <v>1</v>
      </c>
      <c r="E25" s="37">
        <v>5</v>
      </c>
      <c r="F25" s="37">
        <f>E25</f>
        <v>5</v>
      </c>
      <c r="G25" s="37">
        <v>6</v>
      </c>
      <c r="H25" s="37">
        <v>6</v>
      </c>
      <c r="I25" s="37">
        <v>0</v>
      </c>
    </row>
    <row r="26" spans="1:10">
      <c r="B26" s="37">
        <v>4</v>
      </c>
      <c r="C26" s="37">
        <v>4</v>
      </c>
      <c r="D26" s="37">
        <f t="shared" ref="D26:D31" si="3">E25</f>
        <v>5</v>
      </c>
      <c r="E26" s="37">
        <v>8</v>
      </c>
      <c r="F26" s="37">
        <f>E26</f>
        <v>8</v>
      </c>
      <c r="G26" s="37">
        <v>9</v>
      </c>
      <c r="H26" s="37">
        <v>8</v>
      </c>
      <c r="I26" s="37">
        <v>1</v>
      </c>
    </row>
    <row r="27" spans="1:10">
      <c r="B27" s="37">
        <v>3</v>
      </c>
      <c r="C27" s="37">
        <v>2</v>
      </c>
      <c r="D27" s="37">
        <f t="shared" si="3"/>
        <v>8</v>
      </c>
      <c r="E27" s="37">
        <v>13</v>
      </c>
      <c r="F27" s="37">
        <f>E27</f>
        <v>13</v>
      </c>
      <c r="G27" s="37">
        <v>17</v>
      </c>
      <c r="H27" s="37">
        <v>12</v>
      </c>
      <c r="I27" s="37">
        <v>5</v>
      </c>
    </row>
    <row r="28" spans="1:10">
      <c r="B28" s="37">
        <v>6</v>
      </c>
      <c r="C28" s="37">
        <v>8</v>
      </c>
      <c r="D28" s="37">
        <f t="shared" si="3"/>
        <v>13</v>
      </c>
      <c r="E28" s="37">
        <v>17</v>
      </c>
      <c r="F28" s="37">
        <v>17</v>
      </c>
      <c r="G28" s="37">
        <v>19</v>
      </c>
      <c r="H28" s="37">
        <v>16</v>
      </c>
      <c r="I28" s="37">
        <v>3</v>
      </c>
    </row>
    <row r="29" spans="1:10">
      <c r="B29" s="37">
        <v>1</v>
      </c>
      <c r="C29" s="37">
        <v>0</v>
      </c>
      <c r="D29" s="37">
        <f t="shared" si="3"/>
        <v>17</v>
      </c>
      <c r="E29" s="37">
        <v>18</v>
      </c>
      <c r="F29" s="37">
        <v>19</v>
      </c>
      <c r="G29" s="37">
        <v>22</v>
      </c>
      <c r="H29" s="37">
        <v>6</v>
      </c>
      <c r="I29" s="37">
        <v>16</v>
      </c>
    </row>
    <row r="30" spans="1:10">
      <c r="B30" s="37">
        <v>7</v>
      </c>
      <c r="C30" s="37">
        <v>10</v>
      </c>
      <c r="D30" s="37">
        <f t="shared" si="3"/>
        <v>18</v>
      </c>
      <c r="E30" s="37">
        <v>19</v>
      </c>
      <c r="F30" s="37">
        <v>22</v>
      </c>
      <c r="G30" s="37">
        <v>27</v>
      </c>
      <c r="H30" s="37">
        <v>20</v>
      </c>
      <c r="I30" s="37">
        <v>7</v>
      </c>
    </row>
    <row r="31" spans="1:10">
      <c r="B31" s="37">
        <v>5</v>
      </c>
      <c r="C31" s="37">
        <v>6</v>
      </c>
      <c r="D31" s="37">
        <f t="shared" si="3"/>
        <v>19</v>
      </c>
      <c r="E31" s="37">
        <v>20</v>
      </c>
      <c r="F31" s="37">
        <v>27</v>
      </c>
      <c r="G31" s="37">
        <v>30</v>
      </c>
      <c r="H31" s="37">
        <v>15</v>
      </c>
      <c r="I31" s="37">
        <v>15</v>
      </c>
    </row>
    <row r="32" spans="1:10">
      <c r="H32" s="282" t="s">
        <v>801</v>
      </c>
      <c r="I32" s="310">
        <f>AVERAGE(I25:I31)</f>
        <v>6.7142857142857144</v>
      </c>
    </row>
    <row r="33" spans="8:9">
      <c r="H33" s="282" t="s">
        <v>802</v>
      </c>
      <c r="I33" s="311">
        <v>6</v>
      </c>
    </row>
  </sheetData>
  <mergeCells count="5">
    <mergeCell ref="E1:F1"/>
    <mergeCell ref="D11:E11"/>
    <mergeCell ref="F11:G11"/>
    <mergeCell ref="D23:E23"/>
    <mergeCell ref="F23:G23"/>
  </mergeCells>
  <pageMargins left="0.75" right="0.75" top="1" bottom="1" header="0.5" footer="0.5"/>
  <pageSetup orientation="portrait" horizontalDpi="4294967292" verticalDpi="429496729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BF9F8-3270-7943-B272-D601E64A6965}">
  <dimension ref="A1:W57"/>
  <sheetViews>
    <sheetView workbookViewId="0">
      <selection activeCell="H37" sqref="H37"/>
    </sheetView>
  </sheetViews>
  <sheetFormatPr baseColWidth="10" defaultRowHeight="13"/>
  <cols>
    <col min="1" max="1" width="10.83203125" style="55"/>
    <col min="2" max="20" width="5.6640625" style="55" customWidth="1"/>
    <col min="21" max="21" width="6.33203125" style="55" customWidth="1"/>
    <col min="22" max="22" width="5.83203125" style="55" customWidth="1"/>
    <col min="23" max="16384" width="10.83203125" style="55"/>
  </cols>
  <sheetData>
    <row r="1" spans="1:16">
      <c r="A1" s="312" t="s">
        <v>804</v>
      </c>
    </row>
    <row r="3" spans="1:16">
      <c r="B3" s="313"/>
      <c r="C3" s="314" t="s">
        <v>110</v>
      </c>
      <c r="D3" s="314" t="s">
        <v>111</v>
      </c>
      <c r="E3" s="314" t="s">
        <v>143</v>
      </c>
    </row>
    <row r="4" spans="1:16">
      <c r="B4" s="314" t="s">
        <v>154</v>
      </c>
      <c r="C4" s="313">
        <v>15</v>
      </c>
      <c r="D4" s="313">
        <v>18</v>
      </c>
      <c r="E4" s="313">
        <v>17</v>
      </c>
    </row>
    <row r="5" spans="1:16">
      <c r="B5" s="314" t="s">
        <v>156</v>
      </c>
      <c r="C5" s="313">
        <v>22</v>
      </c>
      <c r="D5" s="313">
        <v>23</v>
      </c>
      <c r="E5" s="313">
        <v>24</v>
      </c>
    </row>
    <row r="6" spans="1:16">
      <c r="B6" s="314" t="s">
        <v>302</v>
      </c>
      <c r="C6" s="313">
        <v>14</v>
      </c>
      <c r="D6" s="313">
        <v>14</v>
      </c>
      <c r="E6" s="313">
        <v>14</v>
      </c>
    </row>
    <row r="8" spans="1:16">
      <c r="B8" s="313"/>
      <c r="C8" s="314" t="s">
        <v>110</v>
      </c>
      <c r="D8" s="314" t="s">
        <v>111</v>
      </c>
      <c r="E8" s="314" t="s">
        <v>143</v>
      </c>
    </row>
    <row r="9" spans="1:16">
      <c r="B9" s="314" t="s">
        <v>154</v>
      </c>
      <c r="C9" s="313">
        <f>C4-14</f>
        <v>1</v>
      </c>
      <c r="D9" s="313">
        <f>D4-14</f>
        <v>4</v>
      </c>
      <c r="E9" s="313">
        <f>E4-14</f>
        <v>3</v>
      </c>
    </row>
    <row r="10" spans="1:16">
      <c r="B10" s="314" t="s">
        <v>156</v>
      </c>
      <c r="C10" s="313">
        <f t="shared" ref="C10:E11" si="0">C5-14</f>
        <v>8</v>
      </c>
      <c r="D10" s="313">
        <f t="shared" si="0"/>
        <v>9</v>
      </c>
      <c r="E10" s="313">
        <f t="shared" si="0"/>
        <v>10</v>
      </c>
    </row>
    <row r="11" spans="1:16">
      <c r="B11" s="314" t="s">
        <v>302</v>
      </c>
      <c r="C11" s="313">
        <f t="shared" si="0"/>
        <v>0</v>
      </c>
      <c r="D11" s="313">
        <f t="shared" si="0"/>
        <v>0</v>
      </c>
      <c r="E11" s="313">
        <f t="shared" si="0"/>
        <v>0</v>
      </c>
    </row>
    <row r="12" spans="1:16">
      <c r="L12" s="55" t="s">
        <v>805</v>
      </c>
      <c r="P12" s="55" t="s">
        <v>779</v>
      </c>
    </row>
    <row r="13" spans="1:16">
      <c r="B13" s="313"/>
      <c r="C13" s="314" t="s">
        <v>110</v>
      </c>
      <c r="D13" s="314" t="s">
        <v>111</v>
      </c>
      <c r="E13" s="314" t="s">
        <v>143</v>
      </c>
      <c r="G13" s="313"/>
      <c r="H13" s="314" t="s">
        <v>110</v>
      </c>
      <c r="I13" s="314" t="s">
        <v>111</v>
      </c>
      <c r="J13" s="314" t="s">
        <v>143</v>
      </c>
      <c r="K13" s="55">
        <v>110</v>
      </c>
      <c r="L13" s="314" t="s">
        <v>154</v>
      </c>
      <c r="M13" s="57">
        <v>6</v>
      </c>
      <c r="N13" s="57"/>
      <c r="P13" s="55">
        <v>120</v>
      </c>
    </row>
    <row r="14" spans="1:16">
      <c r="B14" s="314" t="s">
        <v>154</v>
      </c>
      <c r="C14" s="315">
        <v>0</v>
      </c>
      <c r="D14" s="313">
        <v>3</v>
      </c>
      <c r="E14" s="313">
        <v>2</v>
      </c>
      <c r="G14" s="314" t="s">
        <v>154</v>
      </c>
      <c r="H14" s="315">
        <v>0</v>
      </c>
      <c r="I14" s="313">
        <v>3</v>
      </c>
      <c r="J14" s="313">
        <v>2</v>
      </c>
      <c r="K14" s="55">
        <v>120</v>
      </c>
      <c r="L14" s="314" t="s">
        <v>156</v>
      </c>
      <c r="M14" s="57">
        <v>4</v>
      </c>
      <c r="N14" s="57"/>
      <c r="P14" s="55">
        <v>50</v>
      </c>
    </row>
    <row r="15" spans="1:16">
      <c r="B15" s="314" t="s">
        <v>156</v>
      </c>
      <c r="C15" s="315">
        <v>0</v>
      </c>
      <c r="D15" s="313">
        <v>1</v>
      </c>
      <c r="E15" s="313">
        <v>2</v>
      </c>
      <c r="G15" s="314" t="s">
        <v>156</v>
      </c>
      <c r="H15" s="313">
        <v>0</v>
      </c>
      <c r="I15" s="315">
        <v>1</v>
      </c>
      <c r="J15" s="313">
        <v>2</v>
      </c>
      <c r="K15" s="55">
        <v>130</v>
      </c>
      <c r="L15" s="314" t="s">
        <v>302</v>
      </c>
      <c r="M15" s="57">
        <v>3</v>
      </c>
      <c r="N15" s="57"/>
      <c r="P15" s="55">
        <v>100</v>
      </c>
    </row>
    <row r="16" spans="1:16">
      <c r="B16" s="314" t="s">
        <v>302</v>
      </c>
      <c r="C16" s="313">
        <v>0</v>
      </c>
      <c r="D16" s="313">
        <v>0</v>
      </c>
      <c r="E16" s="315">
        <v>0</v>
      </c>
      <c r="G16" s="314" t="s">
        <v>302</v>
      </c>
      <c r="H16" s="313">
        <v>0</v>
      </c>
      <c r="I16" s="313">
        <v>0</v>
      </c>
      <c r="J16" s="315">
        <v>0</v>
      </c>
    </row>
    <row r="19" spans="1:23">
      <c r="A19" s="312" t="s">
        <v>806</v>
      </c>
      <c r="J19" s="55">
        <v>4</v>
      </c>
      <c r="N19" s="55">
        <v>20</v>
      </c>
    </row>
    <row r="20" spans="1:23">
      <c r="B20" s="55" t="s">
        <v>377</v>
      </c>
      <c r="C20" s="428" t="s">
        <v>807</v>
      </c>
      <c r="D20" s="428"/>
      <c r="E20" s="55" t="s">
        <v>808</v>
      </c>
      <c r="F20" s="55" t="s">
        <v>809</v>
      </c>
      <c r="G20" s="428" t="s">
        <v>794</v>
      </c>
      <c r="H20" s="428"/>
      <c r="I20" s="428" t="s">
        <v>810</v>
      </c>
      <c r="J20" s="428"/>
      <c r="K20" s="55" t="s">
        <v>808</v>
      </c>
      <c r="L20" s="55" t="s">
        <v>809</v>
      </c>
      <c r="M20" s="428" t="s">
        <v>795</v>
      </c>
      <c r="N20" s="428"/>
      <c r="O20" s="428" t="s">
        <v>811</v>
      </c>
      <c r="P20" s="428"/>
      <c r="Q20" s="55" t="s">
        <v>808</v>
      </c>
      <c r="R20" s="55" t="s">
        <v>809</v>
      </c>
      <c r="S20" s="428" t="s">
        <v>812</v>
      </c>
      <c r="T20" s="428"/>
      <c r="U20" s="57" t="s">
        <v>780</v>
      </c>
    </row>
    <row r="21" spans="1:23">
      <c r="A21" s="55">
        <v>110</v>
      </c>
      <c r="B21" s="55">
        <v>120</v>
      </c>
      <c r="C21" s="316">
        <v>0</v>
      </c>
      <c r="D21" s="316">
        <v>60</v>
      </c>
      <c r="E21" s="317">
        <v>0</v>
      </c>
      <c r="F21" s="317">
        <v>0</v>
      </c>
      <c r="G21" s="316">
        <f>D21</f>
        <v>60</v>
      </c>
      <c r="H21" s="316">
        <f>G21+M13*B21</f>
        <v>780</v>
      </c>
      <c r="I21" s="316">
        <v>720</v>
      </c>
      <c r="J21" s="316">
        <v>780</v>
      </c>
      <c r="K21" s="317">
        <v>0</v>
      </c>
      <c r="L21" s="317">
        <v>0</v>
      </c>
      <c r="M21" s="316">
        <f>H21</f>
        <v>780</v>
      </c>
      <c r="N21" s="316">
        <f>M21+B21*J19</f>
        <v>1260</v>
      </c>
      <c r="O21" s="316">
        <v>1200</v>
      </c>
      <c r="P21" s="316">
        <v>1260</v>
      </c>
      <c r="Q21" s="317">
        <v>0</v>
      </c>
      <c r="R21" s="317">
        <v>0</v>
      </c>
      <c r="S21" s="316">
        <f>N21</f>
        <v>1260</v>
      </c>
      <c r="T21" s="316">
        <f>S21+B21*N19</f>
        <v>3660</v>
      </c>
      <c r="U21" s="85">
        <f>T21/1440</f>
        <v>2.5416666666666665</v>
      </c>
      <c r="V21" s="55">
        <f>T21/60</f>
        <v>61</v>
      </c>
    </row>
    <row r="22" spans="1:23">
      <c r="A22" s="55">
        <v>120</v>
      </c>
      <c r="B22" s="55">
        <v>50</v>
      </c>
      <c r="C22" s="316">
        <v>780</v>
      </c>
      <c r="D22" s="316">
        <f>C22+60</f>
        <v>840</v>
      </c>
      <c r="E22" s="317">
        <v>0</v>
      </c>
      <c r="F22" s="317">
        <v>0</v>
      </c>
      <c r="G22" s="316">
        <f>D22</f>
        <v>840</v>
      </c>
      <c r="H22" s="316">
        <f>G22+B22*M14</f>
        <v>1040</v>
      </c>
      <c r="I22" s="316">
        <f>N21</f>
        <v>1260</v>
      </c>
      <c r="J22" s="316">
        <f>I22+60</f>
        <v>1320</v>
      </c>
      <c r="K22" s="317">
        <f>M22-H22</f>
        <v>280</v>
      </c>
      <c r="L22" s="317">
        <v>60</v>
      </c>
      <c r="M22" s="316">
        <f>J22</f>
        <v>1320</v>
      </c>
      <c r="N22" s="316">
        <f>M22+B22*J19</f>
        <v>1520</v>
      </c>
      <c r="O22" s="316">
        <f>T21</f>
        <v>3660</v>
      </c>
      <c r="P22" s="316">
        <f>O22+60</f>
        <v>3720</v>
      </c>
      <c r="Q22" s="317">
        <f>S22-N22</f>
        <v>2200</v>
      </c>
      <c r="R22" s="317">
        <v>60</v>
      </c>
      <c r="S22" s="316">
        <f>P22</f>
        <v>3720</v>
      </c>
      <c r="T22" s="316">
        <f>S22+B22*N19</f>
        <v>4720</v>
      </c>
      <c r="U22" s="85">
        <f>T22/1440</f>
        <v>3.2777777777777777</v>
      </c>
      <c r="V22" s="55">
        <f>T22/60</f>
        <v>78.666666666666671</v>
      </c>
    </row>
    <row r="23" spans="1:23">
      <c r="A23" s="55">
        <v>130</v>
      </c>
      <c r="B23" s="55">
        <v>100</v>
      </c>
      <c r="C23" s="316">
        <f>H22</f>
        <v>1040</v>
      </c>
      <c r="D23" s="316">
        <f>C23+60</f>
        <v>1100</v>
      </c>
      <c r="E23" s="317">
        <v>0</v>
      </c>
      <c r="F23" s="317">
        <v>0</v>
      </c>
      <c r="G23" s="316">
        <f>D23</f>
        <v>1100</v>
      </c>
      <c r="H23" s="316">
        <f>G23+B23*M15</f>
        <v>1400</v>
      </c>
      <c r="I23" s="316">
        <f>N22</f>
        <v>1520</v>
      </c>
      <c r="J23" s="316">
        <f>I23+60</f>
        <v>1580</v>
      </c>
      <c r="K23" s="317">
        <f>M23-H23</f>
        <v>180</v>
      </c>
      <c r="L23" s="317">
        <v>60</v>
      </c>
      <c r="M23" s="316">
        <f>J23</f>
        <v>1580</v>
      </c>
      <c r="N23" s="316">
        <f>M23+B23*J19</f>
        <v>1980</v>
      </c>
      <c r="O23" s="316">
        <f>T22</f>
        <v>4720</v>
      </c>
      <c r="P23" s="316">
        <f>O23+60</f>
        <v>4780</v>
      </c>
      <c r="Q23" s="317">
        <f>S23-N23</f>
        <v>2800</v>
      </c>
      <c r="R23" s="317">
        <v>60</v>
      </c>
      <c r="S23" s="316">
        <f>P23</f>
        <v>4780</v>
      </c>
      <c r="T23" s="316">
        <f>S23+B23*N19</f>
        <v>6780</v>
      </c>
      <c r="U23" s="85">
        <f>T23/1440</f>
        <v>4.708333333333333</v>
      </c>
      <c r="V23" s="55">
        <f>T23/60</f>
        <v>113</v>
      </c>
    </row>
    <row r="24" spans="1:23">
      <c r="R24" s="312" t="s">
        <v>809</v>
      </c>
      <c r="S24" s="312">
        <f>SUM(L21:L23,R21:R23)</f>
        <v>240</v>
      </c>
      <c r="U24" s="318">
        <f>AVERAGE(U21:U23)</f>
        <v>3.5092592592592595</v>
      </c>
    </row>
    <row r="25" spans="1:23">
      <c r="R25" s="312" t="s">
        <v>808</v>
      </c>
      <c r="S25" s="312">
        <f>SUM(K21:K23,Q21:Q23)</f>
        <v>5460</v>
      </c>
    </row>
    <row r="26" spans="1:23">
      <c r="A26" s="312" t="s">
        <v>813</v>
      </c>
      <c r="N26" s="55">
        <v>4</v>
      </c>
      <c r="U26" s="55">
        <v>20</v>
      </c>
    </row>
    <row r="27" spans="1:23">
      <c r="B27" s="55" t="s">
        <v>377</v>
      </c>
      <c r="C27" s="428" t="s">
        <v>807</v>
      </c>
      <c r="D27" s="428"/>
      <c r="E27" s="55" t="s">
        <v>808</v>
      </c>
      <c r="F27" s="55" t="s">
        <v>809</v>
      </c>
      <c r="G27" s="428" t="s">
        <v>794</v>
      </c>
      <c r="H27" s="428"/>
      <c r="I27" s="428" t="s">
        <v>810</v>
      </c>
      <c r="J27" s="428"/>
      <c r="K27" s="55" t="s">
        <v>808</v>
      </c>
      <c r="L27" s="55" t="s">
        <v>809</v>
      </c>
      <c r="M27" s="428" t="s">
        <v>795</v>
      </c>
      <c r="N27" s="428"/>
      <c r="O27" s="86" t="s">
        <v>814</v>
      </c>
      <c r="P27" s="428" t="s">
        <v>811</v>
      </c>
      <c r="Q27" s="428"/>
      <c r="R27" s="55" t="s">
        <v>808</v>
      </c>
      <c r="S27" s="55" t="s">
        <v>809</v>
      </c>
      <c r="T27" s="428" t="s">
        <v>812</v>
      </c>
      <c r="U27" s="428"/>
      <c r="V27" s="57" t="s">
        <v>780</v>
      </c>
    </row>
    <row r="28" spans="1:23">
      <c r="A28" s="55">
        <v>130</v>
      </c>
      <c r="B28" s="319">
        <v>50</v>
      </c>
      <c r="C28" s="316">
        <v>0</v>
      </c>
      <c r="D28" s="316">
        <v>60</v>
      </c>
      <c r="E28" s="317">
        <v>0</v>
      </c>
      <c r="F28" s="317">
        <v>0</v>
      </c>
      <c r="G28" s="316">
        <v>60</v>
      </c>
      <c r="H28" s="316">
        <f>G28+B28*M15</f>
        <v>210</v>
      </c>
      <c r="I28" s="316">
        <v>150</v>
      </c>
      <c r="J28" s="316">
        <v>210</v>
      </c>
      <c r="K28" s="317">
        <v>0</v>
      </c>
      <c r="L28" s="317">
        <v>0</v>
      </c>
      <c r="M28" s="316">
        <f>J28</f>
        <v>210</v>
      </c>
      <c r="N28" s="316">
        <f>M28+B28*N26</f>
        <v>410</v>
      </c>
      <c r="O28" s="320">
        <f>50*20</f>
        <v>1000</v>
      </c>
      <c r="P28" s="316">
        <v>350</v>
      </c>
      <c r="Q28" s="316">
        <v>410</v>
      </c>
      <c r="R28" s="317">
        <v>0</v>
      </c>
      <c r="S28" s="317">
        <v>0</v>
      </c>
      <c r="T28" s="316">
        <f>Q28</f>
        <v>410</v>
      </c>
      <c r="U28" s="316">
        <f>B28*U26+T28</f>
        <v>1410</v>
      </c>
      <c r="V28" s="85"/>
    </row>
    <row r="29" spans="1:23">
      <c r="B29" s="319">
        <v>50</v>
      </c>
      <c r="C29" s="316" t="s">
        <v>815</v>
      </c>
      <c r="D29" s="316" t="s">
        <v>815</v>
      </c>
      <c r="E29" s="317">
        <v>0</v>
      </c>
      <c r="F29" s="317">
        <f>G29-H28</f>
        <v>730</v>
      </c>
      <c r="G29" s="316">
        <f>H29-150</f>
        <v>940</v>
      </c>
      <c r="H29" s="316">
        <f>M29</f>
        <v>1090</v>
      </c>
      <c r="I29" s="316" t="s">
        <v>815</v>
      </c>
      <c r="J29" s="316" t="s">
        <v>815</v>
      </c>
      <c r="K29" s="317">
        <f>M29-H29</f>
        <v>0</v>
      </c>
      <c r="L29" s="317">
        <f>M29-N28</f>
        <v>680</v>
      </c>
      <c r="M29" s="316">
        <f>N29-B29*N26</f>
        <v>1090</v>
      </c>
      <c r="N29" s="316">
        <f>T29-120</f>
        <v>1290</v>
      </c>
      <c r="O29" s="320">
        <v>1120</v>
      </c>
      <c r="P29" s="316" t="s">
        <v>815</v>
      </c>
      <c r="Q29" s="316" t="s">
        <v>815</v>
      </c>
      <c r="R29" s="317">
        <f>T29-N29</f>
        <v>120</v>
      </c>
      <c r="S29" s="317">
        <v>0</v>
      </c>
      <c r="T29" s="316">
        <f>U28</f>
        <v>1410</v>
      </c>
      <c r="U29" s="316">
        <f>T29+B29*U26</f>
        <v>2410</v>
      </c>
      <c r="V29" s="85">
        <f>U29/1440</f>
        <v>1.6736111111111112</v>
      </c>
      <c r="W29" s="321">
        <f>U29/60</f>
        <v>40.166666666666664</v>
      </c>
    </row>
    <row r="30" spans="1:23">
      <c r="A30" s="55">
        <v>120</v>
      </c>
      <c r="B30" s="319">
        <v>25</v>
      </c>
      <c r="C30" s="316">
        <v>2030</v>
      </c>
      <c r="D30" s="316">
        <v>2090</v>
      </c>
      <c r="E30" s="317">
        <v>0</v>
      </c>
      <c r="F30" s="317">
        <f>G30-H29</f>
        <v>1000</v>
      </c>
      <c r="G30" s="316">
        <f>H30-B30*M14</f>
        <v>2090</v>
      </c>
      <c r="H30" s="316">
        <f>J30</f>
        <v>2190</v>
      </c>
      <c r="I30" s="316">
        <f>J30-120</f>
        <v>2070</v>
      </c>
      <c r="J30" s="316">
        <f>M30</f>
        <v>2190</v>
      </c>
      <c r="K30" s="317">
        <f>M30-H30</f>
        <v>0</v>
      </c>
      <c r="L30" s="317">
        <f>M30-N29</f>
        <v>900</v>
      </c>
      <c r="M30" s="316">
        <f>N30-B30*N26</f>
        <v>2190</v>
      </c>
      <c r="N30" s="316">
        <f>P30-120</f>
        <v>2290</v>
      </c>
      <c r="O30" s="320">
        <v>620</v>
      </c>
      <c r="P30" s="316">
        <f>Q30-60</f>
        <v>2410</v>
      </c>
      <c r="Q30" s="316">
        <f>T30</f>
        <v>2470</v>
      </c>
      <c r="R30" s="317">
        <f>T30-N30</f>
        <v>180</v>
      </c>
      <c r="S30" s="317">
        <v>60</v>
      </c>
      <c r="T30" s="316">
        <f>U29+60</f>
        <v>2470</v>
      </c>
      <c r="U30" s="316">
        <f>T30+B30*U26</f>
        <v>2970</v>
      </c>
      <c r="V30" s="85"/>
    </row>
    <row r="31" spans="1:23">
      <c r="B31" s="319">
        <v>25</v>
      </c>
      <c r="C31" s="316" t="s">
        <v>815</v>
      </c>
      <c r="D31" s="316" t="s">
        <v>815</v>
      </c>
      <c r="E31" s="317">
        <v>0</v>
      </c>
      <c r="F31" s="317">
        <f>G31-H30</f>
        <v>400</v>
      </c>
      <c r="G31" s="316">
        <v>2590</v>
      </c>
      <c r="H31" s="316">
        <f>G31+(B31*M14)</f>
        <v>2690</v>
      </c>
      <c r="I31" s="316" t="s">
        <v>815</v>
      </c>
      <c r="J31" s="316" t="s">
        <v>815</v>
      </c>
      <c r="K31" s="317">
        <f>M31-H31</f>
        <v>0</v>
      </c>
      <c r="L31" s="317">
        <f>M31-N30</f>
        <v>400</v>
      </c>
      <c r="M31" s="316">
        <f>H31</f>
        <v>2690</v>
      </c>
      <c r="N31" s="316">
        <f>M31+(B31*N26)</f>
        <v>2790</v>
      </c>
      <c r="O31" s="320">
        <v>680</v>
      </c>
      <c r="P31" s="316" t="s">
        <v>815</v>
      </c>
      <c r="Q31" s="316" t="s">
        <v>815</v>
      </c>
      <c r="R31" s="317">
        <f>T31-N31</f>
        <v>180</v>
      </c>
      <c r="S31" s="317">
        <v>0</v>
      </c>
      <c r="T31" s="316">
        <f>U30</f>
        <v>2970</v>
      </c>
      <c r="U31" s="316">
        <f>T31+B31*U26</f>
        <v>3470</v>
      </c>
      <c r="V31" s="85">
        <f>U31/1440</f>
        <v>2.4097222222222223</v>
      </c>
      <c r="W31" s="321">
        <f>U31/60</f>
        <v>57.833333333333336</v>
      </c>
    </row>
    <row r="32" spans="1:23">
      <c r="A32" s="55">
        <v>110</v>
      </c>
      <c r="B32" s="319">
        <v>60</v>
      </c>
      <c r="C32" s="316">
        <f>D32-60</f>
        <v>2730</v>
      </c>
      <c r="D32" s="316">
        <f>G32</f>
        <v>2790</v>
      </c>
      <c r="E32" s="317">
        <v>0</v>
      </c>
      <c r="F32" s="317">
        <f>G32-H31</f>
        <v>100</v>
      </c>
      <c r="G32" s="316">
        <v>2790</v>
      </c>
      <c r="H32" s="316">
        <f>G32+(B32*M13)</f>
        <v>3150</v>
      </c>
      <c r="I32" s="316">
        <v>2640</v>
      </c>
      <c r="J32" s="316">
        <f>M32</f>
        <v>3150</v>
      </c>
      <c r="K32" s="317">
        <f>M32-H32</f>
        <v>0</v>
      </c>
      <c r="L32" s="317">
        <f>M32-N31</f>
        <v>360</v>
      </c>
      <c r="M32" s="316">
        <f>H32</f>
        <v>3150</v>
      </c>
      <c r="N32" s="316">
        <f>M32+(B32*N26)</f>
        <v>3390</v>
      </c>
      <c r="O32" s="320">
        <v>1280</v>
      </c>
      <c r="P32" s="316">
        <f>Q32-60</f>
        <v>3470</v>
      </c>
      <c r="Q32" s="316">
        <f>T32</f>
        <v>3530</v>
      </c>
      <c r="R32" s="317">
        <f>T32-N32</f>
        <v>140</v>
      </c>
      <c r="S32" s="317">
        <v>60</v>
      </c>
      <c r="T32" s="316">
        <f>U31+60</f>
        <v>3530</v>
      </c>
      <c r="U32" s="316">
        <f>T32+B32*U26</f>
        <v>4730</v>
      </c>
      <c r="V32" s="85"/>
      <c r="W32" s="321"/>
    </row>
    <row r="33" spans="1:23">
      <c r="B33" s="319">
        <v>60</v>
      </c>
      <c r="C33" s="316" t="s">
        <v>815</v>
      </c>
      <c r="D33" s="316" t="s">
        <v>815</v>
      </c>
      <c r="E33" s="317">
        <v>0</v>
      </c>
      <c r="F33" s="317">
        <f>G33-H32</f>
        <v>800</v>
      </c>
      <c r="G33" s="316">
        <v>3950</v>
      </c>
      <c r="H33" s="316">
        <f>G33+(B33*M13)</f>
        <v>4310</v>
      </c>
      <c r="I33" s="316" t="s">
        <v>815</v>
      </c>
      <c r="J33" s="316" t="s">
        <v>815</v>
      </c>
      <c r="K33" s="317">
        <f>M33-H33</f>
        <v>0</v>
      </c>
      <c r="L33" s="317">
        <f>M33-N32</f>
        <v>920</v>
      </c>
      <c r="M33" s="316">
        <f>H33</f>
        <v>4310</v>
      </c>
      <c r="N33" s="316">
        <f>M33+(B33*N26)</f>
        <v>4550</v>
      </c>
      <c r="O33" s="320">
        <v>1380</v>
      </c>
      <c r="P33" s="316" t="s">
        <v>815</v>
      </c>
      <c r="Q33" s="316" t="s">
        <v>815</v>
      </c>
      <c r="R33" s="317">
        <f>T33-N33</f>
        <v>180</v>
      </c>
      <c r="S33" s="317">
        <v>0</v>
      </c>
      <c r="T33" s="316">
        <f>U32</f>
        <v>4730</v>
      </c>
      <c r="U33" s="316">
        <f>T33+B33*U26</f>
        <v>5930</v>
      </c>
      <c r="V33" s="85">
        <f>U33/1440</f>
        <v>4.1180555555555554</v>
      </c>
      <c r="W33" s="321">
        <f>U33/60</f>
        <v>98.833333333333329</v>
      </c>
    </row>
    <row r="34" spans="1:23">
      <c r="R34" s="312" t="s">
        <v>809</v>
      </c>
      <c r="S34" s="312">
        <f>SUM(F28:F33,S28:S33)</f>
        <v>3150</v>
      </c>
      <c r="V34" s="318">
        <f>AVERAGE(V29:V33)</f>
        <v>2.7337962962962963</v>
      </c>
    </row>
    <row r="35" spans="1:23">
      <c r="A35" s="312" t="s">
        <v>816</v>
      </c>
      <c r="B35" s="55" t="s">
        <v>154</v>
      </c>
      <c r="C35" s="55" t="s">
        <v>156</v>
      </c>
      <c r="D35" s="55" t="s">
        <v>302</v>
      </c>
      <c r="F35" s="322" t="s">
        <v>816</v>
      </c>
      <c r="G35" s="313" t="s">
        <v>154</v>
      </c>
      <c r="H35" s="313" t="s">
        <v>156</v>
      </c>
      <c r="I35" s="313" t="s">
        <v>302</v>
      </c>
      <c r="R35" s="312" t="s">
        <v>808</v>
      </c>
      <c r="S35" s="312">
        <f>SUM(R28:R33)</f>
        <v>800</v>
      </c>
    </row>
    <row r="36" spans="1:23">
      <c r="A36" s="55" t="s">
        <v>817</v>
      </c>
      <c r="B36" s="55">
        <v>6</v>
      </c>
      <c r="C36" s="55">
        <v>4</v>
      </c>
      <c r="D36" s="55">
        <v>3</v>
      </c>
      <c r="F36" s="55" t="s">
        <v>818</v>
      </c>
      <c r="G36" s="313">
        <v>10</v>
      </c>
      <c r="H36" s="313">
        <v>8</v>
      </c>
      <c r="I36" s="313">
        <v>7</v>
      </c>
    </row>
    <row r="37" spans="1:23">
      <c r="A37" s="55" t="s">
        <v>819</v>
      </c>
      <c r="B37" s="55">
        <v>4</v>
      </c>
      <c r="C37" s="55">
        <v>4</v>
      </c>
      <c r="D37" s="55">
        <v>4</v>
      </c>
      <c r="F37" s="55" t="s">
        <v>820</v>
      </c>
      <c r="G37" s="313">
        <v>24</v>
      </c>
      <c r="H37" s="313">
        <v>24</v>
      </c>
      <c r="I37" s="313">
        <v>24</v>
      </c>
    </row>
    <row r="38" spans="1:23">
      <c r="A38" s="55" t="s">
        <v>821</v>
      </c>
      <c r="B38" s="55">
        <v>20</v>
      </c>
      <c r="C38" s="55">
        <v>20</v>
      </c>
      <c r="D38" s="55">
        <v>20</v>
      </c>
    </row>
    <row r="39" spans="1:23">
      <c r="F39" s="312" t="s">
        <v>723</v>
      </c>
      <c r="G39" s="55" t="s">
        <v>822</v>
      </c>
    </row>
    <row r="40" spans="1:23">
      <c r="G40" s="55" t="s">
        <v>823</v>
      </c>
    </row>
    <row r="43" spans="1:23">
      <c r="A43" s="312" t="s">
        <v>813</v>
      </c>
      <c r="J43" s="55">
        <v>4</v>
      </c>
      <c r="N43" s="55">
        <v>20</v>
      </c>
    </row>
    <row r="44" spans="1:23">
      <c r="B44" s="55" t="s">
        <v>377</v>
      </c>
      <c r="C44" s="428" t="s">
        <v>807</v>
      </c>
      <c r="D44" s="428"/>
      <c r="E44" s="55" t="s">
        <v>808</v>
      </c>
      <c r="F44" s="55" t="s">
        <v>809</v>
      </c>
      <c r="G44" s="428" t="s">
        <v>794</v>
      </c>
      <c r="H44" s="428"/>
      <c r="I44" s="428" t="s">
        <v>810</v>
      </c>
      <c r="J44" s="428"/>
      <c r="K44" s="55" t="s">
        <v>808</v>
      </c>
      <c r="L44" s="55" t="s">
        <v>809</v>
      </c>
      <c r="M44" s="428" t="s">
        <v>795</v>
      </c>
      <c r="N44" s="428"/>
      <c r="O44" s="86" t="s">
        <v>814</v>
      </c>
      <c r="P44" s="428" t="s">
        <v>811</v>
      </c>
      <c r="Q44" s="428"/>
      <c r="R44" s="55" t="s">
        <v>808</v>
      </c>
      <c r="S44" s="55" t="s">
        <v>809</v>
      </c>
      <c r="T44" s="428" t="s">
        <v>812</v>
      </c>
      <c r="U44" s="428"/>
      <c r="V44" s="57" t="s">
        <v>780</v>
      </c>
    </row>
    <row r="45" spans="1:23">
      <c r="A45" s="55">
        <v>120</v>
      </c>
      <c r="B45" s="319">
        <v>25</v>
      </c>
      <c r="C45" s="316">
        <v>0</v>
      </c>
      <c r="D45" s="316">
        <v>60</v>
      </c>
      <c r="E45" s="317">
        <v>0</v>
      </c>
      <c r="F45" s="317">
        <v>0</v>
      </c>
      <c r="G45" s="316">
        <v>60</v>
      </c>
      <c r="H45" s="316">
        <f>G45+(M14*B45)</f>
        <v>160</v>
      </c>
      <c r="I45" s="316">
        <f>J45-60</f>
        <v>100</v>
      </c>
      <c r="J45" s="316">
        <f>H45</f>
        <v>160</v>
      </c>
      <c r="K45" s="317">
        <v>0</v>
      </c>
      <c r="L45" s="317">
        <v>0</v>
      </c>
      <c r="M45" s="316">
        <f>J45</f>
        <v>160</v>
      </c>
      <c r="N45" s="316">
        <f>M45+($J$43*B45)</f>
        <v>260</v>
      </c>
      <c r="O45" s="320">
        <f>25*20</f>
        <v>500</v>
      </c>
      <c r="P45" s="316">
        <f>Q45-60</f>
        <v>200</v>
      </c>
      <c r="Q45" s="316">
        <f>N45</f>
        <v>260</v>
      </c>
      <c r="R45" s="317">
        <v>0</v>
      </c>
      <c r="S45" s="317">
        <v>0</v>
      </c>
      <c r="T45" s="316">
        <f>Q45</f>
        <v>260</v>
      </c>
      <c r="U45" s="316">
        <f t="shared" ref="U45:U50" si="1">T45+($N$43*B45)</f>
        <v>760</v>
      </c>
      <c r="V45" s="85"/>
    </row>
    <row r="46" spans="1:23">
      <c r="B46" s="319">
        <v>25</v>
      </c>
      <c r="C46" s="316" t="s">
        <v>815</v>
      </c>
      <c r="D46" s="316" t="s">
        <v>815</v>
      </c>
      <c r="E46" s="317" t="s">
        <v>824</v>
      </c>
      <c r="F46" s="317">
        <f>G46-H45</f>
        <v>280</v>
      </c>
      <c r="G46" s="316">
        <f>H46-(M14*B46)</f>
        <v>440</v>
      </c>
      <c r="H46" s="316">
        <f>M46</f>
        <v>540</v>
      </c>
      <c r="I46" s="316" t="s">
        <v>824</v>
      </c>
      <c r="J46" s="316" t="s">
        <v>824</v>
      </c>
      <c r="K46" s="317">
        <f>M46-H46</f>
        <v>0</v>
      </c>
      <c r="L46" s="317">
        <f>M46-N45</f>
        <v>280</v>
      </c>
      <c r="M46" s="316">
        <f>N46-($J$43*B46)</f>
        <v>540</v>
      </c>
      <c r="N46" s="316">
        <f>U45-120</f>
        <v>640</v>
      </c>
      <c r="O46" s="320">
        <v>620</v>
      </c>
      <c r="P46" s="316" t="s">
        <v>815</v>
      </c>
      <c r="Q46" s="316" t="s">
        <v>815</v>
      </c>
      <c r="R46" s="317">
        <f>T46-N46</f>
        <v>120</v>
      </c>
      <c r="S46" s="317">
        <v>0</v>
      </c>
      <c r="T46" s="316">
        <f>U45</f>
        <v>760</v>
      </c>
      <c r="U46" s="316">
        <f t="shared" si="1"/>
        <v>1260</v>
      </c>
      <c r="V46" s="85">
        <f>U46/1440</f>
        <v>0.875</v>
      </c>
      <c r="W46" s="321">
        <f>U46/60</f>
        <v>21</v>
      </c>
    </row>
    <row r="47" spans="1:23">
      <c r="A47" s="55">
        <v>130</v>
      </c>
      <c r="B47" s="319">
        <v>50</v>
      </c>
      <c r="C47" s="316">
        <f>D47-60</f>
        <v>730</v>
      </c>
      <c r="D47" s="316">
        <f>G47</f>
        <v>790</v>
      </c>
      <c r="E47" s="317" t="s">
        <v>824</v>
      </c>
      <c r="F47" s="317">
        <f>G47-H46</f>
        <v>250</v>
      </c>
      <c r="G47" s="316">
        <f>H47-(M15*B47)</f>
        <v>790</v>
      </c>
      <c r="H47" s="316">
        <f>M47</f>
        <v>940</v>
      </c>
      <c r="I47" s="316">
        <f>J47-60</f>
        <v>880</v>
      </c>
      <c r="J47" s="316">
        <f>M47</f>
        <v>940</v>
      </c>
      <c r="K47" s="317">
        <f>M47-H47</f>
        <v>0</v>
      </c>
      <c r="L47" s="317">
        <f>M47-N46</f>
        <v>300</v>
      </c>
      <c r="M47" s="316">
        <f>N47-($J$43*B47)</f>
        <v>940</v>
      </c>
      <c r="N47" s="316">
        <f>U46-120</f>
        <v>1140</v>
      </c>
      <c r="O47" s="320">
        <v>1120</v>
      </c>
      <c r="P47" s="316">
        <f>Q47-60</f>
        <v>1260</v>
      </c>
      <c r="Q47" s="316">
        <f>T47</f>
        <v>1320</v>
      </c>
      <c r="R47" s="317">
        <f>T47-N47</f>
        <v>180</v>
      </c>
      <c r="S47" s="317">
        <v>60</v>
      </c>
      <c r="T47" s="316">
        <f>U46+60</f>
        <v>1320</v>
      </c>
      <c r="U47" s="316">
        <f t="shared" si="1"/>
        <v>2320</v>
      </c>
      <c r="V47" s="85"/>
    </row>
    <row r="48" spans="1:23">
      <c r="B48" s="319">
        <v>50</v>
      </c>
      <c r="C48" s="316" t="s">
        <v>815</v>
      </c>
      <c r="D48" s="316" t="s">
        <v>815</v>
      </c>
      <c r="E48" s="317" t="s">
        <v>824</v>
      </c>
      <c r="F48" s="317">
        <f>G48-H47</f>
        <v>910</v>
      </c>
      <c r="G48" s="316">
        <f>H48-(M15*B48)</f>
        <v>1850</v>
      </c>
      <c r="H48" s="316">
        <f>M48</f>
        <v>2000</v>
      </c>
      <c r="I48" s="316" t="s">
        <v>824</v>
      </c>
      <c r="J48" s="316" t="s">
        <v>824</v>
      </c>
      <c r="K48" s="317">
        <f>M48-H48</f>
        <v>0</v>
      </c>
      <c r="L48" s="317">
        <f>M48-N47</f>
        <v>860</v>
      </c>
      <c r="M48" s="316">
        <f>N48-($J$43*B48)</f>
        <v>2000</v>
      </c>
      <c r="N48" s="316">
        <f>U47-120</f>
        <v>2200</v>
      </c>
      <c r="O48" s="320">
        <v>1120</v>
      </c>
      <c r="P48" s="316" t="s">
        <v>815</v>
      </c>
      <c r="Q48" s="316" t="s">
        <v>815</v>
      </c>
      <c r="R48" s="317">
        <f>T48-N48</f>
        <v>120</v>
      </c>
      <c r="S48" s="317">
        <v>0</v>
      </c>
      <c r="T48" s="316">
        <f>U47</f>
        <v>2320</v>
      </c>
      <c r="U48" s="316">
        <f t="shared" si="1"/>
        <v>3320</v>
      </c>
      <c r="V48" s="85">
        <f>U48/1440</f>
        <v>2.3055555555555554</v>
      </c>
      <c r="W48" s="55">
        <f>U48/60</f>
        <v>55.333333333333336</v>
      </c>
    </row>
    <row r="49" spans="1:23">
      <c r="A49" s="55">
        <v>110</v>
      </c>
      <c r="B49" s="319">
        <v>60</v>
      </c>
      <c r="C49" s="316">
        <f>D49-60</f>
        <v>2540</v>
      </c>
      <c r="D49" s="316">
        <f>G49</f>
        <v>2600</v>
      </c>
      <c r="E49" s="317" t="s">
        <v>824</v>
      </c>
      <c r="F49" s="317">
        <f>G49-H48</f>
        <v>600</v>
      </c>
      <c r="G49" s="316">
        <f>H49-(M13*B49)</f>
        <v>2600</v>
      </c>
      <c r="H49" s="316">
        <f>M49</f>
        <v>2960</v>
      </c>
      <c r="I49" s="316">
        <f>J49-60</f>
        <v>2900</v>
      </c>
      <c r="J49" s="316">
        <f>M49</f>
        <v>2960</v>
      </c>
      <c r="K49" s="317">
        <f>M49-H49</f>
        <v>0</v>
      </c>
      <c r="L49" s="317">
        <f>M49-N48</f>
        <v>760</v>
      </c>
      <c r="M49" s="316">
        <f>N49-($J$43*B49)</f>
        <v>2960</v>
      </c>
      <c r="N49" s="316">
        <f>U48-120</f>
        <v>3200</v>
      </c>
      <c r="O49" s="320">
        <v>1320</v>
      </c>
      <c r="P49" s="316">
        <f>Q49-60</f>
        <v>3320</v>
      </c>
      <c r="Q49" s="316">
        <f>T49</f>
        <v>3380</v>
      </c>
      <c r="R49" s="317">
        <f>T49-N49</f>
        <v>180</v>
      </c>
      <c r="S49" s="317">
        <v>60</v>
      </c>
      <c r="T49" s="316">
        <f>U48+60</f>
        <v>3380</v>
      </c>
      <c r="U49" s="316">
        <f t="shared" si="1"/>
        <v>4580</v>
      </c>
      <c r="V49" s="85"/>
    </row>
    <row r="50" spans="1:23">
      <c r="B50" s="319">
        <v>60</v>
      </c>
      <c r="C50" s="316" t="s">
        <v>815</v>
      </c>
      <c r="D50" s="316" t="s">
        <v>815</v>
      </c>
      <c r="E50" s="317" t="s">
        <v>824</v>
      </c>
      <c r="F50" s="317">
        <f>G50-H49</f>
        <v>900</v>
      </c>
      <c r="G50" s="316">
        <f>H50-(M13*B50)</f>
        <v>3860</v>
      </c>
      <c r="H50" s="316">
        <f>M50</f>
        <v>4220</v>
      </c>
      <c r="I50" s="316" t="s">
        <v>824</v>
      </c>
      <c r="J50" s="316" t="s">
        <v>824</v>
      </c>
      <c r="K50" s="317">
        <f>M50-H50</f>
        <v>0</v>
      </c>
      <c r="L50" s="317">
        <f>M50-N49</f>
        <v>1020</v>
      </c>
      <c r="M50" s="316">
        <f>N50-($J$43*B50)</f>
        <v>4220</v>
      </c>
      <c r="N50" s="316">
        <f>U49-120</f>
        <v>4460</v>
      </c>
      <c r="O50" s="320">
        <v>1320</v>
      </c>
      <c r="P50" s="316" t="s">
        <v>815</v>
      </c>
      <c r="Q50" s="316" t="s">
        <v>815</v>
      </c>
      <c r="R50" s="317">
        <f>T50-N50</f>
        <v>120</v>
      </c>
      <c r="S50" s="317">
        <v>0</v>
      </c>
      <c r="T50" s="316">
        <f>U49</f>
        <v>4580</v>
      </c>
      <c r="U50" s="316">
        <f t="shared" si="1"/>
        <v>5780</v>
      </c>
      <c r="V50" s="85">
        <f>U50/1440</f>
        <v>4.0138888888888893</v>
      </c>
      <c r="W50" s="55">
        <f>U50/60</f>
        <v>96.333333333333329</v>
      </c>
    </row>
    <row r="51" spans="1:23">
      <c r="R51" s="312" t="s">
        <v>809</v>
      </c>
      <c r="S51" s="312">
        <f>SUM(F45:F50,S45:S50)</f>
        <v>3060</v>
      </c>
      <c r="V51" s="318">
        <f>AVERAGE(V46:V50)</f>
        <v>2.3981481481481484</v>
      </c>
    </row>
    <row r="52" spans="1:23">
      <c r="A52" s="312" t="s">
        <v>816</v>
      </c>
      <c r="B52" s="55" t="s">
        <v>154</v>
      </c>
      <c r="C52" s="55" t="s">
        <v>156</v>
      </c>
      <c r="D52" s="55" t="s">
        <v>302</v>
      </c>
      <c r="F52" s="322" t="s">
        <v>816</v>
      </c>
      <c r="G52" s="313" t="s">
        <v>154</v>
      </c>
      <c r="H52" s="313" t="s">
        <v>156</v>
      </c>
      <c r="I52" s="313" t="s">
        <v>302</v>
      </c>
      <c r="R52" s="312" t="s">
        <v>808</v>
      </c>
      <c r="S52" s="312">
        <f>SUM(R45:R50)</f>
        <v>720</v>
      </c>
    </row>
    <row r="53" spans="1:23">
      <c r="A53" s="55" t="s">
        <v>817</v>
      </c>
      <c r="B53" s="55">
        <f>B36*$P$13</f>
        <v>720</v>
      </c>
      <c r="C53" s="55">
        <f>C36*$P$14</f>
        <v>200</v>
      </c>
      <c r="D53" s="55">
        <f>D36*$P$15</f>
        <v>300</v>
      </c>
      <c r="F53" s="55" t="s">
        <v>818</v>
      </c>
      <c r="G53" s="55">
        <f t="shared" ref="G53:I54" si="2">B53+B54</f>
        <v>1200</v>
      </c>
      <c r="H53" s="55">
        <f t="shared" si="2"/>
        <v>400</v>
      </c>
      <c r="I53" s="55">
        <f t="shared" si="2"/>
        <v>700</v>
      </c>
    </row>
    <row r="54" spans="1:23">
      <c r="A54" s="55" t="s">
        <v>819</v>
      </c>
      <c r="B54" s="55">
        <f>B37*$P$13</f>
        <v>480</v>
      </c>
      <c r="C54" s="55">
        <f>C37*$P$14</f>
        <v>200</v>
      </c>
      <c r="D54" s="55">
        <f>D37*$P$15</f>
        <v>400</v>
      </c>
      <c r="F54" s="55" t="s">
        <v>820</v>
      </c>
      <c r="G54" s="55">
        <f t="shared" si="2"/>
        <v>2880</v>
      </c>
      <c r="H54" s="55">
        <f t="shared" si="2"/>
        <v>1200</v>
      </c>
      <c r="I54" s="55">
        <f t="shared" si="2"/>
        <v>2400</v>
      </c>
    </row>
    <row r="55" spans="1:23">
      <c r="A55" s="55" t="s">
        <v>821</v>
      </c>
      <c r="B55" s="55">
        <f>B38*$P$13</f>
        <v>2400</v>
      </c>
      <c r="C55" s="55">
        <f>C38*$P$14</f>
        <v>1000</v>
      </c>
      <c r="D55" s="55">
        <f>D38*$P$15</f>
        <v>2000</v>
      </c>
    </row>
    <row r="56" spans="1:23">
      <c r="F56" s="312" t="s">
        <v>723</v>
      </c>
      <c r="G56" s="55" t="s">
        <v>825</v>
      </c>
    </row>
    <row r="57" spans="1:23">
      <c r="G57" s="323" t="s">
        <v>826</v>
      </c>
    </row>
  </sheetData>
  <mergeCells count="18">
    <mergeCell ref="S20:T20"/>
    <mergeCell ref="C20:D20"/>
    <mergeCell ref="G20:H20"/>
    <mergeCell ref="I20:J20"/>
    <mergeCell ref="M20:N20"/>
    <mergeCell ref="O20:P20"/>
    <mergeCell ref="T44:U44"/>
    <mergeCell ref="C27:D27"/>
    <mergeCell ref="G27:H27"/>
    <mergeCell ref="I27:J27"/>
    <mergeCell ref="M27:N27"/>
    <mergeCell ref="P27:Q27"/>
    <mergeCell ref="T27:U27"/>
    <mergeCell ref="C44:D44"/>
    <mergeCell ref="G44:H44"/>
    <mergeCell ref="I44:J44"/>
    <mergeCell ref="M44:N44"/>
    <mergeCell ref="P44:Q44"/>
  </mergeCells>
  <pageMargins left="0.75" right="0.75" top="1" bottom="1" header="0.5" footer="0.5"/>
  <pageSetup orientation="portrait" horizontalDpi="4294967292" verticalDpi="4294967292"/>
  <ignoredErrors>
    <ignoredError sqref="T47 T49 T30 T32" formula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AE1F7-09C4-964F-90F0-ADB1ED7EEB48}">
  <dimension ref="B1:AM60"/>
  <sheetViews>
    <sheetView zoomScale="75" zoomScaleNormal="75" zoomScalePageLayoutView="75" workbookViewId="0">
      <selection activeCell="D58" sqref="D58"/>
    </sheetView>
  </sheetViews>
  <sheetFormatPr baseColWidth="10" defaultRowHeight="16"/>
  <cols>
    <col min="1" max="1" width="4" customWidth="1"/>
    <col min="4" max="4" width="8.1640625" style="47" customWidth="1"/>
    <col min="5" max="5" width="7.5" style="47" customWidth="1"/>
    <col min="6" max="6" width="7" style="47" customWidth="1"/>
    <col min="7" max="7" width="8.6640625" style="47" customWidth="1"/>
    <col min="8" max="8" width="8.83203125" style="47" customWidth="1"/>
    <col min="9" max="9" width="9" style="47" customWidth="1"/>
    <col min="10" max="10" width="8.1640625" style="47" customWidth="1"/>
    <col min="11" max="11" width="8.6640625" style="47" customWidth="1"/>
    <col min="12" max="12" width="8.33203125" style="47" customWidth="1"/>
    <col min="13" max="13" width="7.5" style="47" customWidth="1"/>
    <col min="14" max="14" width="8.33203125" style="47" customWidth="1"/>
    <col min="15" max="16" width="8.6640625" style="47" customWidth="1"/>
    <col min="17" max="17" width="8" style="47" customWidth="1"/>
    <col min="18" max="19" width="7.6640625" style="47" customWidth="1"/>
    <col min="20" max="20" width="8.1640625" style="47" customWidth="1"/>
    <col min="21" max="21" width="8" style="47" customWidth="1"/>
    <col min="22" max="22" width="8.6640625" style="47" customWidth="1"/>
    <col min="23" max="23" width="8.1640625" style="47" customWidth="1"/>
    <col min="24" max="24" width="8.33203125" style="47" customWidth="1"/>
    <col min="25" max="25" width="6.33203125" style="47" customWidth="1"/>
    <col min="26" max="26" width="8.1640625" style="47" customWidth="1"/>
    <col min="27" max="27" width="7.33203125" style="47" customWidth="1"/>
    <col min="28" max="28" width="7" style="47" customWidth="1"/>
    <col min="29" max="29" width="8.1640625" style="47" customWidth="1"/>
    <col min="30" max="30" width="9.6640625" style="47" customWidth="1"/>
    <col min="31" max="39" width="10.83203125" style="47"/>
  </cols>
  <sheetData>
    <row r="1" spans="2:32" ht="17" thickBot="1"/>
    <row r="2" spans="2:32">
      <c r="B2" s="324" t="s">
        <v>806</v>
      </c>
      <c r="C2" s="325"/>
      <c r="D2" s="149"/>
      <c r="E2" s="149"/>
      <c r="F2" s="149"/>
      <c r="G2" s="149"/>
      <c r="H2" s="149"/>
      <c r="I2" s="149"/>
      <c r="J2" s="149">
        <v>5</v>
      </c>
      <c r="K2" s="149"/>
      <c r="L2" s="149"/>
      <c r="M2" s="149"/>
      <c r="N2" s="149"/>
      <c r="O2" s="149"/>
      <c r="P2" s="149">
        <v>5</v>
      </c>
      <c r="Q2" s="149"/>
      <c r="R2" s="149"/>
      <c r="S2" s="149"/>
      <c r="T2" s="149"/>
      <c r="U2" s="149"/>
      <c r="V2" s="149">
        <v>6</v>
      </c>
      <c r="W2" s="149"/>
      <c r="X2" s="149"/>
      <c r="Y2" s="149"/>
      <c r="Z2" s="149"/>
      <c r="AA2" s="149"/>
      <c r="AB2" s="149"/>
      <c r="AC2" s="149"/>
      <c r="AD2" s="149"/>
      <c r="AE2" s="149"/>
      <c r="AF2" s="150"/>
    </row>
    <row r="3" spans="2:32">
      <c r="B3" s="152" t="s">
        <v>723</v>
      </c>
      <c r="C3" s="47" t="s">
        <v>827</v>
      </c>
      <c r="D3" s="47" t="s">
        <v>377</v>
      </c>
      <c r="E3" s="430" t="s">
        <v>807</v>
      </c>
      <c r="F3" s="430"/>
      <c r="G3" s="47" t="s">
        <v>828</v>
      </c>
      <c r="H3" s="47" t="s">
        <v>708</v>
      </c>
      <c r="I3" s="430" t="s">
        <v>829</v>
      </c>
      <c r="J3" s="430"/>
      <c r="K3" s="430" t="s">
        <v>810</v>
      </c>
      <c r="L3" s="430"/>
      <c r="M3" s="47" t="s">
        <v>828</v>
      </c>
      <c r="N3" s="47" t="s">
        <v>708</v>
      </c>
      <c r="O3" s="430" t="s">
        <v>830</v>
      </c>
      <c r="P3" s="430"/>
      <c r="Q3" s="430" t="s">
        <v>831</v>
      </c>
      <c r="R3" s="430"/>
      <c r="S3" s="47" t="s">
        <v>828</v>
      </c>
      <c r="T3" s="47" t="s">
        <v>708</v>
      </c>
      <c r="U3" s="430" t="s">
        <v>832</v>
      </c>
      <c r="V3" s="430"/>
      <c r="AF3" s="326"/>
    </row>
    <row r="4" spans="2:32">
      <c r="B4" s="152">
        <v>101</v>
      </c>
      <c r="C4" s="47" t="s">
        <v>833</v>
      </c>
      <c r="D4" s="47">
        <v>20</v>
      </c>
      <c r="E4" s="47">
        <v>0</v>
      </c>
      <c r="F4" s="47">
        <f>E4+60</f>
        <v>60</v>
      </c>
      <c r="G4" s="47" t="s">
        <v>127</v>
      </c>
      <c r="H4" s="47" t="s">
        <v>127</v>
      </c>
      <c r="I4" s="47">
        <f>F4</f>
        <v>60</v>
      </c>
      <c r="J4" s="47">
        <f>I4+(J2*D4)</f>
        <v>160</v>
      </c>
      <c r="K4" s="47">
        <v>0</v>
      </c>
      <c r="L4" s="47">
        <v>60</v>
      </c>
      <c r="M4" s="47" t="s">
        <v>127</v>
      </c>
      <c r="N4" s="47" t="s">
        <v>127</v>
      </c>
      <c r="O4" s="47">
        <f>J4</f>
        <v>160</v>
      </c>
      <c r="P4" s="47">
        <f>O4+(D4*P2)</f>
        <v>260</v>
      </c>
      <c r="Q4" s="47">
        <v>0</v>
      </c>
      <c r="R4" s="47">
        <v>60</v>
      </c>
      <c r="S4" s="47" t="s">
        <v>127</v>
      </c>
      <c r="T4" s="47" t="s">
        <v>127</v>
      </c>
      <c r="U4" s="47">
        <f>P4</f>
        <v>260</v>
      </c>
      <c r="V4" s="47">
        <f>U4+(D4*V2)</f>
        <v>380</v>
      </c>
      <c r="AF4" s="326"/>
    </row>
    <row r="5" spans="2:32">
      <c r="B5" s="152">
        <v>102</v>
      </c>
      <c r="C5" s="47" t="s">
        <v>834</v>
      </c>
      <c r="D5" s="47">
        <v>15</v>
      </c>
      <c r="E5" s="47">
        <f>J4</f>
        <v>160</v>
      </c>
      <c r="F5" s="47">
        <f>E5+60</f>
        <v>220</v>
      </c>
      <c r="G5" s="47" t="s">
        <v>127</v>
      </c>
      <c r="H5" s="47">
        <f>I5-J4</f>
        <v>60</v>
      </c>
      <c r="I5" s="47">
        <f>F5</f>
        <v>220</v>
      </c>
      <c r="J5" s="47">
        <f>I5+(D5*J2)</f>
        <v>295</v>
      </c>
      <c r="K5" s="47">
        <f>P4</f>
        <v>260</v>
      </c>
      <c r="L5" s="47">
        <f>K5+60</f>
        <v>320</v>
      </c>
      <c r="M5" s="47">
        <f>O5-J5</f>
        <v>25</v>
      </c>
      <c r="N5" s="47">
        <f>O5-P4</f>
        <v>60</v>
      </c>
      <c r="O5" s="47">
        <f>L5</f>
        <v>320</v>
      </c>
      <c r="P5" s="47">
        <f>O5+(D5*P2)</f>
        <v>395</v>
      </c>
      <c r="Q5" s="47">
        <f>V4</f>
        <v>380</v>
      </c>
      <c r="R5" s="47">
        <f>Q5+60</f>
        <v>440</v>
      </c>
      <c r="S5" s="47">
        <f>U5-P5</f>
        <v>45</v>
      </c>
      <c r="T5" s="47">
        <f>U5-V4</f>
        <v>60</v>
      </c>
      <c r="U5" s="47">
        <f>R5</f>
        <v>440</v>
      </c>
      <c r="V5" s="47">
        <f>U5+(D5*V2)</f>
        <v>530</v>
      </c>
      <c r="AF5" s="326"/>
    </row>
    <row r="6" spans="2:32">
      <c r="B6" s="152">
        <v>103</v>
      </c>
      <c r="C6" s="47" t="s">
        <v>835</v>
      </c>
      <c r="D6" s="47">
        <v>12</v>
      </c>
      <c r="E6" s="47">
        <f>J5</f>
        <v>295</v>
      </c>
      <c r="F6" s="47">
        <f>E6+60</f>
        <v>355</v>
      </c>
      <c r="G6" s="47" t="s">
        <v>127</v>
      </c>
      <c r="H6" s="47">
        <f>I6-J5</f>
        <v>60</v>
      </c>
      <c r="I6" s="47">
        <f>F6</f>
        <v>355</v>
      </c>
      <c r="J6" s="47">
        <f>I6+(D6*J2)</f>
        <v>415</v>
      </c>
      <c r="K6" s="47">
        <f>P5</f>
        <v>395</v>
      </c>
      <c r="L6" s="47">
        <f>K6+60</f>
        <v>455</v>
      </c>
      <c r="M6" s="47">
        <f>O6-J6</f>
        <v>40</v>
      </c>
      <c r="N6" s="47">
        <f>O6-P5</f>
        <v>60</v>
      </c>
      <c r="O6" s="47">
        <f>L6</f>
        <v>455</v>
      </c>
      <c r="P6" s="47">
        <f>O6+(D6*P2)</f>
        <v>515</v>
      </c>
      <c r="Q6" s="47">
        <f>V5</f>
        <v>530</v>
      </c>
      <c r="R6" s="47">
        <f>Q6+60</f>
        <v>590</v>
      </c>
      <c r="S6" s="47">
        <f>U6-P6</f>
        <v>75</v>
      </c>
      <c r="T6" s="47">
        <f>U6-V5</f>
        <v>60</v>
      </c>
      <c r="U6" s="47">
        <f>R6</f>
        <v>590</v>
      </c>
      <c r="V6" s="47">
        <f>U6+(D6*V2)</f>
        <v>662</v>
      </c>
      <c r="AC6" s="47">
        <v>20</v>
      </c>
      <c r="AF6" s="326"/>
    </row>
    <row r="7" spans="2:32">
      <c r="B7" s="152"/>
      <c r="C7" s="47"/>
      <c r="W7" s="327"/>
      <c r="X7" s="430" t="s">
        <v>836</v>
      </c>
      <c r="Y7" s="430"/>
      <c r="Z7" s="47" t="s">
        <v>828</v>
      </c>
      <c r="AA7" s="47" t="s">
        <v>708</v>
      </c>
      <c r="AB7" s="430" t="s">
        <v>837</v>
      </c>
      <c r="AC7" s="430"/>
      <c r="AD7" s="47" t="s">
        <v>838</v>
      </c>
      <c r="AE7" s="47" t="s">
        <v>107</v>
      </c>
      <c r="AF7" s="326"/>
    </row>
    <row r="8" spans="2:32">
      <c r="B8" s="276"/>
      <c r="X8" s="47">
        <v>0</v>
      </c>
      <c r="Y8" s="47">
        <v>60</v>
      </c>
      <c r="Z8" s="47" t="s">
        <v>839</v>
      </c>
      <c r="AA8" s="47" t="s">
        <v>127</v>
      </c>
      <c r="AB8" s="47">
        <f>V4</f>
        <v>380</v>
      </c>
      <c r="AC8" s="47">
        <f>AB8+(D4*AC6)</f>
        <v>780</v>
      </c>
      <c r="AD8" s="89">
        <f>(AC8/60)/7.5</f>
        <v>1.7333333333333334</v>
      </c>
      <c r="AE8" s="47">
        <v>3</v>
      </c>
      <c r="AF8" s="326"/>
    </row>
    <row r="9" spans="2:32">
      <c r="B9" s="276"/>
      <c r="X9" s="47">
        <f>AC8</f>
        <v>780</v>
      </c>
      <c r="Y9" s="47">
        <f>X9+60</f>
        <v>840</v>
      </c>
      <c r="Z9" s="47" t="s">
        <v>840</v>
      </c>
      <c r="AA9" s="47">
        <f>AB9-AC8</f>
        <v>60</v>
      </c>
      <c r="AB9" s="47">
        <f>Y9</f>
        <v>840</v>
      </c>
      <c r="AC9" s="47">
        <f>AB9+(D5*AC6)</f>
        <v>1140</v>
      </c>
      <c r="AD9" s="89">
        <f t="shared" ref="AD9:AD10" si="0">(AC9/60)/7.5</f>
        <v>2.5333333333333332</v>
      </c>
      <c r="AE9" s="47">
        <v>2</v>
      </c>
      <c r="AF9" s="326"/>
    </row>
    <row r="10" spans="2:32">
      <c r="B10" s="276"/>
      <c r="X10" s="47">
        <f>AC9</f>
        <v>1140</v>
      </c>
      <c r="Y10" s="47">
        <f>X10+60</f>
        <v>1200</v>
      </c>
      <c r="Z10" s="47" t="s">
        <v>841</v>
      </c>
      <c r="AA10" s="47">
        <f>AB10-AC9</f>
        <v>60</v>
      </c>
      <c r="AB10" s="47">
        <f>Y10</f>
        <v>1200</v>
      </c>
      <c r="AC10" s="47">
        <f>AB10+(J16*AC6)</f>
        <v>1440</v>
      </c>
      <c r="AD10" s="89">
        <f t="shared" si="0"/>
        <v>3.2</v>
      </c>
      <c r="AE10" s="47">
        <v>1</v>
      </c>
      <c r="AF10" s="326"/>
    </row>
    <row r="11" spans="2:32">
      <c r="B11" s="276"/>
      <c r="AF11" s="326"/>
    </row>
    <row r="12" spans="2:32">
      <c r="B12" s="276"/>
      <c r="P12" s="47">
        <v>4</v>
      </c>
      <c r="V12" s="47">
        <v>5</v>
      </c>
      <c r="AF12" s="326"/>
    </row>
    <row r="13" spans="2:32">
      <c r="B13" s="276"/>
      <c r="H13" s="47" t="s">
        <v>723</v>
      </c>
      <c r="I13" s="47" t="s">
        <v>827</v>
      </c>
      <c r="J13" s="47" t="s">
        <v>377</v>
      </c>
      <c r="K13" s="430" t="s">
        <v>811</v>
      </c>
      <c r="L13" s="430"/>
      <c r="M13" s="47" t="s">
        <v>828</v>
      </c>
      <c r="N13" s="47" t="s">
        <v>708</v>
      </c>
      <c r="O13" s="430" t="s">
        <v>842</v>
      </c>
      <c r="P13" s="430"/>
      <c r="Q13" s="430" t="s">
        <v>843</v>
      </c>
      <c r="R13" s="430"/>
      <c r="S13" s="47" t="s">
        <v>828</v>
      </c>
      <c r="T13" s="47" t="s">
        <v>708</v>
      </c>
      <c r="U13" s="430" t="s">
        <v>844</v>
      </c>
      <c r="V13" s="430"/>
      <c r="AF13" s="326"/>
    </row>
    <row r="14" spans="2:32">
      <c r="B14" s="276"/>
      <c r="H14" s="47">
        <v>101</v>
      </c>
      <c r="I14" s="47" t="s">
        <v>833</v>
      </c>
      <c r="J14" s="47">
        <v>20</v>
      </c>
      <c r="K14" s="47">
        <v>0</v>
      </c>
      <c r="L14" s="47">
        <v>60</v>
      </c>
      <c r="M14" s="47" t="s">
        <v>127</v>
      </c>
      <c r="N14" s="47" t="s">
        <v>127</v>
      </c>
      <c r="O14" s="47">
        <f>L14</f>
        <v>60</v>
      </c>
      <c r="P14" s="47">
        <f>O14+(J14*P12)</f>
        <v>140</v>
      </c>
      <c r="Q14" s="47">
        <v>0</v>
      </c>
      <c r="R14" s="47">
        <v>60</v>
      </c>
      <c r="S14" s="47" t="s">
        <v>127</v>
      </c>
      <c r="T14" s="47" t="s">
        <v>127</v>
      </c>
      <c r="U14" s="47">
        <f>P14</f>
        <v>140</v>
      </c>
      <c r="V14" s="47">
        <f>U14+(J14*V12)</f>
        <v>240</v>
      </c>
      <c r="AF14" s="326"/>
    </row>
    <row r="15" spans="2:32">
      <c r="B15" s="276"/>
      <c r="H15" s="47">
        <v>102</v>
      </c>
      <c r="I15" s="47" t="s">
        <v>834</v>
      </c>
      <c r="J15" s="47">
        <v>15</v>
      </c>
      <c r="K15" s="47">
        <f>P14</f>
        <v>140</v>
      </c>
      <c r="L15" s="47">
        <f>K15+60</f>
        <v>200</v>
      </c>
      <c r="M15" s="47" t="s">
        <v>127</v>
      </c>
      <c r="N15" s="47">
        <f>O15-P14</f>
        <v>60</v>
      </c>
      <c r="O15" s="47">
        <f>L15</f>
        <v>200</v>
      </c>
      <c r="P15" s="47">
        <f>O15+(J15*P12)</f>
        <v>260</v>
      </c>
      <c r="Q15" s="47">
        <f>V14</f>
        <v>240</v>
      </c>
      <c r="R15" s="47">
        <f>Q15+60</f>
        <v>300</v>
      </c>
      <c r="S15" s="47">
        <f>U15-P15</f>
        <v>40</v>
      </c>
      <c r="T15" s="47">
        <f>U15-V14</f>
        <v>60</v>
      </c>
      <c r="U15" s="47">
        <f>R15</f>
        <v>300</v>
      </c>
      <c r="V15" s="47">
        <f>U15+(J15*V12)</f>
        <v>375</v>
      </c>
      <c r="AF15" s="326"/>
    </row>
    <row r="16" spans="2:32" ht="17" thickBot="1">
      <c r="B16" s="279"/>
      <c r="C16" s="328"/>
      <c r="D16" s="155"/>
      <c r="E16" s="155"/>
      <c r="F16" s="155"/>
      <c r="G16" s="155"/>
      <c r="H16" s="155">
        <v>103</v>
      </c>
      <c r="I16" s="155" t="s">
        <v>835</v>
      </c>
      <c r="J16" s="155">
        <v>12</v>
      </c>
      <c r="K16" s="155">
        <f>P15</f>
        <v>260</v>
      </c>
      <c r="L16" s="155">
        <f>K16+60</f>
        <v>320</v>
      </c>
      <c r="M16" s="155" t="s">
        <v>127</v>
      </c>
      <c r="N16" s="155">
        <f>O16-P15</f>
        <v>60</v>
      </c>
      <c r="O16" s="155">
        <f>L16</f>
        <v>320</v>
      </c>
      <c r="P16" s="155">
        <f>O16+(J16*P12)</f>
        <v>368</v>
      </c>
      <c r="Q16" s="155">
        <f>V15</f>
        <v>375</v>
      </c>
      <c r="R16" s="155">
        <f>Q16+60</f>
        <v>435</v>
      </c>
      <c r="S16" s="155">
        <f>U16-P16</f>
        <v>67</v>
      </c>
      <c r="T16" s="155">
        <f>U16-V15</f>
        <v>60</v>
      </c>
      <c r="U16" s="155">
        <f>R16</f>
        <v>435</v>
      </c>
      <c r="V16" s="155">
        <f>U16+(J16*V12)</f>
        <v>495</v>
      </c>
      <c r="W16" s="155"/>
      <c r="X16" s="155"/>
      <c r="Y16" s="155"/>
      <c r="Z16" s="155"/>
      <c r="AA16" s="155"/>
      <c r="AB16" s="155"/>
      <c r="AC16" s="155"/>
      <c r="AD16" s="155"/>
      <c r="AE16" s="155"/>
      <c r="AF16" s="156"/>
    </row>
    <row r="18" spans="2:32" ht="17" thickBot="1"/>
    <row r="19" spans="2:32">
      <c r="B19" s="324" t="s">
        <v>845</v>
      </c>
      <c r="C19" s="325"/>
      <c r="D19" s="149"/>
      <c r="E19" s="149"/>
      <c r="F19" s="149"/>
      <c r="G19" s="149"/>
      <c r="H19" s="149"/>
      <c r="I19" s="149"/>
      <c r="J19" s="149">
        <v>5</v>
      </c>
      <c r="K19" s="149"/>
      <c r="L19" s="149"/>
      <c r="M19" s="149"/>
      <c r="N19" s="149"/>
      <c r="O19" s="149"/>
      <c r="P19" s="149">
        <v>5</v>
      </c>
      <c r="Q19" s="149"/>
      <c r="R19" s="149"/>
      <c r="S19" s="149"/>
      <c r="T19" s="149"/>
      <c r="U19" s="149"/>
      <c r="V19" s="149">
        <v>6</v>
      </c>
      <c r="W19" s="149"/>
      <c r="X19" s="149"/>
      <c r="Y19" s="149"/>
      <c r="Z19" s="149"/>
      <c r="AA19" s="149"/>
      <c r="AB19" s="149"/>
      <c r="AC19" s="149"/>
      <c r="AD19" s="149"/>
      <c r="AE19" s="149"/>
      <c r="AF19" s="150"/>
    </row>
    <row r="20" spans="2:32">
      <c r="B20" s="152" t="s">
        <v>723</v>
      </c>
      <c r="C20" s="47" t="s">
        <v>827</v>
      </c>
      <c r="D20" s="47" t="s">
        <v>377</v>
      </c>
      <c r="E20" s="430" t="s">
        <v>807</v>
      </c>
      <c r="F20" s="430"/>
      <c r="G20" s="47" t="s">
        <v>828</v>
      </c>
      <c r="H20" s="47" t="s">
        <v>708</v>
      </c>
      <c r="I20" s="430" t="s">
        <v>829</v>
      </c>
      <c r="J20" s="430"/>
      <c r="K20" s="430" t="s">
        <v>810</v>
      </c>
      <c r="L20" s="430"/>
      <c r="M20" s="47" t="s">
        <v>828</v>
      </c>
      <c r="N20" s="47" t="s">
        <v>708</v>
      </c>
      <c r="O20" s="430" t="s">
        <v>830</v>
      </c>
      <c r="P20" s="430"/>
      <c r="Q20" s="430" t="s">
        <v>831</v>
      </c>
      <c r="R20" s="430"/>
      <c r="S20" s="47" t="s">
        <v>828</v>
      </c>
      <c r="T20" s="47" t="s">
        <v>708</v>
      </c>
      <c r="U20" s="430" t="s">
        <v>832</v>
      </c>
      <c r="V20" s="430"/>
      <c r="AF20" s="326"/>
    </row>
    <row r="21" spans="2:32">
      <c r="B21" s="152">
        <v>103</v>
      </c>
      <c r="C21" s="47" t="s">
        <v>835</v>
      </c>
      <c r="D21" s="47">
        <v>12</v>
      </c>
      <c r="E21" s="47">
        <v>0</v>
      </c>
      <c r="F21" s="47">
        <f>E21+60</f>
        <v>60</v>
      </c>
      <c r="G21" s="47" t="s">
        <v>127</v>
      </c>
      <c r="H21" s="47" t="s">
        <v>127</v>
      </c>
      <c r="I21" s="47">
        <f>F21</f>
        <v>60</v>
      </c>
      <c r="J21" s="47">
        <f>I21+(J19*D21)</f>
        <v>120</v>
      </c>
      <c r="K21" s="47">
        <v>60</v>
      </c>
      <c r="L21" s="47">
        <v>120</v>
      </c>
      <c r="M21" s="47" t="s">
        <v>127</v>
      </c>
      <c r="N21" s="47" t="s">
        <v>127</v>
      </c>
      <c r="O21" s="47">
        <f>L21</f>
        <v>120</v>
      </c>
      <c r="P21" s="47">
        <f>O21+(D21*P19)</f>
        <v>180</v>
      </c>
      <c r="Q21" s="47">
        <v>120</v>
      </c>
      <c r="R21" s="47">
        <v>180</v>
      </c>
      <c r="S21" s="47" t="s">
        <v>127</v>
      </c>
      <c r="T21" s="47" t="s">
        <v>127</v>
      </c>
      <c r="U21" s="47">
        <f>P21</f>
        <v>180</v>
      </c>
      <c r="V21" s="47">
        <f>U21+(D21*V19)</f>
        <v>252</v>
      </c>
      <c r="AF21" s="326"/>
    </row>
    <row r="22" spans="2:32">
      <c r="B22" s="152">
        <v>102</v>
      </c>
      <c r="C22" s="47" t="s">
        <v>834</v>
      </c>
      <c r="D22" s="47">
        <v>15</v>
      </c>
      <c r="E22" s="47">
        <f>F22-60</f>
        <v>290</v>
      </c>
      <c r="F22" s="47">
        <f>I22</f>
        <v>350</v>
      </c>
      <c r="G22" s="47" t="s">
        <v>127</v>
      </c>
      <c r="H22" s="47">
        <f>I22-J21</f>
        <v>230</v>
      </c>
      <c r="I22" s="47">
        <f>J22-(D22*J19)</f>
        <v>350</v>
      </c>
      <c r="J22" s="47">
        <f>O22</f>
        <v>425</v>
      </c>
      <c r="K22" s="47">
        <f>L22-60</f>
        <v>365</v>
      </c>
      <c r="L22" s="47">
        <f>O22</f>
        <v>425</v>
      </c>
      <c r="M22" s="47" t="s">
        <v>127</v>
      </c>
      <c r="N22" s="47">
        <f>O22-P21</f>
        <v>245</v>
      </c>
      <c r="O22" s="47">
        <f>P22-(D22*P19)</f>
        <v>425</v>
      </c>
      <c r="P22" s="47">
        <f>U22</f>
        <v>500</v>
      </c>
      <c r="Q22" s="47">
        <f>R22-60</f>
        <v>440</v>
      </c>
      <c r="R22" s="47">
        <f>U22</f>
        <v>500</v>
      </c>
      <c r="S22" s="47" t="s">
        <v>127</v>
      </c>
      <c r="T22" s="47">
        <f>U22-V21</f>
        <v>248</v>
      </c>
      <c r="U22" s="47">
        <f>V22-(D22*V19)</f>
        <v>500</v>
      </c>
      <c r="V22" s="47">
        <f>AB26</f>
        <v>590</v>
      </c>
      <c r="AF22" s="326"/>
    </row>
    <row r="23" spans="2:32">
      <c r="B23" s="152">
        <v>101</v>
      </c>
      <c r="C23" s="47" t="s">
        <v>833</v>
      </c>
      <c r="D23" s="47">
        <v>20</v>
      </c>
      <c r="E23" s="47">
        <f>F23-60</f>
        <v>570</v>
      </c>
      <c r="F23" s="47">
        <f>I23</f>
        <v>630</v>
      </c>
      <c r="G23" s="47" t="s">
        <v>127</v>
      </c>
      <c r="H23" s="47">
        <f>I23-J22</f>
        <v>205</v>
      </c>
      <c r="I23" s="47">
        <f>J23-(D23*J19)</f>
        <v>630</v>
      </c>
      <c r="J23" s="47">
        <f>O23</f>
        <v>730</v>
      </c>
      <c r="K23" s="47">
        <f>L23-60</f>
        <v>670</v>
      </c>
      <c r="L23" s="47">
        <f>O23</f>
        <v>730</v>
      </c>
      <c r="M23" s="47" t="s">
        <v>127</v>
      </c>
      <c r="N23" s="47">
        <f>O23-P22</f>
        <v>230</v>
      </c>
      <c r="O23" s="47">
        <f>P23-(D23*P19)</f>
        <v>730</v>
      </c>
      <c r="P23" s="47">
        <f>U23</f>
        <v>830</v>
      </c>
      <c r="Q23" s="47">
        <f>R23-60</f>
        <v>770</v>
      </c>
      <c r="R23" s="47">
        <f>U23</f>
        <v>830</v>
      </c>
      <c r="S23" s="47" t="s">
        <v>127</v>
      </c>
      <c r="T23" s="47">
        <f>U23-V22</f>
        <v>240</v>
      </c>
      <c r="U23" s="47">
        <f>V23-(D23*V19)</f>
        <v>830</v>
      </c>
      <c r="V23" s="47">
        <f>AB27</f>
        <v>950</v>
      </c>
      <c r="AC23" s="47">
        <v>20</v>
      </c>
      <c r="AF23" s="326"/>
    </row>
    <row r="24" spans="2:32">
      <c r="B24" s="152"/>
      <c r="C24" s="47"/>
      <c r="W24" s="327"/>
      <c r="X24" s="430" t="s">
        <v>836</v>
      </c>
      <c r="Y24" s="430"/>
      <c r="Z24" s="47" t="s">
        <v>828</v>
      </c>
      <c r="AA24" s="47" t="s">
        <v>708</v>
      </c>
      <c r="AB24" s="430" t="s">
        <v>837</v>
      </c>
      <c r="AC24" s="430"/>
      <c r="AD24" s="47" t="s">
        <v>838</v>
      </c>
      <c r="AE24" s="47" t="s">
        <v>107</v>
      </c>
      <c r="AF24" s="326"/>
    </row>
    <row r="25" spans="2:32">
      <c r="B25" s="276"/>
      <c r="X25" s="47">
        <f>V21-60</f>
        <v>192</v>
      </c>
      <c r="Y25" s="47">
        <f>X25+60</f>
        <v>252</v>
      </c>
      <c r="Z25" s="47" t="s">
        <v>127</v>
      </c>
      <c r="AA25" s="47" t="s">
        <v>127</v>
      </c>
      <c r="AB25" s="47">
        <f>V21</f>
        <v>252</v>
      </c>
      <c r="AC25" s="47">
        <f>AB25+(D21*AC23)</f>
        <v>492</v>
      </c>
      <c r="AD25" s="89">
        <f t="shared" ref="AD25:AD26" si="1">(AC25/60)/7.5</f>
        <v>1.0933333333333333</v>
      </c>
      <c r="AE25" s="47">
        <v>1</v>
      </c>
      <c r="AF25" s="326"/>
    </row>
    <row r="26" spans="2:32">
      <c r="B26" s="276"/>
      <c r="X26" s="47">
        <f>Y26-60</f>
        <v>530</v>
      </c>
      <c r="Y26" s="47">
        <f>AB26</f>
        <v>590</v>
      </c>
      <c r="Z26" s="47" t="s">
        <v>127</v>
      </c>
      <c r="AA26" s="47">
        <f>AB26-AC25</f>
        <v>98</v>
      </c>
      <c r="AB26" s="47">
        <f>AC26-(J32*AC23)</f>
        <v>590</v>
      </c>
      <c r="AC26" s="47">
        <v>890</v>
      </c>
      <c r="AD26" s="89">
        <f t="shared" si="1"/>
        <v>1.9777777777777779</v>
      </c>
      <c r="AE26" s="47">
        <v>2</v>
      </c>
      <c r="AF26" s="326"/>
    </row>
    <row r="27" spans="2:32">
      <c r="B27" s="276"/>
      <c r="X27" s="47">
        <f>Y27-60</f>
        <v>890</v>
      </c>
      <c r="Y27" s="47">
        <f>AB27</f>
        <v>950</v>
      </c>
      <c r="Z27" s="47" t="s">
        <v>127</v>
      </c>
      <c r="AA27" s="47">
        <f>AB27-AC26</f>
        <v>60</v>
      </c>
      <c r="AB27" s="47">
        <f>AC27-(AC23*J33)</f>
        <v>950</v>
      </c>
      <c r="AC27" s="47">
        <f>AD27*7.5*60</f>
        <v>1350</v>
      </c>
      <c r="AD27" s="47">
        <v>3</v>
      </c>
      <c r="AE27" s="47">
        <v>3</v>
      </c>
      <c r="AF27" s="326"/>
    </row>
    <row r="28" spans="2:32">
      <c r="B28" s="276"/>
      <c r="AF28" s="326"/>
    </row>
    <row r="29" spans="2:32">
      <c r="B29" s="276"/>
      <c r="P29" s="47">
        <v>4</v>
      </c>
      <c r="V29" s="47">
        <v>5</v>
      </c>
      <c r="AF29" s="326"/>
    </row>
    <row r="30" spans="2:32">
      <c r="B30" s="276"/>
      <c r="H30" s="47" t="s">
        <v>723</v>
      </c>
      <c r="I30" s="47" t="s">
        <v>827</v>
      </c>
      <c r="J30" s="47" t="s">
        <v>377</v>
      </c>
      <c r="K30" s="430" t="s">
        <v>811</v>
      </c>
      <c r="L30" s="430"/>
      <c r="M30" s="47" t="s">
        <v>828</v>
      </c>
      <c r="N30" s="47" t="s">
        <v>708</v>
      </c>
      <c r="O30" s="430" t="s">
        <v>842</v>
      </c>
      <c r="P30" s="430"/>
      <c r="Q30" s="430" t="s">
        <v>843</v>
      </c>
      <c r="R30" s="430"/>
      <c r="S30" s="47" t="s">
        <v>828</v>
      </c>
      <c r="T30" s="47" t="s">
        <v>708</v>
      </c>
      <c r="U30" s="430" t="s">
        <v>844</v>
      </c>
      <c r="V30" s="430"/>
      <c r="AF30" s="326"/>
    </row>
    <row r="31" spans="2:32">
      <c r="B31" s="276"/>
      <c r="H31" s="47">
        <v>103</v>
      </c>
      <c r="I31" s="47" t="s">
        <v>835</v>
      </c>
      <c r="J31" s="47">
        <v>12</v>
      </c>
      <c r="K31" s="47">
        <f>L31-60</f>
        <v>84</v>
      </c>
      <c r="L31" s="47">
        <f>O31</f>
        <v>144</v>
      </c>
      <c r="M31" s="47" t="s">
        <v>127</v>
      </c>
      <c r="N31" s="47" t="s">
        <v>127</v>
      </c>
      <c r="O31" s="47">
        <f>P31-(J31*P29)</f>
        <v>144</v>
      </c>
      <c r="P31" s="47">
        <f>U31</f>
        <v>192</v>
      </c>
      <c r="Q31" s="47">
        <f>R31-60</f>
        <v>132</v>
      </c>
      <c r="R31" s="47">
        <f>U31</f>
        <v>192</v>
      </c>
      <c r="S31" s="47" t="s">
        <v>127</v>
      </c>
      <c r="T31" s="47" t="s">
        <v>127</v>
      </c>
      <c r="U31" s="47">
        <f>V31-(J31*V29)</f>
        <v>192</v>
      </c>
      <c r="V31" s="47">
        <f>AB25</f>
        <v>252</v>
      </c>
      <c r="AF31" s="326"/>
    </row>
    <row r="32" spans="2:32">
      <c r="B32" s="276"/>
      <c r="H32" s="47">
        <v>102</v>
      </c>
      <c r="I32" s="47" t="s">
        <v>834</v>
      </c>
      <c r="J32" s="47">
        <v>15</v>
      </c>
      <c r="K32" s="47">
        <f>L32-60</f>
        <v>395</v>
      </c>
      <c r="L32" s="47">
        <f>O32</f>
        <v>455</v>
      </c>
      <c r="M32" s="47" t="s">
        <v>127</v>
      </c>
      <c r="N32" s="47">
        <f>O32-P31</f>
        <v>263</v>
      </c>
      <c r="O32" s="47">
        <f>P32-(J32*P29)</f>
        <v>455</v>
      </c>
      <c r="P32" s="47">
        <f>U32</f>
        <v>515</v>
      </c>
      <c r="Q32" s="47">
        <f>R32-60</f>
        <v>455</v>
      </c>
      <c r="R32" s="47">
        <f>U32</f>
        <v>515</v>
      </c>
      <c r="S32" s="47" t="s">
        <v>127</v>
      </c>
      <c r="T32" s="47">
        <f>U32-V31</f>
        <v>263</v>
      </c>
      <c r="U32" s="47">
        <f>V32-(J32*V29)</f>
        <v>515</v>
      </c>
      <c r="V32" s="47">
        <f>AB26</f>
        <v>590</v>
      </c>
      <c r="AF32" s="326"/>
    </row>
    <row r="33" spans="2:32" ht="17" thickBot="1">
      <c r="B33" s="279"/>
      <c r="C33" s="328"/>
      <c r="D33" s="155"/>
      <c r="E33" s="155"/>
      <c r="F33" s="155"/>
      <c r="G33" s="155"/>
      <c r="H33" s="155">
        <v>101</v>
      </c>
      <c r="I33" s="155" t="s">
        <v>833</v>
      </c>
      <c r="J33" s="155">
        <v>20</v>
      </c>
      <c r="K33" s="155">
        <f>L33-60</f>
        <v>710</v>
      </c>
      <c r="L33" s="155">
        <f>O33</f>
        <v>770</v>
      </c>
      <c r="M33" s="155" t="s">
        <v>127</v>
      </c>
      <c r="N33" s="155">
        <f>O33-P32</f>
        <v>255</v>
      </c>
      <c r="O33" s="155">
        <f>P33-(J33*P29)</f>
        <v>770</v>
      </c>
      <c r="P33" s="155">
        <f>U33</f>
        <v>850</v>
      </c>
      <c r="Q33" s="155">
        <f>R33-60</f>
        <v>790</v>
      </c>
      <c r="R33" s="155">
        <f>U33</f>
        <v>850</v>
      </c>
      <c r="S33" s="155" t="s">
        <v>127</v>
      </c>
      <c r="T33" s="155">
        <f>U33-V32</f>
        <v>260</v>
      </c>
      <c r="U33" s="155">
        <f>V33-(J33*V29)</f>
        <v>850</v>
      </c>
      <c r="V33" s="155">
        <f>AB27</f>
        <v>950</v>
      </c>
      <c r="W33" s="155"/>
      <c r="X33" s="155"/>
      <c r="Y33" s="155"/>
      <c r="Z33" s="155"/>
      <c r="AA33" s="155"/>
      <c r="AB33" s="155"/>
      <c r="AC33" s="155"/>
      <c r="AD33" s="155"/>
      <c r="AE33" s="155"/>
      <c r="AF33" s="156"/>
    </row>
    <row r="36" spans="2:32">
      <c r="B36" s="329" t="s">
        <v>846</v>
      </c>
      <c r="C36" s="330"/>
      <c r="D36" s="331"/>
      <c r="E36" s="331"/>
      <c r="F36" s="331"/>
      <c r="G36" s="331"/>
      <c r="H36" s="331"/>
      <c r="I36" s="331"/>
    </row>
    <row r="37" spans="2:32">
      <c r="B37" s="330" t="s">
        <v>847</v>
      </c>
      <c r="C37" s="330" t="s">
        <v>848</v>
      </c>
      <c r="D37" s="331" t="s">
        <v>849</v>
      </c>
      <c r="E37" s="331" t="s">
        <v>850</v>
      </c>
      <c r="F37" s="331"/>
      <c r="G37" s="331"/>
      <c r="H37" s="331"/>
      <c r="I37" s="331"/>
    </row>
    <row r="38" spans="2:32">
      <c r="B38" s="331">
        <v>101</v>
      </c>
      <c r="C38" s="331">
        <f>(((5+5+6+20)*20)/60)/7.5</f>
        <v>1.6</v>
      </c>
      <c r="D38" s="331">
        <v>3</v>
      </c>
      <c r="E38" s="331">
        <f>D38-C38</f>
        <v>1.4</v>
      </c>
      <c r="F38" s="331" t="s">
        <v>851</v>
      </c>
      <c r="G38" s="331"/>
      <c r="H38" s="331"/>
      <c r="I38" s="331"/>
    </row>
    <row r="39" spans="2:32">
      <c r="B39" s="331">
        <v>102</v>
      </c>
      <c r="C39" s="331">
        <f>(((5+5+6+20)*15)/60)/7.5</f>
        <v>1.2</v>
      </c>
      <c r="D39" s="331">
        <v>2</v>
      </c>
      <c r="E39" s="331">
        <f>D39-C39</f>
        <v>0.8</v>
      </c>
      <c r="F39" s="331"/>
      <c r="G39" s="331"/>
      <c r="H39" s="331"/>
      <c r="I39" s="331"/>
    </row>
    <row r="40" spans="2:32" ht="17" thickBot="1">
      <c r="B40" s="331">
        <v>103</v>
      </c>
      <c r="C40" s="331">
        <f>(((5+5+6+20)*12)/60)/7.5</f>
        <v>0.96000000000000008</v>
      </c>
      <c r="D40" s="331">
        <v>1</v>
      </c>
      <c r="E40" s="331">
        <f>D40-C40</f>
        <v>3.9999999999999925E-2</v>
      </c>
      <c r="F40" s="331"/>
      <c r="G40" s="331"/>
      <c r="H40" s="331"/>
      <c r="I40" s="331"/>
    </row>
    <row r="41" spans="2:32">
      <c r="B41" s="324" t="s">
        <v>852</v>
      </c>
      <c r="C41" s="325"/>
      <c r="D41" s="149"/>
      <c r="E41" s="149"/>
      <c r="F41" s="149"/>
      <c r="G41" s="149"/>
      <c r="H41" s="149"/>
      <c r="I41" s="149"/>
      <c r="J41" s="149">
        <v>5</v>
      </c>
      <c r="K41" s="149"/>
      <c r="L41" s="149"/>
      <c r="M41" s="149"/>
      <c r="N41" s="149"/>
      <c r="O41" s="149"/>
      <c r="P41" s="149">
        <v>5</v>
      </c>
      <c r="Q41" s="149"/>
      <c r="R41" s="149"/>
      <c r="S41" s="149"/>
      <c r="T41" s="149"/>
      <c r="U41" s="149"/>
      <c r="V41" s="149">
        <v>6</v>
      </c>
      <c r="W41" s="149"/>
      <c r="X41" s="149"/>
      <c r="Y41" s="149"/>
      <c r="Z41" s="149"/>
      <c r="AA41" s="149"/>
      <c r="AB41" s="149"/>
      <c r="AC41" s="149"/>
      <c r="AD41" s="149"/>
      <c r="AE41" s="149"/>
      <c r="AF41" s="150"/>
    </row>
    <row r="42" spans="2:32">
      <c r="B42" s="152" t="s">
        <v>723</v>
      </c>
      <c r="C42" s="47" t="s">
        <v>827</v>
      </c>
      <c r="D42" s="47" t="s">
        <v>377</v>
      </c>
      <c r="E42" s="430" t="s">
        <v>807</v>
      </c>
      <c r="F42" s="430"/>
      <c r="G42" s="47" t="s">
        <v>828</v>
      </c>
      <c r="H42" s="47" t="s">
        <v>708</v>
      </c>
      <c r="I42" s="430" t="s">
        <v>829</v>
      </c>
      <c r="J42" s="430"/>
      <c r="K42" s="430" t="s">
        <v>810</v>
      </c>
      <c r="L42" s="430"/>
      <c r="M42" s="47" t="s">
        <v>828</v>
      </c>
      <c r="N42" s="47" t="s">
        <v>708</v>
      </c>
      <c r="O42" s="430" t="s">
        <v>830</v>
      </c>
      <c r="P42" s="430"/>
      <c r="Q42" s="430" t="s">
        <v>831</v>
      </c>
      <c r="R42" s="430"/>
      <c r="S42" s="47" t="s">
        <v>828</v>
      </c>
      <c r="T42" s="47" t="s">
        <v>708</v>
      </c>
      <c r="U42" s="430" t="s">
        <v>832</v>
      </c>
      <c r="V42" s="430"/>
      <c r="AF42" s="326"/>
    </row>
    <row r="43" spans="2:32">
      <c r="B43" s="152">
        <v>103</v>
      </c>
      <c r="C43" s="47" t="s">
        <v>835</v>
      </c>
      <c r="D43" s="47">
        <v>12</v>
      </c>
      <c r="E43" s="47">
        <v>0</v>
      </c>
      <c r="F43" s="47">
        <f>E43+60</f>
        <v>60</v>
      </c>
      <c r="G43" s="47" t="s">
        <v>127</v>
      </c>
      <c r="H43" s="47" t="s">
        <v>127</v>
      </c>
      <c r="I43" s="47">
        <f>F43</f>
        <v>60</v>
      </c>
      <c r="J43" s="47">
        <f>I43+(J41*D43)</f>
        <v>120</v>
      </c>
      <c r="K43" s="47">
        <v>60</v>
      </c>
      <c r="L43" s="47">
        <v>120</v>
      </c>
      <c r="M43" s="47" t="s">
        <v>127</v>
      </c>
      <c r="N43" s="47" t="s">
        <v>127</v>
      </c>
      <c r="O43" s="47">
        <f>L43</f>
        <v>120</v>
      </c>
      <c r="P43" s="47">
        <f>O43+(D43*P41)</f>
        <v>180</v>
      </c>
      <c r="Q43" s="47">
        <v>120</v>
      </c>
      <c r="R43" s="47">
        <v>180</v>
      </c>
      <c r="S43" s="47" t="s">
        <v>127</v>
      </c>
      <c r="T43" s="47" t="s">
        <v>127</v>
      </c>
      <c r="U43" s="47">
        <f>P43</f>
        <v>180</v>
      </c>
      <c r="V43" s="47">
        <f>U43+(D43*V41)</f>
        <v>252</v>
      </c>
      <c r="AF43" s="326"/>
    </row>
    <row r="44" spans="2:32">
      <c r="B44" s="152">
        <v>102</v>
      </c>
      <c r="C44" s="47" t="s">
        <v>834</v>
      </c>
      <c r="D44" s="47">
        <v>15</v>
      </c>
      <c r="E44" s="47">
        <f>252-60</f>
        <v>192</v>
      </c>
      <c r="F44" s="47">
        <v>252</v>
      </c>
      <c r="G44" s="47" t="s">
        <v>127</v>
      </c>
      <c r="H44" s="47">
        <f>I44-J43</f>
        <v>132</v>
      </c>
      <c r="I44" s="47">
        <f>F44</f>
        <v>252</v>
      </c>
      <c r="J44" s="47">
        <f>I44+(D44*J41)</f>
        <v>327</v>
      </c>
      <c r="K44" s="47">
        <f>J44-60</f>
        <v>267</v>
      </c>
      <c r="L44" s="47">
        <f>K44+60</f>
        <v>327</v>
      </c>
      <c r="M44" s="47" t="s">
        <v>127</v>
      </c>
      <c r="N44" s="47">
        <f>O44-P43</f>
        <v>147</v>
      </c>
      <c r="O44" s="47">
        <f>J44</f>
        <v>327</v>
      </c>
      <c r="P44" s="47">
        <f>O44+(D44*P41)</f>
        <v>402</v>
      </c>
      <c r="Q44" s="47">
        <f>P44-60</f>
        <v>342</v>
      </c>
      <c r="R44" s="47">
        <f>Q44+60</f>
        <v>402</v>
      </c>
      <c r="S44" s="47" t="s">
        <v>127</v>
      </c>
      <c r="T44" s="47">
        <f>U44-V43</f>
        <v>150</v>
      </c>
      <c r="U44" s="47">
        <f>P44</f>
        <v>402</v>
      </c>
      <c r="V44" s="47">
        <f>U44+(D44*V41)</f>
        <v>492</v>
      </c>
      <c r="AF44" s="326"/>
    </row>
    <row r="45" spans="2:32">
      <c r="B45" s="152">
        <v>101</v>
      </c>
      <c r="C45" s="47" t="s">
        <v>833</v>
      </c>
      <c r="D45" s="47">
        <v>20</v>
      </c>
      <c r="E45" s="47">
        <f>V44-60</f>
        <v>432</v>
      </c>
      <c r="F45" s="47">
        <f>E45+60</f>
        <v>492</v>
      </c>
      <c r="G45" s="47" t="s">
        <v>127</v>
      </c>
      <c r="H45" s="47">
        <f>I45-J44</f>
        <v>165</v>
      </c>
      <c r="I45" s="47">
        <f>F45</f>
        <v>492</v>
      </c>
      <c r="J45" s="47">
        <f>I45+(D45*J41)</f>
        <v>592</v>
      </c>
      <c r="K45" s="47">
        <f>J45-60</f>
        <v>532</v>
      </c>
      <c r="L45" s="47">
        <f>K45+60</f>
        <v>592</v>
      </c>
      <c r="M45" s="47" t="s">
        <v>127</v>
      </c>
      <c r="N45" s="47">
        <f>O45-P44</f>
        <v>190</v>
      </c>
      <c r="O45" s="47">
        <f>J45</f>
        <v>592</v>
      </c>
      <c r="P45" s="47">
        <f>O45+(D45*P41)</f>
        <v>692</v>
      </c>
      <c r="Q45" s="47">
        <f>P45-60</f>
        <v>632</v>
      </c>
      <c r="R45" s="47">
        <f>Q45+60</f>
        <v>692</v>
      </c>
      <c r="S45" s="47" t="s">
        <v>127</v>
      </c>
      <c r="T45" s="47">
        <f>U45-V44</f>
        <v>200</v>
      </c>
      <c r="U45" s="47">
        <f>P45</f>
        <v>692</v>
      </c>
      <c r="V45" s="47">
        <f>U45+(D45*V41)</f>
        <v>812</v>
      </c>
      <c r="AD45" s="47">
        <v>20</v>
      </c>
      <c r="AF45" s="326"/>
    </row>
    <row r="46" spans="2:32">
      <c r="B46" s="152"/>
      <c r="C46" s="47"/>
      <c r="W46" s="462" t="s">
        <v>853</v>
      </c>
      <c r="X46" s="462"/>
      <c r="Y46" s="430" t="s">
        <v>836</v>
      </c>
      <c r="Z46" s="430"/>
      <c r="AA46" s="47" t="s">
        <v>828</v>
      </c>
      <c r="AB46" s="47" t="s">
        <v>708</v>
      </c>
      <c r="AC46" s="430" t="s">
        <v>837</v>
      </c>
      <c r="AD46" s="430"/>
      <c r="AE46" s="47" t="s">
        <v>838</v>
      </c>
      <c r="AF46" s="326" t="s">
        <v>107</v>
      </c>
    </row>
    <row r="47" spans="2:32">
      <c r="B47" s="276"/>
      <c r="W47" s="47">
        <f>AD45*D43</f>
        <v>240</v>
      </c>
      <c r="X47" s="47">
        <f>AD45*J53</f>
        <v>240</v>
      </c>
      <c r="Y47" s="47">
        <f>V43-60</f>
        <v>192</v>
      </c>
      <c r="Z47" s="47">
        <f>Y47+60</f>
        <v>252</v>
      </c>
      <c r="AA47" s="47" t="s">
        <v>127</v>
      </c>
      <c r="AB47" s="47" t="s">
        <v>127</v>
      </c>
      <c r="AC47" s="47">
        <f>V43</f>
        <v>252</v>
      </c>
      <c r="AD47" s="47">
        <f>AC47+(D43*AD45)</f>
        <v>492</v>
      </c>
      <c r="AE47" s="89">
        <f t="shared" ref="AE47:AE49" si="2">(AD47/60)/7.5</f>
        <v>1.0933333333333333</v>
      </c>
      <c r="AF47" s="326">
        <v>1</v>
      </c>
    </row>
    <row r="48" spans="2:32">
      <c r="B48" s="276"/>
      <c r="W48" s="47">
        <f>D44*AD45</f>
        <v>300</v>
      </c>
      <c r="X48" s="47">
        <f>(AD47-V54)+(J54*AD45)</f>
        <v>330</v>
      </c>
      <c r="Y48" s="47">
        <f>AD47</f>
        <v>492</v>
      </c>
      <c r="Z48" s="47">
        <f>Y48+60</f>
        <v>552</v>
      </c>
      <c r="AA48" s="47" t="s">
        <v>854</v>
      </c>
      <c r="AB48" s="47">
        <f>AC48-AD47</f>
        <v>60</v>
      </c>
      <c r="AC48" s="47">
        <f>Z48</f>
        <v>552</v>
      </c>
      <c r="AD48" s="47">
        <f>AC48+(D44*AD45)</f>
        <v>852</v>
      </c>
      <c r="AE48" s="89">
        <f t="shared" si="2"/>
        <v>1.8933333333333333</v>
      </c>
      <c r="AF48" s="326">
        <v>2</v>
      </c>
    </row>
    <row r="49" spans="2:32">
      <c r="B49" s="276"/>
      <c r="W49" s="47">
        <f>(AD48-V45)+(D45*AD45)</f>
        <v>440</v>
      </c>
      <c r="X49" s="47">
        <f>(AD48-V55)+(AD45*J55)</f>
        <v>430</v>
      </c>
      <c r="Y49" s="47">
        <f>AD48</f>
        <v>852</v>
      </c>
      <c r="Z49" s="47">
        <f>Y49+60</f>
        <v>912</v>
      </c>
      <c r="AA49" s="47" t="s">
        <v>855</v>
      </c>
      <c r="AB49" s="47">
        <f>AC49-AD48</f>
        <v>60</v>
      </c>
      <c r="AC49" s="47">
        <f>Z49</f>
        <v>912</v>
      </c>
      <c r="AD49" s="47">
        <f>AC49+(J55*AD45)</f>
        <v>1312</v>
      </c>
      <c r="AE49" s="89">
        <f t="shared" si="2"/>
        <v>2.9155555555555557</v>
      </c>
      <c r="AF49" s="326">
        <v>3</v>
      </c>
    </row>
    <row r="50" spans="2:32">
      <c r="B50" s="276"/>
      <c r="AF50" s="326"/>
    </row>
    <row r="51" spans="2:32">
      <c r="B51" s="276"/>
      <c r="P51" s="47">
        <v>4</v>
      </c>
      <c r="V51" s="47">
        <v>5</v>
      </c>
      <c r="AF51" s="326"/>
    </row>
    <row r="52" spans="2:32">
      <c r="B52" s="276"/>
      <c r="H52" s="47" t="s">
        <v>723</v>
      </c>
      <c r="I52" s="47" t="s">
        <v>827</v>
      </c>
      <c r="J52" s="47" t="s">
        <v>377</v>
      </c>
      <c r="K52" s="430" t="s">
        <v>811</v>
      </c>
      <c r="L52" s="430"/>
      <c r="M52" s="47" t="s">
        <v>828</v>
      </c>
      <c r="N52" s="47" t="s">
        <v>708</v>
      </c>
      <c r="O52" s="430" t="s">
        <v>842</v>
      </c>
      <c r="P52" s="430"/>
      <c r="Q52" s="430" t="s">
        <v>843</v>
      </c>
      <c r="R52" s="430"/>
      <c r="S52" s="47" t="s">
        <v>828</v>
      </c>
      <c r="T52" s="47" t="s">
        <v>708</v>
      </c>
      <c r="U52" s="430" t="s">
        <v>844</v>
      </c>
      <c r="V52" s="430"/>
      <c r="AF52" s="326"/>
    </row>
    <row r="53" spans="2:32">
      <c r="B53" s="276"/>
      <c r="H53" s="47">
        <v>103</v>
      </c>
      <c r="I53" s="47" t="s">
        <v>835</v>
      </c>
      <c r="J53" s="47">
        <v>12</v>
      </c>
      <c r="K53" s="47">
        <v>0</v>
      </c>
      <c r="L53" s="47">
        <v>60</v>
      </c>
      <c r="M53" s="47" t="s">
        <v>127</v>
      </c>
      <c r="N53" s="47" t="s">
        <v>127</v>
      </c>
      <c r="O53" s="47">
        <f>L53</f>
        <v>60</v>
      </c>
      <c r="P53" s="47">
        <f>O53+(J53*P51)</f>
        <v>108</v>
      </c>
      <c r="Q53" s="47">
        <f>108-60</f>
        <v>48</v>
      </c>
      <c r="R53" s="47">
        <v>108</v>
      </c>
      <c r="S53" s="47" t="s">
        <v>127</v>
      </c>
      <c r="T53" s="47" t="s">
        <v>127</v>
      </c>
      <c r="U53" s="47">
        <f>P53</f>
        <v>108</v>
      </c>
      <c r="V53" s="47">
        <f>U53+(J53*V51)</f>
        <v>168</v>
      </c>
      <c r="AF53" s="326"/>
    </row>
    <row r="54" spans="2:32">
      <c r="B54" s="276"/>
      <c r="H54" s="47">
        <v>102</v>
      </c>
      <c r="I54" s="47" t="s">
        <v>834</v>
      </c>
      <c r="J54" s="47">
        <v>15</v>
      </c>
      <c r="K54" s="47">
        <f>AC47+E58</f>
        <v>267</v>
      </c>
      <c r="L54" s="47">
        <f>K54+60</f>
        <v>327</v>
      </c>
      <c r="M54" s="47" t="s">
        <v>127</v>
      </c>
      <c r="N54" s="47">
        <f>O54-P53</f>
        <v>219</v>
      </c>
      <c r="O54" s="47">
        <f>L54</f>
        <v>327</v>
      </c>
      <c r="P54" s="47">
        <f>O54+(J54*P51)</f>
        <v>387</v>
      </c>
      <c r="Q54" s="47">
        <f>P54-60</f>
        <v>327</v>
      </c>
      <c r="R54" s="47">
        <f>Q54+60</f>
        <v>387</v>
      </c>
      <c r="S54" s="47" t="s">
        <v>127</v>
      </c>
      <c r="T54" s="47">
        <f>U54-V53</f>
        <v>219</v>
      </c>
      <c r="U54" s="47">
        <f>P54</f>
        <v>387</v>
      </c>
      <c r="V54" s="47">
        <f>U54+(J54*V51)</f>
        <v>462</v>
      </c>
      <c r="AF54" s="326"/>
    </row>
    <row r="55" spans="2:32" ht="17" thickBot="1">
      <c r="B55" s="279"/>
      <c r="C55" s="328"/>
      <c r="D55" s="155"/>
      <c r="E55" s="155"/>
      <c r="F55" s="155"/>
      <c r="G55" s="155"/>
      <c r="H55" s="155">
        <v>101</v>
      </c>
      <c r="I55" s="155" t="s">
        <v>833</v>
      </c>
      <c r="J55" s="155">
        <v>20</v>
      </c>
      <c r="K55" s="155">
        <v>582</v>
      </c>
      <c r="L55" s="155">
        <f>K55+60</f>
        <v>642</v>
      </c>
      <c r="M55" s="155" t="s">
        <v>127</v>
      </c>
      <c r="N55" s="155">
        <f>O55-P54</f>
        <v>255</v>
      </c>
      <c r="O55" s="155">
        <f>L55</f>
        <v>642</v>
      </c>
      <c r="P55" s="155">
        <f>O55+(J55*P51)</f>
        <v>722</v>
      </c>
      <c r="Q55" s="155">
        <f>P55-60</f>
        <v>662</v>
      </c>
      <c r="R55" s="155">
        <f>Q55+60</f>
        <v>722</v>
      </c>
      <c r="S55" s="155" t="s">
        <v>127</v>
      </c>
      <c r="T55" s="155">
        <f>U55-V54</f>
        <v>260</v>
      </c>
      <c r="U55" s="155">
        <f>R55</f>
        <v>722</v>
      </c>
      <c r="V55" s="155">
        <f>U55+(J55*V51)</f>
        <v>822</v>
      </c>
      <c r="W55" s="155"/>
      <c r="X55" s="155"/>
      <c r="Y55" s="155"/>
      <c r="Z55" s="155"/>
      <c r="AA55" s="155"/>
      <c r="AB55" s="155"/>
      <c r="AC55" s="155"/>
      <c r="AD55" s="155"/>
      <c r="AE55" s="155"/>
      <c r="AF55" s="156"/>
    </row>
    <row r="57" spans="2:32">
      <c r="B57" s="459" t="s">
        <v>856</v>
      </c>
      <c r="C57" s="332" t="s">
        <v>857</v>
      </c>
      <c r="D57" s="333">
        <f>60+(D44*J41)+(D44*P41)+(D44*V41)+30</f>
        <v>330</v>
      </c>
      <c r="E57" s="334"/>
    </row>
    <row r="58" spans="2:32">
      <c r="B58" s="460"/>
      <c r="D58" s="47">
        <f>60+(J54*P51)+(J54*V51)+30</f>
        <v>225</v>
      </c>
      <c r="E58" s="335">
        <f>X47-D58</f>
        <v>15</v>
      </c>
    </row>
    <row r="59" spans="2:32">
      <c r="B59" s="460"/>
      <c r="C59" t="s">
        <v>858</v>
      </c>
      <c r="D59" s="47">
        <f>60+(D45*J41)+(D45*P41)+(D45*V41)+30</f>
        <v>410</v>
      </c>
      <c r="E59" s="335"/>
    </row>
    <row r="60" spans="2:32">
      <c r="B60" s="461"/>
      <c r="C60" s="336"/>
      <c r="D60" s="269">
        <f>60+(J55*P51)+(J55*V51)+30</f>
        <v>270</v>
      </c>
      <c r="E60" s="337">
        <f>X48-D60</f>
        <v>60</v>
      </c>
    </row>
  </sheetData>
  <mergeCells count="38">
    <mergeCell ref="U3:V3"/>
    <mergeCell ref="E3:F3"/>
    <mergeCell ref="I3:J3"/>
    <mergeCell ref="K3:L3"/>
    <mergeCell ref="O3:P3"/>
    <mergeCell ref="Q3:R3"/>
    <mergeCell ref="U20:V20"/>
    <mergeCell ref="X7:Y7"/>
    <mergeCell ref="AB7:AC7"/>
    <mergeCell ref="K13:L13"/>
    <mergeCell ref="O13:P13"/>
    <mergeCell ref="Q13:R13"/>
    <mergeCell ref="U13:V13"/>
    <mergeCell ref="E20:F20"/>
    <mergeCell ref="I20:J20"/>
    <mergeCell ref="K20:L20"/>
    <mergeCell ref="O20:P20"/>
    <mergeCell ref="Q20:R20"/>
    <mergeCell ref="U42:V42"/>
    <mergeCell ref="X24:Y24"/>
    <mergeCell ref="AB24:AC24"/>
    <mergeCell ref="K30:L30"/>
    <mergeCell ref="O30:P30"/>
    <mergeCell ref="Q30:R30"/>
    <mergeCell ref="U30:V30"/>
    <mergeCell ref="E42:F42"/>
    <mergeCell ref="I42:J42"/>
    <mergeCell ref="K42:L42"/>
    <mergeCell ref="O42:P42"/>
    <mergeCell ref="Q42:R42"/>
    <mergeCell ref="B57:B60"/>
    <mergeCell ref="W46:X46"/>
    <mergeCell ref="Y46:Z46"/>
    <mergeCell ref="AC46:AD46"/>
    <mergeCell ref="K52:L52"/>
    <mergeCell ref="O52:P52"/>
    <mergeCell ref="Q52:R52"/>
    <mergeCell ref="U52:V52"/>
  </mergeCells>
  <pageMargins left="0.75" right="0.75" top="1" bottom="1" header="0.5" footer="0.5"/>
  <pageSetup orientation="portrait" horizontalDpi="4294967292" verticalDpi="429496729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4FBFD-F3AE-9748-96CF-2C5AD77B036A}">
  <dimension ref="A2:S46"/>
  <sheetViews>
    <sheetView topLeftCell="A6" workbookViewId="0">
      <selection activeCell="J32" sqref="J32"/>
    </sheetView>
  </sheetViews>
  <sheetFormatPr baseColWidth="10" defaultRowHeight="16"/>
  <cols>
    <col min="1" max="1" width="7.33203125" customWidth="1"/>
    <col min="2" max="2" width="9.5" customWidth="1"/>
    <col min="3" max="3" width="8.1640625" customWidth="1"/>
    <col min="4" max="6" width="7.33203125" customWidth="1"/>
    <col min="7" max="7" width="9" customWidth="1"/>
    <col min="8" max="11" width="7.33203125" customWidth="1"/>
    <col min="12" max="12" width="9.1640625" customWidth="1"/>
    <col min="13" max="17" width="7.33203125" customWidth="1"/>
    <col min="21" max="21" width="10.83203125" customWidth="1"/>
  </cols>
  <sheetData>
    <row r="2" spans="1:19">
      <c r="A2" s="282" t="s">
        <v>806</v>
      </c>
    </row>
    <row r="3" spans="1:19">
      <c r="A3" s="338"/>
      <c r="B3" s="338"/>
      <c r="C3" s="338"/>
      <c r="D3" s="338"/>
      <c r="E3" s="225"/>
      <c r="F3" s="338"/>
      <c r="G3" s="338"/>
      <c r="H3" s="338"/>
      <c r="I3" s="338"/>
      <c r="J3" s="225"/>
      <c r="K3" s="338"/>
      <c r="L3" s="338"/>
      <c r="M3" s="338"/>
      <c r="N3" s="338"/>
      <c r="O3" s="338"/>
      <c r="P3" s="225"/>
      <c r="Q3" s="338"/>
    </row>
    <row r="4" spans="1:19">
      <c r="A4" s="225" t="s">
        <v>723</v>
      </c>
      <c r="B4" s="225" t="s">
        <v>807</v>
      </c>
      <c r="C4" s="225" t="s">
        <v>707</v>
      </c>
      <c r="D4" s="225" t="s">
        <v>809</v>
      </c>
      <c r="E4" s="463" t="s">
        <v>817</v>
      </c>
      <c r="F4" s="463"/>
      <c r="G4" s="225" t="s">
        <v>810</v>
      </c>
      <c r="H4" s="225" t="s">
        <v>707</v>
      </c>
      <c r="I4" s="225" t="s">
        <v>809</v>
      </c>
      <c r="J4" s="463" t="s">
        <v>819</v>
      </c>
      <c r="K4" s="463"/>
      <c r="L4" s="225" t="s">
        <v>811</v>
      </c>
      <c r="M4" s="225" t="s">
        <v>707</v>
      </c>
      <c r="N4" s="225" t="s">
        <v>809</v>
      </c>
      <c r="O4" s="463" t="s">
        <v>821</v>
      </c>
      <c r="P4" s="463"/>
      <c r="Q4" s="225" t="s">
        <v>107</v>
      </c>
      <c r="R4" s="225" t="s">
        <v>798</v>
      </c>
    </row>
    <row r="5" spans="1:19">
      <c r="A5" s="339" t="s">
        <v>110</v>
      </c>
      <c r="B5" s="223" t="s">
        <v>859</v>
      </c>
      <c r="C5" s="340">
        <v>0</v>
      </c>
      <c r="D5" s="340">
        <v>0</v>
      </c>
      <c r="E5" s="223">
        <v>2</v>
      </c>
      <c r="F5" s="223">
        <v>12</v>
      </c>
      <c r="G5" s="341" t="s">
        <v>860</v>
      </c>
      <c r="H5" s="340">
        <v>0</v>
      </c>
      <c r="I5" s="340">
        <v>0</v>
      </c>
      <c r="J5" s="223">
        <v>12</v>
      </c>
      <c r="K5" s="223">
        <v>21</v>
      </c>
      <c r="L5" s="223" t="s">
        <v>861</v>
      </c>
      <c r="M5" s="340">
        <v>0</v>
      </c>
      <c r="N5" s="340">
        <v>0</v>
      </c>
      <c r="O5" s="223">
        <v>21</v>
      </c>
      <c r="P5" s="223">
        <v>36</v>
      </c>
      <c r="Q5" s="37">
        <v>4</v>
      </c>
      <c r="R5" s="37">
        <f>Q5-(P5/7.5)</f>
        <v>-0.79999999999999982</v>
      </c>
    </row>
    <row r="6" spans="1:19">
      <c r="A6" s="339" t="s">
        <v>111</v>
      </c>
      <c r="B6" s="341" t="s">
        <v>862</v>
      </c>
      <c r="C6" s="340">
        <v>0</v>
      </c>
      <c r="D6" s="340">
        <f>E6-F5</f>
        <v>3</v>
      </c>
      <c r="E6" s="223">
        <v>15</v>
      </c>
      <c r="F6" s="223">
        <v>21</v>
      </c>
      <c r="G6" s="223" t="s">
        <v>863</v>
      </c>
      <c r="H6" s="340">
        <f>J6-F6</f>
        <v>5</v>
      </c>
      <c r="I6" s="340">
        <f>J6-K5</f>
        <v>5</v>
      </c>
      <c r="J6" s="223">
        <v>26</v>
      </c>
      <c r="K6" s="223">
        <v>30</v>
      </c>
      <c r="L6" s="223" t="s">
        <v>864</v>
      </c>
      <c r="M6" s="340">
        <f>O6-K6</f>
        <v>7</v>
      </c>
      <c r="N6" s="340">
        <f>O6-P5</f>
        <v>1</v>
      </c>
      <c r="O6" s="223">
        <v>37</v>
      </c>
      <c r="P6" s="223">
        <v>45</v>
      </c>
      <c r="Q6" s="37">
        <v>5</v>
      </c>
      <c r="R6" s="37">
        <f>Q6-(P6/7.5)</f>
        <v>-1</v>
      </c>
    </row>
    <row r="7" spans="1:19">
      <c r="A7" s="339" t="s">
        <v>143</v>
      </c>
      <c r="B7" s="223" t="s">
        <v>865</v>
      </c>
      <c r="C7" s="340">
        <v>0</v>
      </c>
      <c r="D7" s="340">
        <f>E7-F6</f>
        <v>1</v>
      </c>
      <c r="E7" s="223">
        <v>22</v>
      </c>
      <c r="F7" s="223">
        <v>29</v>
      </c>
      <c r="G7" s="223" t="s">
        <v>866</v>
      </c>
      <c r="H7" s="340">
        <f>J7-F7</f>
        <v>2</v>
      </c>
      <c r="I7" s="340">
        <f>J7-K6</f>
        <v>1</v>
      </c>
      <c r="J7" s="223">
        <v>31</v>
      </c>
      <c r="K7" s="223">
        <v>33</v>
      </c>
      <c r="L7" s="223" t="s">
        <v>867</v>
      </c>
      <c r="M7" s="340">
        <f>O7-K7</f>
        <v>13</v>
      </c>
      <c r="N7" s="340">
        <f>O7-P6</f>
        <v>1</v>
      </c>
      <c r="O7" s="223">
        <v>46</v>
      </c>
      <c r="P7" s="223">
        <v>56</v>
      </c>
      <c r="Q7" s="37">
        <v>6</v>
      </c>
      <c r="R7" s="308">
        <f>Q7-(P7/7.5)</f>
        <v>-1.4666666666666668</v>
      </c>
    </row>
    <row r="8" spans="1:19">
      <c r="A8" s="339" t="s">
        <v>144</v>
      </c>
      <c r="B8" s="223" t="s">
        <v>868</v>
      </c>
      <c r="C8" s="340">
        <v>0</v>
      </c>
      <c r="D8" s="340">
        <f>E8-F7</f>
        <v>1</v>
      </c>
      <c r="E8" s="223">
        <v>30</v>
      </c>
      <c r="F8" s="223">
        <v>35</v>
      </c>
      <c r="G8" s="223" t="s">
        <v>869</v>
      </c>
      <c r="H8" s="340">
        <f>J8-F8</f>
        <v>2</v>
      </c>
      <c r="I8" s="340">
        <f>J8-K7</f>
        <v>4</v>
      </c>
      <c r="J8" s="223">
        <v>37</v>
      </c>
      <c r="K8" s="223">
        <v>44</v>
      </c>
      <c r="L8" s="223" t="s">
        <v>870</v>
      </c>
      <c r="M8" s="340">
        <f>O8-K8</f>
        <v>17</v>
      </c>
      <c r="N8" s="340">
        <f>O8-P7</f>
        <v>5</v>
      </c>
      <c r="O8" s="223">
        <v>61</v>
      </c>
      <c r="P8" s="223">
        <v>81</v>
      </c>
      <c r="Q8" s="37">
        <v>11</v>
      </c>
      <c r="R8" s="37">
        <f>Q8-(P8/7.5)</f>
        <v>0.19999999999999929</v>
      </c>
    </row>
    <row r="9" spans="1:19">
      <c r="P9" t="s">
        <v>808</v>
      </c>
      <c r="Q9">
        <f>SUM(C5:C8,H5:H8,M5:M8)</f>
        <v>46</v>
      </c>
    </row>
    <row r="10" spans="1:19">
      <c r="P10" t="s">
        <v>809</v>
      </c>
      <c r="Q10">
        <f>SUM(D5:D8,I5:I8,N5:N8)</f>
        <v>22</v>
      </c>
    </row>
    <row r="11" spans="1:19">
      <c r="P11" t="s">
        <v>871</v>
      </c>
      <c r="Q11">
        <f>AVERAGE(R5:R8)</f>
        <v>-0.76666666666666683</v>
      </c>
    </row>
    <row r="13" spans="1:19">
      <c r="A13" s="282" t="s">
        <v>872</v>
      </c>
    </row>
    <row r="14" spans="1:19">
      <c r="A14" s="338"/>
      <c r="B14" s="338"/>
      <c r="C14" s="338"/>
      <c r="D14" s="338"/>
      <c r="E14" s="225"/>
      <c r="F14" s="338"/>
      <c r="G14" s="338"/>
      <c r="H14" s="338"/>
      <c r="I14" s="338"/>
      <c r="J14" s="225"/>
      <c r="K14" s="338"/>
      <c r="L14" s="338"/>
      <c r="M14" s="338"/>
      <c r="N14" s="338"/>
      <c r="O14" s="338"/>
      <c r="P14" s="225"/>
      <c r="Q14" s="338"/>
    </row>
    <row r="15" spans="1:19">
      <c r="A15" s="225" t="s">
        <v>723</v>
      </c>
      <c r="B15" s="225" t="s">
        <v>807</v>
      </c>
      <c r="C15" s="225" t="s">
        <v>707</v>
      </c>
      <c r="D15" s="225" t="s">
        <v>809</v>
      </c>
      <c r="E15" s="463" t="s">
        <v>817</v>
      </c>
      <c r="F15" s="463"/>
      <c r="G15" s="225" t="s">
        <v>810</v>
      </c>
      <c r="H15" s="225" t="s">
        <v>707</v>
      </c>
      <c r="I15" s="225" t="s">
        <v>809</v>
      </c>
      <c r="J15" s="463" t="s">
        <v>819</v>
      </c>
      <c r="K15" s="463"/>
      <c r="L15" s="225" t="s">
        <v>814</v>
      </c>
      <c r="M15" s="225" t="s">
        <v>811</v>
      </c>
      <c r="N15" s="225" t="s">
        <v>707</v>
      </c>
      <c r="O15" s="225" t="s">
        <v>809</v>
      </c>
      <c r="P15" s="463" t="s">
        <v>821</v>
      </c>
      <c r="Q15" s="463"/>
      <c r="R15" s="225" t="s">
        <v>107</v>
      </c>
      <c r="S15" s="225" t="s">
        <v>798</v>
      </c>
    </row>
    <row r="16" spans="1:19">
      <c r="A16" s="339" t="s">
        <v>110</v>
      </c>
      <c r="B16" s="223" t="s">
        <v>859</v>
      </c>
      <c r="C16" s="340">
        <v>0</v>
      </c>
      <c r="D16" s="340">
        <v>0</v>
      </c>
      <c r="E16" s="223">
        <v>2</v>
      </c>
      <c r="F16" s="223">
        <v>12</v>
      </c>
      <c r="G16" s="341" t="s">
        <v>873</v>
      </c>
      <c r="H16" s="340">
        <v>0</v>
      </c>
      <c r="I16" s="340">
        <v>0</v>
      </c>
      <c r="J16" s="223">
        <v>12</v>
      </c>
      <c r="K16" s="223">
        <v>21</v>
      </c>
      <c r="L16" s="342">
        <v>15</v>
      </c>
      <c r="M16" s="223" t="s">
        <v>874</v>
      </c>
      <c r="N16" s="340">
        <v>0</v>
      </c>
      <c r="O16" s="340">
        <v>0</v>
      </c>
      <c r="P16" s="223">
        <v>21</v>
      </c>
      <c r="Q16" s="223">
        <v>36</v>
      </c>
      <c r="R16" s="37">
        <v>4</v>
      </c>
      <c r="S16" s="37">
        <f>R16-(Q16/7.5)</f>
        <v>-0.79999999999999982</v>
      </c>
    </row>
    <row r="17" spans="1:19">
      <c r="A17" s="339" t="s">
        <v>111</v>
      </c>
      <c r="B17" s="341" t="s">
        <v>875</v>
      </c>
      <c r="C17" s="340">
        <v>0</v>
      </c>
      <c r="D17" s="340">
        <f>E17-F16</f>
        <v>13</v>
      </c>
      <c r="E17" s="223">
        <v>25</v>
      </c>
      <c r="F17" s="223">
        <v>31</v>
      </c>
      <c r="G17" s="223" t="s">
        <v>876</v>
      </c>
      <c r="H17" s="340">
        <f>J17-F17</f>
        <v>0</v>
      </c>
      <c r="I17" s="340">
        <f>J17-K16</f>
        <v>10</v>
      </c>
      <c r="J17" s="223">
        <v>31</v>
      </c>
      <c r="K17" s="223">
        <v>35</v>
      </c>
      <c r="L17" s="342">
        <v>9</v>
      </c>
      <c r="M17" s="223" t="s">
        <v>864</v>
      </c>
      <c r="N17" s="340">
        <f>P17-K17</f>
        <v>2</v>
      </c>
      <c r="O17" s="340">
        <f>P17-Q16</f>
        <v>1</v>
      </c>
      <c r="P17" s="223">
        <v>37</v>
      </c>
      <c r="Q17" s="223">
        <v>45</v>
      </c>
      <c r="R17" s="37">
        <v>5</v>
      </c>
      <c r="S17" s="37">
        <f>R17-(Q17/7.5)</f>
        <v>-1</v>
      </c>
    </row>
    <row r="18" spans="1:19">
      <c r="A18" s="339" t="s">
        <v>143</v>
      </c>
      <c r="B18" s="223" t="s">
        <v>877</v>
      </c>
      <c r="C18" s="340">
        <v>0</v>
      </c>
      <c r="D18" s="340">
        <f>E18-F17</f>
        <v>4</v>
      </c>
      <c r="E18" s="223">
        <v>35</v>
      </c>
      <c r="F18" s="223">
        <v>42</v>
      </c>
      <c r="G18" s="223" t="s">
        <v>878</v>
      </c>
      <c r="H18" s="340">
        <f>J18-F18</f>
        <v>0</v>
      </c>
      <c r="I18" s="340">
        <f>J18-K17</f>
        <v>7</v>
      </c>
      <c r="J18" s="223">
        <v>42</v>
      </c>
      <c r="K18" s="223">
        <v>44</v>
      </c>
      <c r="L18" s="342">
        <v>11</v>
      </c>
      <c r="M18" s="223" t="s">
        <v>867</v>
      </c>
      <c r="N18" s="340">
        <f>P18-K18</f>
        <v>2</v>
      </c>
      <c r="O18" s="340">
        <f>P18-Q17</f>
        <v>1</v>
      </c>
      <c r="P18" s="223">
        <v>46</v>
      </c>
      <c r="Q18" s="223">
        <v>56</v>
      </c>
      <c r="R18" s="37">
        <v>6</v>
      </c>
      <c r="S18" s="308">
        <f>R18-(Q18/7.5)</f>
        <v>-1.4666666666666668</v>
      </c>
    </row>
    <row r="19" spans="1:19">
      <c r="A19" s="339" t="s">
        <v>144</v>
      </c>
      <c r="B19" s="223" t="s">
        <v>879</v>
      </c>
      <c r="C19" s="340">
        <v>0</v>
      </c>
      <c r="D19" s="340">
        <f>E19-F18</f>
        <v>1</v>
      </c>
      <c r="E19" s="223">
        <v>43</v>
      </c>
      <c r="F19" s="223">
        <v>48</v>
      </c>
      <c r="G19" s="223" t="s">
        <v>880</v>
      </c>
      <c r="H19" s="340">
        <f>J19-F19</f>
        <v>0</v>
      </c>
      <c r="I19" s="340">
        <f>J19-K18</f>
        <v>4</v>
      </c>
      <c r="J19" s="223">
        <v>48</v>
      </c>
      <c r="K19" s="223">
        <v>55</v>
      </c>
      <c r="L19" s="342">
        <v>21</v>
      </c>
      <c r="M19" s="223" t="s">
        <v>870</v>
      </c>
      <c r="N19" s="340">
        <f>P19-K19</f>
        <v>6</v>
      </c>
      <c r="O19" s="340">
        <f>P19-Q18</f>
        <v>5</v>
      </c>
      <c r="P19" s="223">
        <v>61</v>
      </c>
      <c r="Q19" s="223">
        <v>81</v>
      </c>
      <c r="R19" s="37">
        <v>11</v>
      </c>
      <c r="S19" s="37">
        <f>R19-(Q19/7.5)</f>
        <v>0.19999999999999929</v>
      </c>
    </row>
    <row r="20" spans="1:19">
      <c r="Q20" t="s">
        <v>808</v>
      </c>
      <c r="R20">
        <f>SUM(C16:C19,H16:H19,N16:N19)</f>
        <v>10</v>
      </c>
    </row>
    <row r="21" spans="1:19">
      <c r="Q21" t="s">
        <v>809</v>
      </c>
      <c r="R21">
        <f>SUM(D16:D19,I16:I19,O16:O19)</f>
        <v>46</v>
      </c>
    </row>
    <row r="22" spans="1:19">
      <c r="Q22" t="s">
        <v>871</v>
      </c>
      <c r="R22">
        <f>AVERAGE(S16:S19)</f>
        <v>-0.76666666666666683</v>
      </c>
    </row>
    <row r="25" spans="1:19">
      <c r="A25" s="282" t="s">
        <v>881</v>
      </c>
    </row>
    <row r="26" spans="1:19">
      <c r="A26" s="338"/>
      <c r="B26" s="338"/>
      <c r="C26" s="338"/>
      <c r="D26" s="338"/>
      <c r="E26" s="225"/>
      <c r="F26" s="338"/>
      <c r="G26" s="338"/>
      <c r="H26" s="338"/>
      <c r="I26" s="338"/>
      <c r="J26" s="225"/>
      <c r="K26" s="338"/>
      <c r="L26" s="338"/>
      <c r="M26" s="338"/>
      <c r="N26" s="338"/>
      <c r="O26" s="338"/>
      <c r="P26" s="225"/>
      <c r="Q26" s="338"/>
    </row>
    <row r="27" spans="1:19">
      <c r="A27" s="225" t="s">
        <v>723</v>
      </c>
      <c r="B27" s="225" t="s">
        <v>807</v>
      </c>
      <c r="C27" s="225" t="s">
        <v>707</v>
      </c>
      <c r="D27" s="225" t="s">
        <v>809</v>
      </c>
      <c r="E27" s="463" t="s">
        <v>817</v>
      </c>
      <c r="F27" s="463"/>
      <c r="G27" s="225" t="s">
        <v>810</v>
      </c>
      <c r="H27" s="225" t="s">
        <v>707</v>
      </c>
      <c r="I27" s="225" t="s">
        <v>809</v>
      </c>
      <c r="J27" s="463" t="s">
        <v>819</v>
      </c>
      <c r="K27" s="463"/>
      <c r="L27" s="225" t="s">
        <v>811</v>
      </c>
      <c r="M27" s="225" t="s">
        <v>707</v>
      </c>
      <c r="N27" s="225" t="s">
        <v>809</v>
      </c>
      <c r="O27" s="464" t="s">
        <v>821</v>
      </c>
      <c r="P27" s="464"/>
      <c r="Q27" s="225" t="s">
        <v>107</v>
      </c>
      <c r="R27" s="225" t="s">
        <v>798</v>
      </c>
    </row>
    <row r="28" spans="1:19">
      <c r="A28" s="339" t="s">
        <v>110</v>
      </c>
      <c r="B28" s="223" t="s">
        <v>859</v>
      </c>
      <c r="C28" s="340">
        <v>0</v>
      </c>
      <c r="D28" s="340">
        <v>0</v>
      </c>
      <c r="E28" s="223">
        <v>2</v>
      </c>
      <c r="F28" s="223">
        <f>E28+5</f>
        <v>7</v>
      </c>
      <c r="G28" s="343" t="s">
        <v>882</v>
      </c>
      <c r="H28" s="340">
        <v>0</v>
      </c>
      <c r="I28" s="340">
        <v>0</v>
      </c>
      <c r="J28" s="223">
        <f>F28</f>
        <v>7</v>
      </c>
      <c r="K28" s="223">
        <f>J28+(9/2)</f>
        <v>11.5</v>
      </c>
      <c r="L28" s="223" t="s">
        <v>883</v>
      </c>
      <c r="M28" s="340">
        <v>0</v>
      </c>
      <c r="N28" s="340">
        <v>0</v>
      </c>
      <c r="O28" s="223">
        <f>K28</f>
        <v>11.5</v>
      </c>
      <c r="P28" s="223">
        <f>O28+(15/2)</f>
        <v>19</v>
      </c>
      <c r="Q28" s="37"/>
      <c r="R28" s="37"/>
    </row>
    <row r="29" spans="1:19">
      <c r="A29" s="339"/>
      <c r="B29" s="223"/>
      <c r="C29" s="340" t="s">
        <v>127</v>
      </c>
      <c r="D29" s="340">
        <f>E29-F28</f>
        <v>2.5</v>
      </c>
      <c r="E29" s="223">
        <f>J28+D40</f>
        <v>9.5</v>
      </c>
      <c r="F29" s="223">
        <f t="shared" ref="F29:F35" si="0">J29</f>
        <v>14.5</v>
      </c>
      <c r="G29" s="341" t="s">
        <v>127</v>
      </c>
      <c r="H29" s="340">
        <f>J29-F29</f>
        <v>0</v>
      </c>
      <c r="I29" s="340">
        <f>J29-K28</f>
        <v>3</v>
      </c>
      <c r="J29" s="223">
        <f>O28+E40</f>
        <v>14.5</v>
      </c>
      <c r="K29" s="223">
        <f t="shared" ref="K29:K35" si="1">O29</f>
        <v>19</v>
      </c>
      <c r="L29" s="223" t="s">
        <v>127</v>
      </c>
      <c r="M29" s="340">
        <f>O29-K29</f>
        <v>0</v>
      </c>
      <c r="N29" s="340">
        <f>O29-P28</f>
        <v>0</v>
      </c>
      <c r="O29" s="223">
        <v>19</v>
      </c>
      <c r="P29" s="223">
        <f>O29+(15/2)</f>
        <v>26.5</v>
      </c>
      <c r="Q29" s="37">
        <v>4</v>
      </c>
      <c r="R29" s="308">
        <f>Q29-(P29/7.5)</f>
        <v>0.46666666666666679</v>
      </c>
    </row>
    <row r="30" spans="1:19">
      <c r="A30" s="339" t="s">
        <v>111</v>
      </c>
      <c r="B30" s="341" t="s">
        <v>884</v>
      </c>
      <c r="C30" s="340" t="s">
        <v>127</v>
      </c>
      <c r="D30" s="340">
        <f t="shared" ref="D30:D35" si="2">E30-F29</f>
        <v>8</v>
      </c>
      <c r="E30" s="223">
        <f t="shared" ref="E30:E35" si="3">J29+D41</f>
        <v>22.5</v>
      </c>
      <c r="F30" s="223">
        <f t="shared" si="0"/>
        <v>25.5</v>
      </c>
      <c r="G30" s="223" t="s">
        <v>885</v>
      </c>
      <c r="H30" s="340">
        <f t="shared" ref="H30:H33" si="4">J30-F30</f>
        <v>0</v>
      </c>
      <c r="I30" s="340">
        <f t="shared" ref="I30:I35" si="5">J30-K29</f>
        <v>6.5</v>
      </c>
      <c r="J30" s="223">
        <f t="shared" ref="J30:J35" si="6">O29+E41</f>
        <v>25.5</v>
      </c>
      <c r="K30" s="223">
        <f t="shared" si="1"/>
        <v>27.5</v>
      </c>
      <c r="L30" s="223" t="s">
        <v>886</v>
      </c>
      <c r="M30" s="340">
        <f t="shared" ref="M30:M35" si="7">O30-K30</f>
        <v>0</v>
      </c>
      <c r="N30" s="340">
        <f t="shared" ref="N30:N35" si="8">O30-P29</f>
        <v>1</v>
      </c>
      <c r="O30" s="223">
        <v>27.5</v>
      </c>
      <c r="P30" s="223">
        <f>O30+(8/2)</f>
        <v>31.5</v>
      </c>
      <c r="R30" s="37"/>
    </row>
    <row r="31" spans="1:19">
      <c r="A31" s="339"/>
      <c r="B31" s="341"/>
      <c r="C31" s="340" t="s">
        <v>127</v>
      </c>
      <c r="D31" s="340">
        <f t="shared" si="2"/>
        <v>1</v>
      </c>
      <c r="E31" s="223">
        <f t="shared" si="3"/>
        <v>26.5</v>
      </c>
      <c r="F31" s="223">
        <f t="shared" si="0"/>
        <v>29.5</v>
      </c>
      <c r="G31" s="223" t="s">
        <v>127</v>
      </c>
      <c r="H31" s="340">
        <f t="shared" si="4"/>
        <v>0</v>
      </c>
      <c r="I31" s="340">
        <f t="shared" si="5"/>
        <v>2</v>
      </c>
      <c r="J31" s="223">
        <f t="shared" si="6"/>
        <v>29.5</v>
      </c>
      <c r="K31" s="223">
        <f t="shared" si="1"/>
        <v>31.5</v>
      </c>
      <c r="L31" s="223" t="s">
        <v>127</v>
      </c>
      <c r="M31" s="340">
        <f t="shared" si="7"/>
        <v>0</v>
      </c>
      <c r="N31" s="340">
        <f t="shared" si="8"/>
        <v>0</v>
      </c>
      <c r="O31" s="223">
        <f>P30</f>
        <v>31.5</v>
      </c>
      <c r="P31" s="223">
        <f>O31+(8/2)</f>
        <v>35.5</v>
      </c>
      <c r="Q31" s="37">
        <v>5</v>
      </c>
      <c r="R31" s="308">
        <f>Q31-(P31/7.5)</f>
        <v>0.26666666666666661</v>
      </c>
    </row>
    <row r="32" spans="1:19">
      <c r="A32" s="339" t="s">
        <v>143</v>
      </c>
      <c r="B32" s="223" t="s">
        <v>887</v>
      </c>
      <c r="C32" s="340" t="s">
        <v>127</v>
      </c>
      <c r="D32" s="340">
        <f t="shared" si="2"/>
        <v>2.5</v>
      </c>
      <c r="E32" s="223">
        <f t="shared" si="3"/>
        <v>32</v>
      </c>
      <c r="F32" s="223">
        <f t="shared" si="0"/>
        <v>35.5</v>
      </c>
      <c r="G32" s="223" t="s">
        <v>888</v>
      </c>
      <c r="H32" s="340">
        <f t="shared" si="4"/>
        <v>0</v>
      </c>
      <c r="I32" s="340">
        <f t="shared" si="5"/>
        <v>4</v>
      </c>
      <c r="J32" s="223">
        <f t="shared" si="6"/>
        <v>35.5</v>
      </c>
      <c r="K32" s="223">
        <f t="shared" si="1"/>
        <v>36.5</v>
      </c>
      <c r="L32" s="223" t="s">
        <v>889</v>
      </c>
      <c r="M32" s="340">
        <f t="shared" si="7"/>
        <v>0</v>
      </c>
      <c r="N32" s="340">
        <f t="shared" si="8"/>
        <v>1</v>
      </c>
      <c r="O32" s="223">
        <f>P31+1</f>
        <v>36.5</v>
      </c>
      <c r="P32" s="223">
        <f>O32+(10/2)</f>
        <v>41.5</v>
      </c>
      <c r="R32" s="37"/>
    </row>
    <row r="33" spans="1:18">
      <c r="A33" s="339"/>
      <c r="B33" s="223"/>
      <c r="C33" s="340" t="s">
        <v>127</v>
      </c>
      <c r="D33" s="340">
        <f t="shared" si="2"/>
        <v>1.5</v>
      </c>
      <c r="E33" s="223">
        <f t="shared" si="3"/>
        <v>37</v>
      </c>
      <c r="F33" s="223">
        <f t="shared" si="0"/>
        <v>40.5</v>
      </c>
      <c r="G33" s="223" t="s">
        <v>127</v>
      </c>
      <c r="H33" s="340">
        <f t="shared" si="4"/>
        <v>0</v>
      </c>
      <c r="I33" s="340">
        <f t="shared" si="5"/>
        <v>4</v>
      </c>
      <c r="J33" s="223">
        <f t="shared" si="6"/>
        <v>40.5</v>
      </c>
      <c r="K33" s="223">
        <f t="shared" si="1"/>
        <v>41.5</v>
      </c>
      <c r="L33" s="223" t="s">
        <v>127</v>
      </c>
      <c r="M33" s="340">
        <f t="shared" si="7"/>
        <v>0</v>
      </c>
      <c r="N33" s="340">
        <f t="shared" si="8"/>
        <v>0</v>
      </c>
      <c r="O33" s="223">
        <f>P32</f>
        <v>41.5</v>
      </c>
      <c r="P33" s="223">
        <f>O33+(10/2)</f>
        <v>46.5</v>
      </c>
      <c r="Q33" s="37">
        <v>6</v>
      </c>
      <c r="R33" s="308">
        <f>Q33-(P33/7.5)</f>
        <v>-0.20000000000000018</v>
      </c>
    </row>
    <row r="34" spans="1:18">
      <c r="A34" s="339" t="s">
        <v>144</v>
      </c>
      <c r="B34" s="223" t="s">
        <v>890</v>
      </c>
      <c r="C34" s="340" t="s">
        <v>127</v>
      </c>
      <c r="D34" s="340">
        <f t="shared" si="2"/>
        <v>5</v>
      </c>
      <c r="E34" s="223">
        <f t="shared" si="3"/>
        <v>45.5</v>
      </c>
      <c r="F34" s="223">
        <f t="shared" si="0"/>
        <v>48</v>
      </c>
      <c r="G34" s="223" t="s">
        <v>880</v>
      </c>
      <c r="H34" s="340">
        <f>J34-F34</f>
        <v>0</v>
      </c>
      <c r="I34" s="340">
        <f t="shared" si="5"/>
        <v>6.5</v>
      </c>
      <c r="J34" s="223">
        <f t="shared" si="6"/>
        <v>48</v>
      </c>
      <c r="K34" s="223">
        <f t="shared" si="1"/>
        <v>51.5</v>
      </c>
      <c r="L34" s="223" t="s">
        <v>891</v>
      </c>
      <c r="M34" s="340">
        <f t="shared" si="7"/>
        <v>0</v>
      </c>
      <c r="N34" s="340">
        <f t="shared" si="8"/>
        <v>5</v>
      </c>
      <c r="O34" s="223">
        <v>51.5</v>
      </c>
      <c r="P34" s="223">
        <f>O34+(20/2)</f>
        <v>61.5</v>
      </c>
      <c r="Q34" s="37"/>
      <c r="R34" s="37"/>
    </row>
    <row r="35" spans="1:18">
      <c r="B35" s="223"/>
      <c r="C35" s="340" t="s">
        <v>127</v>
      </c>
      <c r="D35" s="340">
        <f t="shared" si="2"/>
        <v>7.5</v>
      </c>
      <c r="E35" s="223">
        <f t="shared" si="3"/>
        <v>55.5</v>
      </c>
      <c r="F35" s="223">
        <f t="shared" si="0"/>
        <v>58</v>
      </c>
      <c r="G35" s="223" t="s">
        <v>127</v>
      </c>
      <c r="H35" s="340">
        <f t="shared" ref="H35" si="9">J35-F35</f>
        <v>0</v>
      </c>
      <c r="I35" s="340">
        <f t="shared" si="5"/>
        <v>6.5</v>
      </c>
      <c r="J35" s="223">
        <f t="shared" si="6"/>
        <v>58</v>
      </c>
      <c r="K35" s="223">
        <f t="shared" si="1"/>
        <v>61.5</v>
      </c>
      <c r="L35" s="223" t="s">
        <v>127</v>
      </c>
      <c r="M35" s="340">
        <f t="shared" si="7"/>
        <v>0</v>
      </c>
      <c r="N35" s="340">
        <f t="shared" si="8"/>
        <v>0</v>
      </c>
      <c r="O35" s="223">
        <f>P34</f>
        <v>61.5</v>
      </c>
      <c r="P35" s="223">
        <f>O35+(20/2)</f>
        <v>71.5</v>
      </c>
      <c r="Q35" s="37">
        <v>11</v>
      </c>
      <c r="R35" s="308">
        <f>Q35-(P35/7.5)</f>
        <v>1.4666666666666668</v>
      </c>
    </row>
    <row r="38" spans="1:18">
      <c r="C38" s="451" t="s">
        <v>892</v>
      </c>
      <c r="D38" s="452"/>
      <c r="E38" s="453"/>
    </row>
    <row r="39" spans="1:18">
      <c r="C39" s="36" t="s">
        <v>893</v>
      </c>
      <c r="D39" s="37" t="s">
        <v>894</v>
      </c>
      <c r="E39" s="37" t="s">
        <v>895</v>
      </c>
    </row>
    <row r="40" spans="1:18">
      <c r="C40" s="37" t="s">
        <v>110</v>
      </c>
      <c r="D40" s="37">
        <v>2.5</v>
      </c>
      <c r="E40" s="37">
        <v>3</v>
      </c>
    </row>
    <row r="41" spans="1:18">
      <c r="C41" s="37" t="s">
        <v>110</v>
      </c>
      <c r="D41" s="37">
        <v>8</v>
      </c>
      <c r="E41" s="37">
        <v>6.5</v>
      </c>
    </row>
    <row r="42" spans="1:18">
      <c r="C42" s="37" t="s">
        <v>111</v>
      </c>
      <c r="D42" s="37">
        <v>1</v>
      </c>
      <c r="E42" s="37">
        <v>2</v>
      </c>
    </row>
    <row r="43" spans="1:18">
      <c r="C43" s="37" t="s">
        <v>111</v>
      </c>
      <c r="D43" s="37">
        <v>2.5</v>
      </c>
      <c r="E43" s="37">
        <v>4</v>
      </c>
    </row>
    <row r="44" spans="1:18">
      <c r="C44" s="37" t="s">
        <v>143</v>
      </c>
      <c r="D44" s="37">
        <v>1.5</v>
      </c>
      <c r="E44" s="37">
        <v>4</v>
      </c>
    </row>
    <row r="45" spans="1:18">
      <c r="C45" s="37" t="s">
        <v>143</v>
      </c>
      <c r="D45" s="37">
        <v>5</v>
      </c>
      <c r="E45" s="37">
        <v>6.5</v>
      </c>
    </row>
    <row r="46" spans="1:18">
      <c r="C46" s="37" t="s">
        <v>144</v>
      </c>
      <c r="D46" s="37">
        <v>7.5</v>
      </c>
      <c r="E46" s="37">
        <v>6.5</v>
      </c>
    </row>
  </sheetData>
  <mergeCells count="10">
    <mergeCell ref="E27:F27"/>
    <mergeCell ref="J27:K27"/>
    <mergeCell ref="O27:P27"/>
    <mergeCell ref="C38:E38"/>
    <mergeCell ref="E4:F4"/>
    <mergeCell ref="J4:K4"/>
    <mergeCell ref="O4:P4"/>
    <mergeCell ref="E15:F15"/>
    <mergeCell ref="J15:K15"/>
    <mergeCell ref="P15:Q15"/>
  </mergeCells>
  <pageMargins left="0.75" right="0.75" top="1" bottom="1" header="0.5" footer="0.5"/>
  <pageSetup orientation="portrait" horizontalDpi="4294967292" verticalDpi="4294967292"/>
  <ignoredErrors>
    <ignoredError sqref="O32" formula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70FE0-3688-9549-B3D2-FE040BB9A7C3}">
  <dimension ref="B2:S42"/>
  <sheetViews>
    <sheetView zoomScale="75" zoomScaleNormal="75" zoomScalePageLayoutView="75" workbookViewId="0">
      <selection activeCell="H25" sqref="H25"/>
    </sheetView>
  </sheetViews>
  <sheetFormatPr baseColWidth="10" defaultRowHeight="16"/>
  <cols>
    <col min="1" max="1" width="4.83203125" customWidth="1"/>
    <col min="2" max="2" width="12.83203125" bestFit="1" customWidth="1"/>
    <col min="3" max="15" width="10.83203125" style="47"/>
  </cols>
  <sheetData>
    <row r="2" spans="2:19" ht="24">
      <c r="B2" s="468" t="s">
        <v>896</v>
      </c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</row>
    <row r="3" spans="2:19" ht="24">
      <c r="B3" s="344"/>
      <c r="C3" s="345"/>
      <c r="D3" s="345"/>
      <c r="K3" s="345"/>
      <c r="L3" s="345"/>
      <c r="M3" s="345"/>
      <c r="N3" s="345"/>
      <c r="O3" s="345"/>
    </row>
    <row r="4" spans="2:19" ht="24">
      <c r="B4" s="346" t="s">
        <v>373</v>
      </c>
      <c r="C4" s="347" t="s">
        <v>377</v>
      </c>
      <c r="D4" s="467" t="s">
        <v>807</v>
      </c>
      <c r="E4" s="467"/>
      <c r="F4" s="467" t="s">
        <v>829</v>
      </c>
      <c r="G4" s="467"/>
      <c r="H4" s="467" t="s">
        <v>810</v>
      </c>
      <c r="I4" s="467"/>
      <c r="J4" s="467" t="s">
        <v>830</v>
      </c>
      <c r="K4" s="467"/>
      <c r="L4" s="467" t="s">
        <v>831</v>
      </c>
      <c r="M4" s="467"/>
      <c r="N4" s="467" t="s">
        <v>832</v>
      </c>
      <c r="O4" s="467"/>
      <c r="Q4" s="348" t="s">
        <v>509</v>
      </c>
      <c r="R4" s="348" t="s">
        <v>897</v>
      </c>
      <c r="S4" s="348" t="s">
        <v>898</v>
      </c>
    </row>
    <row r="5" spans="2:19" ht="24">
      <c r="B5" s="465">
        <v>110</v>
      </c>
      <c r="C5" s="347">
        <v>250</v>
      </c>
      <c r="D5" s="347">
        <v>0</v>
      </c>
      <c r="E5" s="347">
        <v>1</v>
      </c>
      <c r="F5" s="347">
        <v>1</v>
      </c>
      <c r="G5" s="347">
        <v>13.5</v>
      </c>
      <c r="H5" s="347">
        <v>12.5</v>
      </c>
      <c r="I5" s="347">
        <v>13.5</v>
      </c>
      <c r="J5" s="347">
        <v>13.5</v>
      </c>
      <c r="K5" s="347">
        <v>30.166666666666668</v>
      </c>
      <c r="L5" s="347">
        <v>50</v>
      </c>
      <c r="M5" s="347">
        <v>51</v>
      </c>
      <c r="N5" s="347">
        <v>51</v>
      </c>
      <c r="O5" s="347">
        <v>92.666666666666657</v>
      </c>
      <c r="Q5" s="348">
        <v>1</v>
      </c>
      <c r="R5" s="348">
        <v>3</v>
      </c>
      <c r="S5" s="349">
        <f>R5/60</f>
        <v>0.05</v>
      </c>
    </row>
    <row r="6" spans="2:19" ht="24">
      <c r="B6" s="466"/>
      <c r="C6" s="347">
        <v>250</v>
      </c>
      <c r="D6" s="347" t="s">
        <v>127</v>
      </c>
      <c r="E6" s="347" t="s">
        <v>127</v>
      </c>
      <c r="F6" s="347">
        <v>63.499999999999986</v>
      </c>
      <c r="G6" s="347">
        <v>75.999999999999986</v>
      </c>
      <c r="H6" s="347" t="s">
        <v>127</v>
      </c>
      <c r="I6" s="347" t="s">
        <v>127</v>
      </c>
      <c r="J6" s="347">
        <v>75.999999999999986</v>
      </c>
      <c r="K6" s="347">
        <v>92.666666666666657</v>
      </c>
      <c r="L6" s="347" t="s">
        <v>127</v>
      </c>
      <c r="M6" s="347" t="s">
        <v>127</v>
      </c>
      <c r="N6" s="347">
        <v>92.666666666666657</v>
      </c>
      <c r="O6" s="347">
        <v>134.33333333333331</v>
      </c>
      <c r="Q6" s="348">
        <v>2</v>
      </c>
      <c r="R6" s="348">
        <v>4</v>
      </c>
      <c r="S6" s="349">
        <f t="shared" ref="S6:S9" si="0">R6/60</f>
        <v>6.6666666666666666E-2</v>
      </c>
    </row>
    <row r="7" spans="2:19" ht="24">
      <c r="B7" s="465">
        <v>120</v>
      </c>
      <c r="C7" s="347">
        <v>250</v>
      </c>
      <c r="D7" s="347">
        <v>105.16666666666664</v>
      </c>
      <c r="E7" s="347">
        <v>106.16666666666664</v>
      </c>
      <c r="F7" s="347">
        <v>106.16666666666664</v>
      </c>
      <c r="G7" s="347">
        <v>118.66666666666664</v>
      </c>
      <c r="H7" s="347">
        <v>117.66666666666664</v>
      </c>
      <c r="I7" s="347">
        <v>118.66666666666664</v>
      </c>
      <c r="J7" s="347">
        <v>118.66666666666664</v>
      </c>
      <c r="K7" s="347">
        <v>135.33333333333331</v>
      </c>
      <c r="L7" s="347">
        <v>134.33333333333331</v>
      </c>
      <c r="M7" s="347">
        <v>135.33333333333331</v>
      </c>
      <c r="N7" s="347">
        <v>135.33333333333331</v>
      </c>
      <c r="O7" s="347">
        <v>176.99999999999997</v>
      </c>
      <c r="Q7" s="348">
        <v>3</v>
      </c>
      <c r="R7" s="348">
        <v>4</v>
      </c>
      <c r="S7" s="349">
        <f t="shared" si="0"/>
        <v>6.6666666666666666E-2</v>
      </c>
    </row>
    <row r="8" spans="2:19" ht="24">
      <c r="B8" s="466"/>
      <c r="C8" s="347">
        <v>250</v>
      </c>
      <c r="D8" s="347" t="s">
        <v>127</v>
      </c>
      <c r="E8" s="347" t="s">
        <v>127</v>
      </c>
      <c r="F8" s="347">
        <v>147.83333333333331</v>
      </c>
      <c r="G8" s="347">
        <v>160.33333333333331</v>
      </c>
      <c r="H8" s="347" t="s">
        <v>127</v>
      </c>
      <c r="I8" s="347" t="s">
        <v>127</v>
      </c>
      <c r="J8" s="347">
        <v>160.33333333333331</v>
      </c>
      <c r="K8" s="347">
        <v>176.99999999999997</v>
      </c>
      <c r="L8" s="347" t="s">
        <v>127</v>
      </c>
      <c r="M8" s="347" t="s">
        <v>127</v>
      </c>
      <c r="N8" s="347">
        <v>176.99999999999997</v>
      </c>
      <c r="O8" s="347">
        <v>218.66666666666663</v>
      </c>
      <c r="Q8" s="348">
        <v>4</v>
      </c>
      <c r="R8" s="348">
        <v>8</v>
      </c>
      <c r="S8" s="349">
        <f t="shared" si="0"/>
        <v>0.13333333333333333</v>
      </c>
    </row>
    <row r="9" spans="2:19" ht="24">
      <c r="B9" s="465">
        <v>130</v>
      </c>
      <c r="C9" s="347">
        <v>375</v>
      </c>
      <c r="D9" s="347">
        <v>174.91666666666663</v>
      </c>
      <c r="E9" s="347">
        <v>175.91666666666663</v>
      </c>
      <c r="F9" s="347">
        <v>175.91666666666663</v>
      </c>
      <c r="G9" s="347">
        <v>194.66666666666663</v>
      </c>
      <c r="H9" s="347">
        <v>193.66666666666663</v>
      </c>
      <c r="I9" s="347">
        <v>194.66666666666663</v>
      </c>
      <c r="J9" s="347">
        <v>194.66666666666663</v>
      </c>
      <c r="K9" s="347">
        <v>219.66666666666663</v>
      </c>
      <c r="L9" s="347">
        <v>218.66666666666663</v>
      </c>
      <c r="M9" s="347">
        <v>219.66666666666663</v>
      </c>
      <c r="N9" s="347">
        <v>219.66666666666663</v>
      </c>
      <c r="O9" s="347">
        <v>282.16666666666663</v>
      </c>
      <c r="Q9" s="348">
        <v>5</v>
      </c>
      <c r="R9" s="348">
        <v>10</v>
      </c>
      <c r="S9" s="349">
        <f t="shared" si="0"/>
        <v>0.16666666666666666</v>
      </c>
    </row>
    <row r="10" spans="2:19" ht="24">
      <c r="B10" s="466"/>
      <c r="C10" s="347">
        <v>375</v>
      </c>
      <c r="D10" s="347" t="s">
        <v>127</v>
      </c>
      <c r="E10" s="347" t="s">
        <v>127</v>
      </c>
      <c r="F10" s="347">
        <v>238.41666666666663</v>
      </c>
      <c r="G10" s="347">
        <v>257.16666666666663</v>
      </c>
      <c r="H10" s="347" t="s">
        <v>127</v>
      </c>
      <c r="I10" s="347" t="s">
        <v>127</v>
      </c>
      <c r="J10" s="347">
        <v>257.16666666666663</v>
      </c>
      <c r="K10" s="347">
        <v>282.16666666666663</v>
      </c>
      <c r="L10" s="347" t="s">
        <v>127</v>
      </c>
      <c r="M10" s="347" t="s">
        <v>127</v>
      </c>
      <c r="N10" s="347">
        <v>282.16666666666663</v>
      </c>
      <c r="O10" s="347">
        <v>344.66666666666663</v>
      </c>
      <c r="R10" s="47"/>
      <c r="S10" s="47"/>
    </row>
    <row r="11" spans="2:19" ht="19">
      <c r="Q11" s="350" t="s">
        <v>899</v>
      </c>
      <c r="R11" s="351">
        <v>1</v>
      </c>
      <c r="S11" s="47"/>
    </row>
    <row r="12" spans="2:19" ht="24">
      <c r="C12" s="345"/>
      <c r="D12" s="345"/>
      <c r="K12" s="345"/>
      <c r="L12" s="345"/>
    </row>
    <row r="13" spans="2:19" ht="24">
      <c r="B13" s="346" t="s">
        <v>373</v>
      </c>
      <c r="C13" s="347" t="s">
        <v>377</v>
      </c>
      <c r="D13" s="467" t="s">
        <v>811</v>
      </c>
      <c r="E13" s="467"/>
      <c r="F13" s="467" t="s">
        <v>842</v>
      </c>
      <c r="G13" s="467"/>
      <c r="H13" s="467" t="s">
        <v>843</v>
      </c>
      <c r="I13" s="467"/>
      <c r="J13" s="467" t="s">
        <v>844</v>
      </c>
      <c r="K13" s="467"/>
      <c r="L13"/>
      <c r="M13"/>
      <c r="N13"/>
      <c r="O13"/>
    </row>
    <row r="14" spans="2:19" ht="24">
      <c r="B14" s="465">
        <v>110</v>
      </c>
      <c r="C14" s="347">
        <v>250</v>
      </c>
      <c r="D14" s="347">
        <v>0</v>
      </c>
      <c r="E14" s="347">
        <v>1</v>
      </c>
      <c r="F14" s="347">
        <v>1</v>
      </c>
      <c r="G14" s="347">
        <v>17.666666666666668</v>
      </c>
      <c r="H14" s="347">
        <v>16.666666666666668</v>
      </c>
      <c r="I14" s="347">
        <v>17.666666666666668</v>
      </c>
      <c r="J14" s="347">
        <v>17.666666666666668</v>
      </c>
      <c r="K14" s="347">
        <v>51</v>
      </c>
      <c r="L14"/>
      <c r="M14"/>
      <c r="N14"/>
      <c r="O14"/>
    </row>
    <row r="15" spans="2:19" ht="24">
      <c r="B15" s="466"/>
      <c r="C15" s="347">
        <v>250</v>
      </c>
      <c r="D15" s="347" t="s">
        <v>127</v>
      </c>
      <c r="E15" s="347" t="s">
        <v>127</v>
      </c>
      <c r="F15" s="347">
        <v>42.666666666666657</v>
      </c>
      <c r="G15" s="347">
        <v>59.333333333333329</v>
      </c>
      <c r="H15" s="347" t="s">
        <v>127</v>
      </c>
      <c r="I15" s="347" t="s">
        <v>127</v>
      </c>
      <c r="J15" s="347">
        <v>59.333333333333321</v>
      </c>
      <c r="K15" s="347">
        <v>92.666666666666657</v>
      </c>
      <c r="L15"/>
      <c r="M15"/>
      <c r="N15"/>
      <c r="O15"/>
    </row>
    <row r="16" spans="2:19" ht="24">
      <c r="B16" s="465">
        <v>120</v>
      </c>
      <c r="C16" s="347">
        <v>250</v>
      </c>
      <c r="D16" s="347">
        <v>84.3333333333333</v>
      </c>
      <c r="E16" s="347">
        <v>85.3333333333333</v>
      </c>
      <c r="F16" s="347">
        <v>85.3333333333333</v>
      </c>
      <c r="G16" s="347">
        <v>101.99999999999997</v>
      </c>
      <c r="H16" s="347">
        <v>100.99999999999997</v>
      </c>
      <c r="I16" s="347">
        <v>101.99999999999997</v>
      </c>
      <c r="J16" s="347">
        <v>101.99999999999997</v>
      </c>
      <c r="K16" s="347">
        <v>135.33333333333331</v>
      </c>
      <c r="L16"/>
      <c r="M16"/>
      <c r="N16"/>
      <c r="O16"/>
    </row>
    <row r="17" spans="2:15" ht="24">
      <c r="B17" s="466"/>
      <c r="C17" s="347">
        <v>250</v>
      </c>
      <c r="D17" s="347" t="s">
        <v>127</v>
      </c>
      <c r="E17" s="347" t="s">
        <v>127</v>
      </c>
      <c r="F17" s="347">
        <v>126.99999999999996</v>
      </c>
      <c r="G17" s="347">
        <v>143.66666666666663</v>
      </c>
      <c r="H17" s="347" t="s">
        <v>127</v>
      </c>
      <c r="I17" s="347" t="s">
        <v>127</v>
      </c>
      <c r="J17" s="347">
        <v>143.66666666666663</v>
      </c>
      <c r="K17" s="347">
        <v>176.99999999999997</v>
      </c>
      <c r="L17"/>
      <c r="M17"/>
      <c r="N17"/>
      <c r="O17"/>
    </row>
    <row r="18" spans="2:15" ht="24">
      <c r="B18" s="465">
        <v>130</v>
      </c>
      <c r="C18" s="347">
        <v>375</v>
      </c>
      <c r="D18" s="347">
        <v>143.66666666666663</v>
      </c>
      <c r="E18" s="347">
        <v>144.66666666666663</v>
      </c>
      <c r="F18" s="347">
        <v>144.66666666666663</v>
      </c>
      <c r="G18" s="347">
        <v>169.66666666666663</v>
      </c>
      <c r="H18" s="347">
        <v>168.66666666666663</v>
      </c>
      <c r="I18" s="347">
        <v>169.66666666666663</v>
      </c>
      <c r="J18" s="347">
        <v>169.66666666666663</v>
      </c>
      <c r="K18" s="347">
        <v>219.66666666666663</v>
      </c>
      <c r="L18"/>
      <c r="M18"/>
      <c r="N18"/>
      <c r="O18"/>
    </row>
    <row r="19" spans="2:15" ht="24">
      <c r="B19" s="466"/>
      <c r="C19" s="347">
        <v>375</v>
      </c>
      <c r="D19" s="347" t="s">
        <v>127</v>
      </c>
      <c r="E19" s="347" t="s">
        <v>127</v>
      </c>
      <c r="F19" s="347">
        <v>207.16666666666663</v>
      </c>
      <c r="G19" s="347">
        <v>232.16666666666663</v>
      </c>
      <c r="H19" s="347" t="s">
        <v>127</v>
      </c>
      <c r="I19" s="347" t="s">
        <v>127</v>
      </c>
      <c r="J19" s="347">
        <v>232.16666666666663</v>
      </c>
      <c r="K19" s="347">
        <v>282.16666666666663</v>
      </c>
      <c r="L19"/>
      <c r="M19"/>
      <c r="N19"/>
      <c r="O19"/>
    </row>
    <row r="22" spans="2:15" ht="24">
      <c r="B22" s="468" t="s">
        <v>900</v>
      </c>
      <c r="C22" s="468"/>
      <c r="D22" s="468"/>
      <c r="E22" s="468"/>
      <c r="F22" s="468"/>
      <c r="G22" s="468"/>
      <c r="H22" s="468"/>
      <c r="I22" s="468"/>
      <c r="J22" s="468"/>
      <c r="K22" s="468"/>
      <c r="L22" s="468"/>
      <c r="M22" s="468"/>
      <c r="N22" s="468"/>
      <c r="O22" s="468"/>
    </row>
    <row r="23" spans="2:15" ht="24">
      <c r="B23" s="344"/>
      <c r="C23" s="345"/>
      <c r="D23" s="345"/>
      <c r="K23" s="345"/>
      <c r="L23" s="345"/>
      <c r="M23" s="345"/>
      <c r="N23" s="345"/>
      <c r="O23" s="345"/>
    </row>
    <row r="24" spans="2:15" ht="24">
      <c r="B24" s="346" t="s">
        <v>373</v>
      </c>
      <c r="C24" s="347" t="s">
        <v>377</v>
      </c>
      <c r="D24" s="467" t="s">
        <v>807</v>
      </c>
      <c r="E24" s="467"/>
      <c r="F24" s="467" t="s">
        <v>829</v>
      </c>
      <c r="G24" s="467"/>
      <c r="H24" s="467" t="s">
        <v>810</v>
      </c>
      <c r="I24" s="467"/>
      <c r="J24" s="467" t="s">
        <v>830</v>
      </c>
      <c r="K24" s="467"/>
      <c r="L24" s="467" t="s">
        <v>831</v>
      </c>
      <c r="M24" s="467"/>
      <c r="N24" s="467" t="s">
        <v>832</v>
      </c>
      <c r="O24" s="467"/>
    </row>
    <row r="25" spans="2:15" ht="24">
      <c r="B25" s="465">
        <v>110</v>
      </c>
      <c r="C25" s="347">
        <v>250</v>
      </c>
      <c r="D25" s="347">
        <v>0</v>
      </c>
      <c r="E25" s="347">
        <f>D25+C42</f>
        <v>1</v>
      </c>
      <c r="F25" s="347">
        <f>E25</f>
        <v>1</v>
      </c>
      <c r="G25" s="347">
        <f t="shared" ref="G25:G30" si="1">F25+($S$5*C25)</f>
        <v>13.5</v>
      </c>
      <c r="H25" s="347">
        <f>G25-C42</f>
        <v>12.5</v>
      </c>
      <c r="I25" s="347">
        <f>H25+C42</f>
        <v>13.5</v>
      </c>
      <c r="J25" s="347">
        <f>I25</f>
        <v>13.5</v>
      </c>
      <c r="K25" s="347">
        <f t="shared" ref="K25:K30" si="2">J25+($S$6*C25)</f>
        <v>30.166666666666668</v>
      </c>
      <c r="L25" s="347">
        <f>K34</f>
        <v>51</v>
      </c>
      <c r="M25" s="347">
        <f>L25+C42</f>
        <v>52</v>
      </c>
      <c r="N25" s="347">
        <f>M25</f>
        <v>52</v>
      </c>
      <c r="O25" s="347">
        <f t="shared" ref="O25:O30" si="3">N25+($S$9*C25)</f>
        <v>93.666666666666657</v>
      </c>
    </row>
    <row r="26" spans="2:15" ht="24">
      <c r="B26" s="466"/>
      <c r="C26" s="347">
        <v>250</v>
      </c>
      <c r="D26" s="347" t="s">
        <v>127</v>
      </c>
      <c r="E26" s="347" t="s">
        <v>127</v>
      </c>
      <c r="F26" s="347">
        <f>+G25</f>
        <v>13.5</v>
      </c>
      <c r="G26" s="347">
        <f t="shared" si="1"/>
        <v>26</v>
      </c>
      <c r="H26" s="347" t="s">
        <v>127</v>
      </c>
      <c r="I26" s="347" t="s">
        <v>127</v>
      </c>
      <c r="J26" s="347">
        <f>+K25</f>
        <v>30.166666666666668</v>
      </c>
      <c r="K26" s="347">
        <f t="shared" si="2"/>
        <v>46.833333333333336</v>
      </c>
      <c r="L26" s="347" t="s">
        <v>127</v>
      </c>
      <c r="M26" s="347" t="s">
        <v>127</v>
      </c>
      <c r="N26" s="347">
        <f>+O25</f>
        <v>93.666666666666657</v>
      </c>
      <c r="O26" s="347">
        <f t="shared" si="3"/>
        <v>135.33333333333331</v>
      </c>
    </row>
    <row r="27" spans="2:15" ht="24">
      <c r="B27" s="465">
        <v>120</v>
      </c>
      <c r="C27" s="347">
        <v>250</v>
      </c>
      <c r="D27" s="347">
        <f>+G26</f>
        <v>26</v>
      </c>
      <c r="E27" s="347">
        <f>+D27+C42</f>
        <v>27</v>
      </c>
      <c r="F27" s="347">
        <f>+E27</f>
        <v>27</v>
      </c>
      <c r="G27" s="347">
        <f t="shared" si="1"/>
        <v>39.5</v>
      </c>
      <c r="H27" s="347">
        <f>+K26</f>
        <v>46.833333333333336</v>
      </c>
      <c r="I27" s="347">
        <f>+H27+C42</f>
        <v>47.833333333333336</v>
      </c>
      <c r="J27" s="347">
        <f>+I27</f>
        <v>47.833333333333336</v>
      </c>
      <c r="K27" s="347">
        <f t="shared" si="2"/>
        <v>64.5</v>
      </c>
      <c r="L27" s="347">
        <f>O26</f>
        <v>135.33333333333331</v>
      </c>
      <c r="M27" s="347">
        <f>L27+C42</f>
        <v>136.33333333333331</v>
      </c>
      <c r="N27" s="347">
        <f t="shared" ref="N27:N29" si="4">MAX(K27,K36,M27)</f>
        <v>136.33333333333331</v>
      </c>
      <c r="O27" s="347">
        <f t="shared" si="3"/>
        <v>177.99999999999997</v>
      </c>
    </row>
    <row r="28" spans="2:15" ht="24">
      <c r="B28" s="466"/>
      <c r="C28" s="347">
        <v>250</v>
      </c>
      <c r="D28" s="347" t="s">
        <v>127</v>
      </c>
      <c r="E28" s="347" t="s">
        <v>127</v>
      </c>
      <c r="F28" s="347">
        <f>+G27</f>
        <v>39.5</v>
      </c>
      <c r="G28" s="347">
        <f t="shared" si="1"/>
        <v>52</v>
      </c>
      <c r="H28" s="347" t="s">
        <v>127</v>
      </c>
      <c r="I28" s="347" t="s">
        <v>127</v>
      </c>
      <c r="J28" s="347">
        <f>+K27</f>
        <v>64.5</v>
      </c>
      <c r="K28" s="347">
        <f t="shared" si="2"/>
        <v>81.166666666666671</v>
      </c>
      <c r="L28" s="347" t="s">
        <v>127</v>
      </c>
      <c r="M28" s="347" t="s">
        <v>127</v>
      </c>
      <c r="N28" s="347">
        <f>+O27</f>
        <v>177.99999999999997</v>
      </c>
      <c r="O28" s="347">
        <f t="shared" si="3"/>
        <v>219.66666666666663</v>
      </c>
    </row>
    <row r="29" spans="2:15" ht="24">
      <c r="B29" s="465">
        <v>130</v>
      </c>
      <c r="C29" s="347">
        <v>375</v>
      </c>
      <c r="D29" s="347">
        <f>+G28</f>
        <v>52</v>
      </c>
      <c r="E29" s="347">
        <f>+D29+C42</f>
        <v>53</v>
      </c>
      <c r="F29" s="347">
        <f>+E29</f>
        <v>53</v>
      </c>
      <c r="G29" s="347">
        <f t="shared" si="1"/>
        <v>71.75</v>
      </c>
      <c r="H29" s="347">
        <f>+K28</f>
        <v>81.166666666666671</v>
      </c>
      <c r="I29" s="347">
        <f>+H29+C42</f>
        <v>82.166666666666671</v>
      </c>
      <c r="J29" s="347">
        <f>+I29</f>
        <v>82.166666666666671</v>
      </c>
      <c r="K29" s="347">
        <f t="shared" si="2"/>
        <v>107.16666666666667</v>
      </c>
      <c r="L29" s="347">
        <f>O28</f>
        <v>219.66666666666663</v>
      </c>
      <c r="M29" s="347">
        <f>L29+C42</f>
        <v>220.66666666666663</v>
      </c>
      <c r="N29" s="347">
        <f t="shared" si="4"/>
        <v>220.66666666666663</v>
      </c>
      <c r="O29" s="347">
        <f t="shared" si="3"/>
        <v>283.16666666666663</v>
      </c>
    </row>
    <row r="30" spans="2:15" ht="24">
      <c r="B30" s="466"/>
      <c r="C30" s="347">
        <v>375</v>
      </c>
      <c r="D30" s="347" t="s">
        <v>127</v>
      </c>
      <c r="E30" s="347" t="s">
        <v>127</v>
      </c>
      <c r="F30" s="347">
        <f>+G29</f>
        <v>71.75</v>
      </c>
      <c r="G30" s="347">
        <f t="shared" si="1"/>
        <v>90.5</v>
      </c>
      <c r="H30" s="347" t="s">
        <v>127</v>
      </c>
      <c r="I30" s="347" t="s">
        <v>127</v>
      </c>
      <c r="J30" s="347">
        <f>+K29</f>
        <v>107.16666666666667</v>
      </c>
      <c r="K30" s="347">
        <f t="shared" si="2"/>
        <v>132.16666666666669</v>
      </c>
      <c r="L30" s="347" t="s">
        <v>127</v>
      </c>
      <c r="M30" s="347" t="s">
        <v>127</v>
      </c>
      <c r="N30" s="347">
        <f>+O29</f>
        <v>283.16666666666663</v>
      </c>
      <c r="O30" s="347">
        <f t="shared" si="3"/>
        <v>345.66666666666663</v>
      </c>
    </row>
    <row r="32" spans="2:15" ht="24">
      <c r="C32" s="345"/>
      <c r="D32" s="345"/>
      <c r="K32" s="345"/>
      <c r="L32" s="345"/>
    </row>
    <row r="33" spans="2:15" ht="24">
      <c r="B33" s="346" t="s">
        <v>373</v>
      </c>
      <c r="C33" s="347" t="s">
        <v>377</v>
      </c>
      <c r="D33" s="467" t="s">
        <v>811</v>
      </c>
      <c r="E33" s="467"/>
      <c r="F33" s="467" t="s">
        <v>842</v>
      </c>
      <c r="G33" s="467"/>
      <c r="H33" s="467" t="s">
        <v>843</v>
      </c>
      <c r="I33" s="467"/>
      <c r="J33" s="467" t="s">
        <v>844</v>
      </c>
      <c r="K33" s="467"/>
      <c r="L33"/>
      <c r="M33"/>
      <c r="N33"/>
      <c r="O33"/>
    </row>
    <row r="34" spans="2:15" ht="24">
      <c r="B34" s="465">
        <v>110</v>
      </c>
      <c r="C34" s="347">
        <v>250</v>
      </c>
      <c r="D34" s="347">
        <v>0</v>
      </c>
      <c r="E34" s="347">
        <f>D34+C42</f>
        <v>1</v>
      </c>
      <c r="F34" s="347">
        <f>E34</f>
        <v>1</v>
      </c>
      <c r="G34" s="347">
        <f t="shared" ref="G34:G39" si="5">F34+(C34*$S$7)</f>
        <v>17.666666666666668</v>
      </c>
      <c r="H34" s="347">
        <f>G34-C42</f>
        <v>16.666666666666668</v>
      </c>
      <c r="I34" s="347">
        <f>H34+C42</f>
        <v>17.666666666666668</v>
      </c>
      <c r="J34" s="347">
        <f>I34</f>
        <v>17.666666666666668</v>
      </c>
      <c r="K34" s="347">
        <f t="shared" ref="K34:K39" si="6">J34+(C34*$S$8)</f>
        <v>51</v>
      </c>
      <c r="L34"/>
      <c r="M34"/>
      <c r="N34"/>
      <c r="O34"/>
    </row>
    <row r="35" spans="2:15" ht="24">
      <c r="B35" s="466"/>
      <c r="C35" s="347">
        <v>250</v>
      </c>
      <c r="D35" s="347" t="s">
        <v>127</v>
      </c>
      <c r="E35" s="347" t="s">
        <v>127</v>
      </c>
      <c r="F35" s="347">
        <f>+G34</f>
        <v>17.666666666666668</v>
      </c>
      <c r="G35" s="347">
        <f t="shared" si="5"/>
        <v>34.333333333333336</v>
      </c>
      <c r="H35" s="347" t="s">
        <v>127</v>
      </c>
      <c r="I35" s="347" t="s">
        <v>127</v>
      </c>
      <c r="J35" s="347">
        <f>+K34</f>
        <v>51</v>
      </c>
      <c r="K35" s="347">
        <f t="shared" si="6"/>
        <v>84.333333333333343</v>
      </c>
      <c r="L35"/>
      <c r="M35"/>
      <c r="N35"/>
      <c r="O35"/>
    </row>
    <row r="36" spans="2:15" ht="24">
      <c r="B36" s="465">
        <v>120</v>
      </c>
      <c r="C36" s="347">
        <v>250</v>
      </c>
      <c r="D36" s="347">
        <f>+G35</f>
        <v>34.333333333333336</v>
      </c>
      <c r="E36" s="347">
        <f>+D36+C42</f>
        <v>35.333333333333336</v>
      </c>
      <c r="F36" s="347">
        <f>+E36</f>
        <v>35.333333333333336</v>
      </c>
      <c r="G36" s="347">
        <f t="shared" si="5"/>
        <v>52</v>
      </c>
      <c r="H36" s="347">
        <f>+K35</f>
        <v>84.333333333333343</v>
      </c>
      <c r="I36" s="347">
        <f>+H36+C42</f>
        <v>85.333333333333343</v>
      </c>
      <c r="J36" s="347">
        <f>+I36</f>
        <v>85.333333333333343</v>
      </c>
      <c r="K36" s="347">
        <f t="shared" si="6"/>
        <v>118.66666666666669</v>
      </c>
      <c r="L36"/>
      <c r="M36"/>
      <c r="N36"/>
      <c r="O36"/>
    </row>
    <row r="37" spans="2:15" ht="24">
      <c r="B37" s="466"/>
      <c r="C37" s="347">
        <v>250</v>
      </c>
      <c r="D37" s="347" t="s">
        <v>127</v>
      </c>
      <c r="E37" s="347" t="s">
        <v>127</v>
      </c>
      <c r="F37" s="347">
        <f>+G36</f>
        <v>52</v>
      </c>
      <c r="G37" s="347">
        <f t="shared" si="5"/>
        <v>68.666666666666671</v>
      </c>
      <c r="H37" s="347" t="s">
        <v>127</v>
      </c>
      <c r="I37" s="347" t="s">
        <v>127</v>
      </c>
      <c r="J37" s="347">
        <f>+K36</f>
        <v>118.66666666666669</v>
      </c>
      <c r="K37" s="347">
        <f t="shared" si="6"/>
        <v>152.00000000000003</v>
      </c>
      <c r="L37"/>
      <c r="M37"/>
      <c r="N37"/>
      <c r="O37"/>
    </row>
    <row r="38" spans="2:15" ht="24">
      <c r="B38" s="465">
        <v>130</v>
      </c>
      <c r="C38" s="347">
        <v>375</v>
      </c>
      <c r="D38" s="347">
        <f>+G37</f>
        <v>68.666666666666671</v>
      </c>
      <c r="E38" s="347">
        <f>+D38+C42</f>
        <v>69.666666666666671</v>
      </c>
      <c r="F38" s="347">
        <f>+E38</f>
        <v>69.666666666666671</v>
      </c>
      <c r="G38" s="347">
        <f t="shared" si="5"/>
        <v>94.666666666666671</v>
      </c>
      <c r="H38" s="347">
        <f>+K37</f>
        <v>152.00000000000003</v>
      </c>
      <c r="I38" s="347">
        <f>+H38+C42</f>
        <v>153.00000000000003</v>
      </c>
      <c r="J38" s="347">
        <f>+I38</f>
        <v>153.00000000000003</v>
      </c>
      <c r="K38" s="347">
        <f t="shared" si="6"/>
        <v>203.00000000000003</v>
      </c>
      <c r="L38"/>
      <c r="M38"/>
      <c r="N38"/>
      <c r="O38"/>
    </row>
    <row r="39" spans="2:15" ht="24">
      <c r="B39" s="466"/>
      <c r="C39" s="347">
        <v>375</v>
      </c>
      <c r="D39" s="347" t="s">
        <v>127</v>
      </c>
      <c r="E39" s="347" t="s">
        <v>127</v>
      </c>
      <c r="F39" s="347">
        <f>+G38</f>
        <v>94.666666666666671</v>
      </c>
      <c r="G39" s="347">
        <f t="shared" si="5"/>
        <v>119.66666666666667</v>
      </c>
      <c r="H39" s="347" t="s">
        <v>127</v>
      </c>
      <c r="I39" s="347" t="s">
        <v>127</v>
      </c>
      <c r="J39" s="347">
        <f>+K38</f>
        <v>203.00000000000003</v>
      </c>
      <c r="K39" s="347">
        <f t="shared" si="6"/>
        <v>253.00000000000003</v>
      </c>
      <c r="L39"/>
      <c r="M39"/>
      <c r="N39"/>
      <c r="O39"/>
    </row>
    <row r="42" spans="2:15" ht="19">
      <c r="B42" s="350" t="s">
        <v>899</v>
      </c>
      <c r="C42" s="47">
        <v>1</v>
      </c>
    </row>
  </sheetData>
  <mergeCells count="34">
    <mergeCell ref="B2:O2"/>
    <mergeCell ref="D4:E4"/>
    <mergeCell ref="F4:G4"/>
    <mergeCell ref="H4:I4"/>
    <mergeCell ref="J4:K4"/>
    <mergeCell ref="L4:M4"/>
    <mergeCell ref="N4:O4"/>
    <mergeCell ref="B5:B6"/>
    <mergeCell ref="B7:B8"/>
    <mergeCell ref="B9:B10"/>
    <mergeCell ref="D13:E13"/>
    <mergeCell ref="F13:G13"/>
    <mergeCell ref="J13:K13"/>
    <mergeCell ref="B14:B15"/>
    <mergeCell ref="B16:B17"/>
    <mergeCell ref="B18:B19"/>
    <mergeCell ref="B22:O22"/>
    <mergeCell ref="H13:I13"/>
    <mergeCell ref="B34:B35"/>
    <mergeCell ref="B36:B37"/>
    <mergeCell ref="B38:B39"/>
    <mergeCell ref="N24:O24"/>
    <mergeCell ref="B25:B26"/>
    <mergeCell ref="B27:B28"/>
    <mergeCell ref="B29:B30"/>
    <mergeCell ref="D33:E33"/>
    <mergeCell ref="F33:G33"/>
    <mergeCell ref="H33:I33"/>
    <mergeCell ref="J33:K33"/>
    <mergeCell ref="D24:E24"/>
    <mergeCell ref="F24:G24"/>
    <mergeCell ref="H24:I24"/>
    <mergeCell ref="J24:K24"/>
    <mergeCell ref="L24:M24"/>
  </mergeCells>
  <pageMargins left="0.75" right="0.75" top="1" bottom="1" header="0.5" footer="0.5"/>
  <pageSetup orientation="portrait" horizontalDpi="4294967292" verticalDpi="429496729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ECD2E-6030-A542-AAEF-F73E5A779640}">
  <dimension ref="B2:N32"/>
  <sheetViews>
    <sheetView workbookViewId="0">
      <selection activeCell="K12" sqref="K12"/>
    </sheetView>
  </sheetViews>
  <sheetFormatPr baseColWidth="10" defaultRowHeight="16"/>
  <cols>
    <col min="3" max="7" width="10.83203125" style="47"/>
    <col min="9" max="9" width="15.83203125" bestFit="1" customWidth="1"/>
  </cols>
  <sheetData>
    <row r="2" spans="2:14">
      <c r="C2" s="430" t="s">
        <v>901</v>
      </c>
      <c r="D2" s="430"/>
      <c r="E2" s="430"/>
      <c r="F2" s="430"/>
      <c r="G2" s="430"/>
      <c r="I2" s="281" t="s">
        <v>902</v>
      </c>
      <c r="J2" s="352">
        <v>170</v>
      </c>
      <c r="K2" s="352">
        <v>359</v>
      </c>
      <c r="L2" s="352">
        <v>197</v>
      </c>
      <c r="M2" s="352">
        <v>337</v>
      </c>
      <c r="N2" s="352">
        <v>228</v>
      </c>
    </row>
    <row r="3" spans="2:14">
      <c r="B3" t="s">
        <v>903</v>
      </c>
      <c r="C3" s="47" t="s">
        <v>904</v>
      </c>
      <c r="D3" s="47" t="s">
        <v>905</v>
      </c>
      <c r="E3" s="47" t="s">
        <v>906</v>
      </c>
      <c r="F3" s="47" t="s">
        <v>907</v>
      </c>
      <c r="G3" s="47" t="s">
        <v>908</v>
      </c>
      <c r="I3" s="281" t="s">
        <v>723</v>
      </c>
      <c r="J3" s="352">
        <v>101</v>
      </c>
      <c r="K3" s="352">
        <v>102</v>
      </c>
      <c r="L3" s="352">
        <v>103</v>
      </c>
      <c r="M3" s="352">
        <v>104</v>
      </c>
      <c r="N3" s="352">
        <v>105</v>
      </c>
    </row>
    <row r="4" spans="2:14">
      <c r="B4" t="s">
        <v>909</v>
      </c>
      <c r="C4" s="47">
        <v>5</v>
      </c>
      <c r="D4" s="47">
        <v>3</v>
      </c>
      <c r="E4" s="47">
        <v>2</v>
      </c>
      <c r="F4" s="47">
        <v>3</v>
      </c>
      <c r="G4" s="47">
        <v>2</v>
      </c>
      <c r="I4" s="47" t="s">
        <v>904</v>
      </c>
      <c r="J4" s="47">
        <v>0</v>
      </c>
      <c r="K4" s="47">
        <v>0</v>
      </c>
      <c r="L4" s="47">
        <f>L2*D30</f>
        <v>591</v>
      </c>
      <c r="M4" s="47">
        <f>M2*D30</f>
        <v>1011</v>
      </c>
      <c r="N4" s="47">
        <f>N2*D30</f>
        <v>684</v>
      </c>
    </row>
    <row r="5" spans="2:14">
      <c r="B5" t="s">
        <v>910</v>
      </c>
      <c r="C5" s="47">
        <v>4</v>
      </c>
      <c r="D5" s="47">
        <v>2</v>
      </c>
      <c r="E5" s="47">
        <v>3</v>
      </c>
      <c r="F5" s="47">
        <v>3</v>
      </c>
      <c r="G5" s="47">
        <v>3</v>
      </c>
      <c r="I5" s="47" t="s">
        <v>905</v>
      </c>
      <c r="J5" s="47">
        <f>J2*D31</f>
        <v>340</v>
      </c>
      <c r="K5" s="47">
        <v>0</v>
      </c>
      <c r="L5" s="47">
        <f>L2*D31</f>
        <v>394</v>
      </c>
      <c r="M5" s="47">
        <f>M2*D31</f>
        <v>674</v>
      </c>
      <c r="N5" s="47">
        <f>N2*D31</f>
        <v>456</v>
      </c>
    </row>
    <row r="6" spans="2:14">
      <c r="B6" t="s">
        <v>911</v>
      </c>
      <c r="C6" s="47">
        <v>3</v>
      </c>
      <c r="D6" s="47">
        <v>4</v>
      </c>
      <c r="E6" s="47">
        <v>2</v>
      </c>
      <c r="F6" s="47">
        <v>5</v>
      </c>
      <c r="G6" s="47">
        <v>4</v>
      </c>
      <c r="I6" s="47" t="s">
        <v>906</v>
      </c>
      <c r="J6" s="47">
        <v>0</v>
      </c>
      <c r="K6" s="47">
        <f>(K2*D32)*2</f>
        <v>2872</v>
      </c>
      <c r="L6" s="47">
        <v>0</v>
      </c>
      <c r="M6" s="47">
        <v>0</v>
      </c>
      <c r="N6" s="47">
        <v>0</v>
      </c>
    </row>
    <row r="7" spans="2:14">
      <c r="B7" t="s">
        <v>912</v>
      </c>
      <c r="C7" s="47">
        <v>4</v>
      </c>
      <c r="D7" s="47">
        <v>2</v>
      </c>
      <c r="E7" s="47">
        <v>5</v>
      </c>
      <c r="F7" s="47">
        <v>5</v>
      </c>
      <c r="G7" s="47">
        <v>5</v>
      </c>
      <c r="I7" s="47" t="s">
        <v>907</v>
      </c>
      <c r="J7" s="47">
        <f>J2*D29</f>
        <v>510</v>
      </c>
      <c r="K7" s="47">
        <f>K2*D29</f>
        <v>1077</v>
      </c>
      <c r="L7" s="47">
        <v>0</v>
      </c>
      <c r="M7" s="47">
        <f>M2*D29</f>
        <v>1011</v>
      </c>
      <c r="N7" s="47">
        <v>0</v>
      </c>
    </row>
    <row r="8" spans="2:14">
      <c r="B8" t="s">
        <v>913</v>
      </c>
      <c r="C8" s="47">
        <v>5</v>
      </c>
      <c r="D8" s="47">
        <v>5</v>
      </c>
      <c r="E8" s="47">
        <v>4</v>
      </c>
      <c r="F8" s="47">
        <v>5</v>
      </c>
      <c r="G8" s="47">
        <v>5</v>
      </c>
      <c r="I8" s="47" t="s">
        <v>908</v>
      </c>
      <c r="J8" s="47">
        <f>J2*D28</f>
        <v>340</v>
      </c>
      <c r="K8" s="47">
        <v>0</v>
      </c>
      <c r="L8" s="47">
        <f>L2*D28</f>
        <v>394</v>
      </c>
      <c r="M8" s="47">
        <v>0</v>
      </c>
      <c r="N8" s="47">
        <f>N2*D28</f>
        <v>456</v>
      </c>
    </row>
    <row r="9" spans="2:14">
      <c r="I9" s="281" t="s">
        <v>914</v>
      </c>
      <c r="J9" s="47">
        <f>SUM(J4:J8)</f>
        <v>1190</v>
      </c>
      <c r="K9" s="47">
        <f t="shared" ref="K9:N9" si="0">SUM(K4:K8)</f>
        <v>3949</v>
      </c>
      <c r="L9" s="47">
        <f t="shared" si="0"/>
        <v>1379</v>
      </c>
      <c r="M9" s="47">
        <f t="shared" si="0"/>
        <v>2696</v>
      </c>
      <c r="N9" s="47">
        <f t="shared" si="0"/>
        <v>1596</v>
      </c>
    </row>
    <row r="10" spans="2:14">
      <c r="C10" s="430" t="s">
        <v>901</v>
      </c>
      <c r="D10" s="430"/>
      <c r="E10" s="430"/>
      <c r="F10" s="430"/>
      <c r="G10" s="430"/>
      <c r="I10" s="281" t="s">
        <v>915</v>
      </c>
      <c r="J10" s="106">
        <f>J9/60</f>
        <v>19.833333333333332</v>
      </c>
      <c r="K10" s="106">
        <f t="shared" ref="K10:N10" si="1">K9/60</f>
        <v>65.816666666666663</v>
      </c>
      <c r="L10" s="106">
        <f t="shared" si="1"/>
        <v>22.983333333333334</v>
      </c>
      <c r="M10" s="106">
        <f t="shared" si="1"/>
        <v>44.93333333333333</v>
      </c>
      <c r="N10" s="106">
        <f t="shared" si="1"/>
        <v>26.6</v>
      </c>
    </row>
    <row r="11" spans="2:14">
      <c r="B11" t="s">
        <v>903</v>
      </c>
      <c r="C11" s="47" t="s">
        <v>904</v>
      </c>
      <c r="D11" s="47" t="s">
        <v>905</v>
      </c>
      <c r="E11" s="47" t="s">
        <v>906</v>
      </c>
      <c r="F11" s="47" t="s">
        <v>907</v>
      </c>
      <c r="G11" s="47" t="s">
        <v>908</v>
      </c>
      <c r="I11" s="281" t="s">
        <v>916</v>
      </c>
      <c r="J11" s="47">
        <v>1</v>
      </c>
      <c r="K11" s="47">
        <v>5</v>
      </c>
      <c r="L11" s="47">
        <v>2</v>
      </c>
      <c r="M11" s="47">
        <v>4</v>
      </c>
      <c r="N11" s="47">
        <v>3</v>
      </c>
    </row>
    <row r="12" spans="2:14">
      <c r="B12" t="s">
        <v>909</v>
      </c>
      <c r="C12" s="47">
        <f>C4-$C$6</f>
        <v>2</v>
      </c>
      <c r="D12" s="47">
        <f>D4-$D$5</f>
        <v>1</v>
      </c>
      <c r="E12" s="47">
        <f>E4-$E$4</f>
        <v>0</v>
      </c>
      <c r="F12" s="47">
        <f>F4-$F$4</f>
        <v>0</v>
      </c>
      <c r="G12" s="47">
        <f>G4-$G$4</f>
        <v>0</v>
      </c>
    </row>
    <row r="13" spans="2:14">
      <c r="B13" t="s">
        <v>910</v>
      </c>
      <c r="C13" s="47">
        <f t="shared" ref="C13:C16" si="2">C5-$C$6</f>
        <v>1</v>
      </c>
      <c r="D13" s="47">
        <f t="shared" ref="D13:D16" si="3">D5-$D$5</f>
        <v>0</v>
      </c>
      <c r="E13" s="47">
        <f t="shared" ref="E13:E16" si="4">E5-$E$4</f>
        <v>1</v>
      </c>
      <c r="F13" s="47">
        <f t="shared" ref="F13:F16" si="5">F5-$F$4</f>
        <v>0</v>
      </c>
      <c r="G13" s="47">
        <f t="shared" ref="G13:G16" si="6">G5-$G$4</f>
        <v>1</v>
      </c>
    </row>
    <row r="14" spans="2:14">
      <c r="B14" t="s">
        <v>911</v>
      </c>
      <c r="C14" s="47">
        <f t="shared" si="2"/>
        <v>0</v>
      </c>
      <c r="D14" s="47">
        <f t="shared" si="3"/>
        <v>2</v>
      </c>
      <c r="E14" s="47">
        <f t="shared" si="4"/>
        <v>0</v>
      </c>
      <c r="F14" s="47">
        <f t="shared" si="5"/>
        <v>2</v>
      </c>
      <c r="G14" s="47">
        <f t="shared" si="6"/>
        <v>2</v>
      </c>
    </row>
    <row r="15" spans="2:14">
      <c r="B15" t="s">
        <v>912</v>
      </c>
      <c r="C15" s="47">
        <f t="shared" si="2"/>
        <v>1</v>
      </c>
      <c r="D15" s="47">
        <f t="shared" si="3"/>
        <v>0</v>
      </c>
      <c r="E15" s="47">
        <f t="shared" si="4"/>
        <v>3</v>
      </c>
      <c r="F15" s="47">
        <f t="shared" si="5"/>
        <v>2</v>
      </c>
      <c r="G15" s="47">
        <f t="shared" si="6"/>
        <v>3</v>
      </c>
    </row>
    <row r="16" spans="2:14">
      <c r="B16" t="s">
        <v>913</v>
      </c>
      <c r="C16" s="47">
        <f t="shared" si="2"/>
        <v>2</v>
      </c>
      <c r="D16" s="47">
        <f t="shared" si="3"/>
        <v>3</v>
      </c>
      <c r="E16" s="47">
        <f t="shared" si="4"/>
        <v>2</v>
      </c>
      <c r="F16" s="47">
        <f t="shared" si="5"/>
        <v>2</v>
      </c>
      <c r="G16" s="47">
        <f t="shared" si="6"/>
        <v>3</v>
      </c>
    </row>
    <row r="18" spans="2:13">
      <c r="C18" s="430" t="s">
        <v>901</v>
      </c>
      <c r="D18" s="430"/>
      <c r="E18" s="430"/>
      <c r="F18" s="430"/>
      <c r="G18" s="430"/>
    </row>
    <row r="19" spans="2:13">
      <c r="B19" t="s">
        <v>903</v>
      </c>
      <c r="C19" s="47" t="s">
        <v>904</v>
      </c>
      <c r="D19" s="47" t="s">
        <v>905</v>
      </c>
      <c r="E19" s="47" t="s">
        <v>906</v>
      </c>
      <c r="F19" s="47" t="s">
        <v>907</v>
      </c>
      <c r="G19" s="47" t="s">
        <v>908</v>
      </c>
    </row>
    <row r="20" spans="2:13">
      <c r="B20" t="s">
        <v>909</v>
      </c>
      <c r="C20" s="47">
        <f>C12-$E$12</f>
        <v>2</v>
      </c>
      <c r="D20" s="47">
        <f t="shared" ref="D20:G20" si="7">D12-$E$12</f>
        <v>1</v>
      </c>
      <c r="E20" s="47">
        <f t="shared" si="7"/>
        <v>0</v>
      </c>
      <c r="F20" s="47">
        <f t="shared" si="7"/>
        <v>0</v>
      </c>
      <c r="G20" s="47">
        <f t="shared" si="7"/>
        <v>0</v>
      </c>
    </row>
    <row r="21" spans="2:13">
      <c r="B21" t="s">
        <v>910</v>
      </c>
      <c r="C21" s="47">
        <f>C13-$D$13</f>
        <v>1</v>
      </c>
      <c r="D21" s="47">
        <f t="shared" ref="D21:G21" si="8">D13-$D$13</f>
        <v>0</v>
      </c>
      <c r="E21" s="47">
        <f t="shared" si="8"/>
        <v>1</v>
      </c>
      <c r="F21" s="47">
        <f t="shared" si="8"/>
        <v>0</v>
      </c>
      <c r="G21" s="47">
        <f t="shared" si="8"/>
        <v>1</v>
      </c>
    </row>
    <row r="22" spans="2:13">
      <c r="B22" t="s">
        <v>911</v>
      </c>
      <c r="C22" s="47">
        <f>C14-$C$14</f>
        <v>0</v>
      </c>
      <c r="D22" s="47">
        <f t="shared" ref="D22:G22" si="9">D14-$C$14</f>
        <v>2</v>
      </c>
      <c r="E22" s="47">
        <f t="shared" si="9"/>
        <v>0</v>
      </c>
      <c r="F22" s="47">
        <f t="shared" si="9"/>
        <v>2</v>
      </c>
      <c r="G22" s="47">
        <f t="shared" si="9"/>
        <v>2</v>
      </c>
    </row>
    <row r="23" spans="2:13">
      <c r="B23" t="s">
        <v>912</v>
      </c>
      <c r="C23" s="47">
        <f>C15-$D$15</f>
        <v>1</v>
      </c>
      <c r="D23" s="47">
        <f t="shared" ref="D23:G23" si="10">D15-$D$15</f>
        <v>0</v>
      </c>
      <c r="E23" s="47">
        <f t="shared" si="10"/>
        <v>3</v>
      </c>
      <c r="F23" s="47">
        <f t="shared" si="10"/>
        <v>2</v>
      </c>
      <c r="G23" s="47">
        <f t="shared" si="10"/>
        <v>3</v>
      </c>
    </row>
    <row r="24" spans="2:13">
      <c r="B24" t="s">
        <v>913</v>
      </c>
      <c r="C24" s="47">
        <f>C16-$C$16</f>
        <v>0</v>
      </c>
      <c r="D24" s="47">
        <f t="shared" ref="D24:G24" si="11">D16-$C$16</f>
        <v>1</v>
      </c>
      <c r="E24" s="47">
        <f t="shared" si="11"/>
        <v>0</v>
      </c>
      <c r="F24" s="47">
        <f t="shared" si="11"/>
        <v>0</v>
      </c>
      <c r="G24" s="47">
        <f t="shared" si="11"/>
        <v>1</v>
      </c>
    </row>
    <row r="26" spans="2:13">
      <c r="C26"/>
      <c r="D26"/>
      <c r="E26"/>
      <c r="F26"/>
      <c r="G26"/>
    </row>
    <row r="27" spans="2:13">
      <c r="B27" t="s">
        <v>903</v>
      </c>
      <c r="C27" t="s">
        <v>394</v>
      </c>
      <c r="D27" s="47" t="s">
        <v>917</v>
      </c>
      <c r="E27"/>
      <c r="F27"/>
      <c r="G27"/>
      <c r="L27" s="47"/>
      <c r="M27" s="47"/>
    </row>
    <row r="28" spans="2:13">
      <c r="B28" t="s">
        <v>909</v>
      </c>
      <c r="C28" s="47" t="s">
        <v>908</v>
      </c>
      <c r="D28" s="47">
        <v>2</v>
      </c>
      <c r="E28"/>
      <c r="F28"/>
      <c r="G28"/>
      <c r="L28" s="47"/>
      <c r="M28" s="47"/>
    </row>
    <row r="29" spans="2:13">
      <c r="B29" t="s">
        <v>910</v>
      </c>
      <c r="C29" s="47" t="s">
        <v>907</v>
      </c>
      <c r="D29" s="47">
        <v>3</v>
      </c>
      <c r="E29"/>
      <c r="F29"/>
      <c r="G29"/>
      <c r="L29" s="47"/>
      <c r="M29" s="47"/>
    </row>
    <row r="30" spans="2:13">
      <c r="B30" t="s">
        <v>911</v>
      </c>
      <c r="C30" s="47" t="s">
        <v>904</v>
      </c>
      <c r="D30" s="47">
        <v>3</v>
      </c>
      <c r="E30"/>
      <c r="F30"/>
      <c r="G30"/>
      <c r="L30" s="47"/>
      <c r="M30" s="47"/>
    </row>
    <row r="31" spans="2:13">
      <c r="B31" t="s">
        <v>912</v>
      </c>
      <c r="C31" s="47" t="s">
        <v>905</v>
      </c>
      <c r="D31" s="47">
        <v>2</v>
      </c>
      <c r="E31"/>
      <c r="F31"/>
      <c r="G31"/>
      <c r="L31" s="47"/>
      <c r="M31" s="47"/>
    </row>
    <row r="32" spans="2:13">
      <c r="B32" t="s">
        <v>913</v>
      </c>
      <c r="C32" s="47" t="s">
        <v>906</v>
      </c>
      <c r="D32" s="47">
        <v>4</v>
      </c>
      <c r="E32"/>
      <c r="F32"/>
      <c r="G32"/>
      <c r="L32" s="47"/>
      <c r="M32" s="47"/>
    </row>
  </sheetData>
  <mergeCells count="3">
    <mergeCell ref="C2:G2"/>
    <mergeCell ref="C10:G10"/>
    <mergeCell ref="C18:G18"/>
  </mergeCells>
  <pageMargins left="0.75" right="0.75" top="1" bottom="1" header="0.5" footer="0.5"/>
  <pageSetup orientation="portrait" horizontalDpi="4294967292" verticalDpi="429496729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75C05-96AD-E942-B2D3-EE1B95A9BA6B}">
  <dimension ref="B2:AK46"/>
  <sheetViews>
    <sheetView workbookViewId="0">
      <selection activeCell="AG3" sqref="AG3"/>
    </sheetView>
  </sheetViews>
  <sheetFormatPr baseColWidth="10" defaultRowHeight="13"/>
  <cols>
    <col min="1" max="1" width="4.1640625" style="354" customWidth="1"/>
    <col min="2" max="2" width="5.83203125" style="354" customWidth="1"/>
    <col min="3" max="3" width="13.33203125" style="354" customWidth="1"/>
    <col min="4" max="4" width="9.83203125" style="355" customWidth="1"/>
    <col min="5" max="5" width="5.1640625" style="355" customWidth="1"/>
    <col min="6" max="6" width="5.1640625" style="355" bestFit="1" customWidth="1"/>
    <col min="7" max="7" width="5.1640625" style="355" hidden="1" customWidth="1"/>
    <col min="8" max="8" width="7.83203125" style="355" hidden="1" customWidth="1"/>
    <col min="9" max="9" width="8.1640625" style="355" bestFit="1" customWidth="1"/>
    <col min="10" max="10" width="5.1640625" style="355" bestFit="1" customWidth="1"/>
    <col min="11" max="11" width="5.83203125" style="355" customWidth="1"/>
    <col min="12" max="12" width="9.1640625" style="355" bestFit="1" customWidth="1"/>
    <col min="13" max="13" width="6.1640625" style="355" hidden="1" customWidth="1"/>
    <col min="14" max="14" width="9.1640625" style="355" hidden="1" customWidth="1"/>
    <col min="15" max="15" width="8.1640625" style="355" bestFit="1" customWidth="1"/>
    <col min="16" max="16" width="7" style="355" customWidth="1"/>
    <col min="17" max="18" width="5.1640625" style="355" customWidth="1"/>
    <col min="19" max="19" width="7.83203125" style="355" hidden="1" customWidth="1"/>
    <col min="20" max="20" width="5.1640625" style="355" hidden="1" customWidth="1"/>
    <col min="21" max="21" width="8.1640625" style="355" bestFit="1" customWidth="1"/>
    <col min="22" max="24" width="5.1640625" style="355" customWidth="1"/>
    <col min="25" max="25" width="5.1640625" style="355" hidden="1" customWidth="1"/>
    <col min="26" max="26" width="7.83203125" style="355" hidden="1" customWidth="1"/>
    <col min="27" max="27" width="8.1640625" style="355" bestFit="1" customWidth="1"/>
    <col min="28" max="28" width="5.1640625" style="355" customWidth="1"/>
    <col min="29" max="29" width="5.83203125" style="355" customWidth="1"/>
    <col min="30" max="30" width="6.6640625" style="355" customWidth="1"/>
    <col min="31" max="31" width="7.33203125" style="355" hidden="1" customWidth="1"/>
    <col min="32" max="32" width="8.33203125" style="355" hidden="1" customWidth="1"/>
    <col min="33" max="33" width="8.1640625" style="355" bestFit="1" customWidth="1"/>
    <col min="34" max="34" width="7.83203125" style="355" customWidth="1"/>
    <col min="35" max="35" width="7.83203125" style="354" customWidth="1"/>
    <col min="36" max="36" width="6.83203125" style="354" customWidth="1"/>
    <col min="37" max="37" width="8.6640625" style="354" bestFit="1" customWidth="1"/>
    <col min="38" max="16384" width="10.83203125" style="354"/>
  </cols>
  <sheetData>
    <row r="2" spans="2:36" ht="17" customHeight="1">
      <c r="B2" s="353" t="s">
        <v>918</v>
      </c>
      <c r="I2" s="352" t="s">
        <v>903</v>
      </c>
      <c r="J2" s="352" t="s">
        <v>919</v>
      </c>
      <c r="K2" s="352"/>
      <c r="L2" s="352"/>
      <c r="M2" s="352"/>
      <c r="O2" s="352" t="s">
        <v>903</v>
      </c>
      <c r="P2" s="352" t="s">
        <v>919</v>
      </c>
      <c r="Q2" s="352"/>
      <c r="R2" s="352"/>
      <c r="U2" s="352" t="s">
        <v>903</v>
      </c>
      <c r="V2" s="352" t="s">
        <v>919</v>
      </c>
      <c r="W2" s="352"/>
      <c r="X2" s="352"/>
      <c r="Y2" s="352"/>
      <c r="AA2" s="352" t="s">
        <v>903</v>
      </c>
      <c r="AB2" s="352" t="s">
        <v>919</v>
      </c>
      <c r="AC2" s="352"/>
      <c r="AD2" s="352"/>
      <c r="AE2" s="352"/>
      <c r="AG2" s="352" t="s">
        <v>903</v>
      </c>
      <c r="AH2" s="352" t="s">
        <v>919</v>
      </c>
    </row>
    <row r="3" spans="2:36" ht="16">
      <c r="G3" s="47"/>
      <c r="I3" s="281" t="s">
        <v>911</v>
      </c>
      <c r="J3" s="281">
        <v>3</v>
      </c>
      <c r="K3" s="352"/>
      <c r="L3" s="352"/>
      <c r="M3" s="352"/>
      <c r="O3" s="491" t="s">
        <v>912</v>
      </c>
      <c r="P3" s="352">
        <v>2</v>
      </c>
      <c r="Q3" s="352"/>
      <c r="R3" s="352"/>
      <c r="U3" s="491" t="s">
        <v>913</v>
      </c>
      <c r="V3" s="352">
        <v>4</v>
      </c>
      <c r="W3" s="352"/>
      <c r="X3" s="352"/>
      <c r="Y3" s="352"/>
      <c r="AA3" s="491" t="s">
        <v>910</v>
      </c>
      <c r="AB3" s="352">
        <v>3</v>
      </c>
      <c r="AC3" s="352"/>
      <c r="AD3" s="352"/>
      <c r="AE3" s="352"/>
      <c r="AG3" s="491" t="s">
        <v>909</v>
      </c>
      <c r="AH3" s="352">
        <v>2</v>
      </c>
    </row>
    <row r="4" spans="2:36" ht="14" thickBot="1"/>
    <row r="5" spans="2:36" ht="14" thickBot="1">
      <c r="B5" s="356" t="s">
        <v>723</v>
      </c>
      <c r="C5" s="356" t="s">
        <v>920</v>
      </c>
      <c r="D5" s="356" t="s">
        <v>377</v>
      </c>
      <c r="E5" s="490" t="s">
        <v>807</v>
      </c>
      <c r="F5" s="479"/>
      <c r="G5" s="357" t="s">
        <v>707</v>
      </c>
      <c r="H5" s="358" t="s">
        <v>809</v>
      </c>
      <c r="I5" s="479" t="s">
        <v>794</v>
      </c>
      <c r="J5" s="480"/>
      <c r="K5" s="478" t="s">
        <v>810</v>
      </c>
      <c r="L5" s="479"/>
      <c r="M5" s="357" t="s">
        <v>707</v>
      </c>
      <c r="N5" s="358" t="s">
        <v>809</v>
      </c>
      <c r="O5" s="479" t="s">
        <v>795</v>
      </c>
      <c r="P5" s="480"/>
      <c r="Q5" s="478" t="s">
        <v>811</v>
      </c>
      <c r="R5" s="479"/>
      <c r="S5" s="357" t="s">
        <v>707</v>
      </c>
      <c r="T5" s="358" t="s">
        <v>809</v>
      </c>
      <c r="U5" s="479" t="s">
        <v>812</v>
      </c>
      <c r="V5" s="480"/>
      <c r="W5" s="488" t="s">
        <v>843</v>
      </c>
      <c r="X5" s="483"/>
      <c r="Y5" s="359" t="s">
        <v>707</v>
      </c>
      <c r="Z5" s="360" t="s">
        <v>809</v>
      </c>
      <c r="AA5" s="484" t="s">
        <v>921</v>
      </c>
      <c r="AB5" s="489"/>
      <c r="AC5" s="488" t="s">
        <v>843</v>
      </c>
      <c r="AD5" s="483"/>
      <c r="AE5" s="359" t="s">
        <v>707</v>
      </c>
      <c r="AF5" s="360" t="s">
        <v>809</v>
      </c>
      <c r="AG5" s="484" t="s">
        <v>922</v>
      </c>
      <c r="AH5" s="482"/>
      <c r="AI5" s="361" t="s">
        <v>838</v>
      </c>
      <c r="AJ5" s="362" t="s">
        <v>107</v>
      </c>
    </row>
    <row r="6" spans="2:36">
      <c r="B6" s="363">
        <v>101</v>
      </c>
      <c r="C6" s="363" t="s">
        <v>923</v>
      </c>
      <c r="D6" s="363">
        <f>C18</f>
        <v>170</v>
      </c>
      <c r="E6" s="364"/>
      <c r="F6" s="365"/>
      <c r="G6" s="366"/>
      <c r="H6" s="365"/>
      <c r="I6" s="365"/>
      <c r="J6" s="367"/>
      <c r="K6" s="368">
        <v>0</v>
      </c>
      <c r="L6" s="365">
        <f>K6+D15</f>
        <v>30</v>
      </c>
      <c r="M6" s="366" t="s">
        <v>127</v>
      </c>
      <c r="N6" s="365" t="s">
        <v>127</v>
      </c>
      <c r="O6" s="365">
        <f>L6</f>
        <v>30</v>
      </c>
      <c r="P6" s="367">
        <f>O6+(D6*P3)</f>
        <v>370</v>
      </c>
      <c r="Q6" s="368"/>
      <c r="R6" s="365"/>
      <c r="S6" s="366"/>
      <c r="T6" s="365"/>
      <c r="U6" s="365"/>
      <c r="V6" s="367"/>
      <c r="W6" s="369">
        <v>0</v>
      </c>
      <c r="X6" s="370">
        <f>W6+D15</f>
        <v>30</v>
      </c>
      <c r="Y6" s="371" t="s">
        <v>127</v>
      </c>
      <c r="Z6" s="370" t="s">
        <v>127</v>
      </c>
      <c r="AA6" s="370">
        <f>P6</f>
        <v>370</v>
      </c>
      <c r="AB6" s="372">
        <f>AA6+(D6*AB3)</f>
        <v>880</v>
      </c>
      <c r="AC6" s="369">
        <f>AH11</f>
        <v>1170</v>
      </c>
      <c r="AD6" s="370">
        <f>AC6+D15</f>
        <v>1200</v>
      </c>
      <c r="AE6" s="371"/>
      <c r="AF6" s="370"/>
      <c r="AG6" s="370">
        <f>AD6</f>
        <v>1200</v>
      </c>
      <c r="AH6" s="373">
        <f>AG6+(D6*AH3)</f>
        <v>1540</v>
      </c>
      <c r="AI6" s="374">
        <f>AH6/D14</f>
        <v>3.6666666666666665</v>
      </c>
      <c r="AJ6" s="375">
        <v>3</v>
      </c>
    </row>
    <row r="7" spans="2:36">
      <c r="B7" s="471">
        <v>102</v>
      </c>
      <c r="C7" s="471" t="s">
        <v>924</v>
      </c>
      <c r="D7" s="471">
        <f>C19</f>
        <v>358</v>
      </c>
      <c r="E7" s="364"/>
      <c r="F7" s="365"/>
      <c r="G7" s="365"/>
      <c r="H7" s="365"/>
      <c r="I7" s="365"/>
      <c r="J7" s="367"/>
      <c r="K7" s="368"/>
      <c r="L7" s="365"/>
      <c r="M7" s="365"/>
      <c r="N7" s="365"/>
      <c r="O7" s="365"/>
      <c r="P7" s="367"/>
      <c r="Q7" s="368">
        <v>0</v>
      </c>
      <c r="R7" s="365">
        <f>Q7+D15</f>
        <v>30</v>
      </c>
      <c r="S7" s="365" t="s">
        <v>127</v>
      </c>
      <c r="T7" s="365" t="s">
        <v>127</v>
      </c>
      <c r="U7" s="365">
        <f>R7</f>
        <v>30</v>
      </c>
      <c r="V7" s="367">
        <f>U7+(D7*V3)</f>
        <v>1462</v>
      </c>
      <c r="W7" s="369">
        <f>AB6</f>
        <v>880</v>
      </c>
      <c r="X7" s="370">
        <f>W7+D15</f>
        <v>910</v>
      </c>
      <c r="Y7" s="370"/>
      <c r="Z7" s="370"/>
      <c r="AA7" s="370">
        <f>V7</f>
        <v>1462</v>
      </c>
      <c r="AB7" s="372">
        <f>AA7+(D7*AB3)</f>
        <v>2536</v>
      </c>
      <c r="AC7" s="369"/>
      <c r="AD7" s="370"/>
      <c r="AE7" s="370"/>
      <c r="AF7" s="370"/>
      <c r="AG7" s="370"/>
      <c r="AH7" s="373"/>
      <c r="AI7" s="476">
        <f>V8/D14</f>
        <v>9.4476190476190478</v>
      </c>
      <c r="AJ7" s="477">
        <v>5</v>
      </c>
    </row>
    <row r="8" spans="2:36">
      <c r="B8" s="472"/>
      <c r="C8" s="472"/>
      <c r="D8" s="472"/>
      <c r="E8" s="364"/>
      <c r="F8" s="365"/>
      <c r="G8" s="365"/>
      <c r="H8" s="365"/>
      <c r="I8" s="365"/>
      <c r="J8" s="367"/>
      <c r="K8" s="368"/>
      <c r="L8" s="365"/>
      <c r="M8" s="365"/>
      <c r="N8" s="365"/>
      <c r="O8" s="365"/>
      <c r="P8" s="367"/>
      <c r="Q8" s="368">
        <f>AB7-D15</f>
        <v>2506</v>
      </c>
      <c r="R8" s="365">
        <f>Q8+D15</f>
        <v>2536</v>
      </c>
      <c r="S8" s="365"/>
      <c r="T8" s="365"/>
      <c r="U8" s="365">
        <f>R8</f>
        <v>2536</v>
      </c>
      <c r="V8" s="367">
        <f>U8+(D7*V3)</f>
        <v>3968</v>
      </c>
      <c r="W8" s="369"/>
      <c r="X8" s="370"/>
      <c r="Y8" s="370"/>
      <c r="Z8" s="370"/>
      <c r="AA8" s="370"/>
      <c r="AB8" s="372"/>
      <c r="AC8" s="369"/>
      <c r="AD8" s="370"/>
      <c r="AE8" s="370"/>
      <c r="AF8" s="370"/>
      <c r="AG8" s="370"/>
      <c r="AH8" s="373"/>
      <c r="AI8" s="476"/>
      <c r="AJ8" s="477"/>
    </row>
    <row r="9" spans="2:36">
      <c r="B9" s="363">
        <v>103</v>
      </c>
      <c r="C9" s="363" t="s">
        <v>925</v>
      </c>
      <c r="D9" s="363">
        <f>C20</f>
        <v>198</v>
      </c>
      <c r="E9" s="364">
        <f>J11</f>
        <v>714</v>
      </c>
      <c r="F9" s="365">
        <f>E9+D15</f>
        <v>744</v>
      </c>
      <c r="G9" s="365"/>
      <c r="H9" s="365"/>
      <c r="I9" s="365">
        <f>F9</f>
        <v>744</v>
      </c>
      <c r="J9" s="367">
        <f>I9+(D9*J3)</f>
        <v>1338</v>
      </c>
      <c r="K9" s="368">
        <f>P11</f>
        <v>1558</v>
      </c>
      <c r="L9" s="365">
        <f>K9</f>
        <v>1558</v>
      </c>
      <c r="M9" s="365"/>
      <c r="N9" s="365"/>
      <c r="O9" s="365">
        <f>L9</f>
        <v>1558</v>
      </c>
      <c r="P9" s="367">
        <f>O9+(D9*P3)</f>
        <v>1954</v>
      </c>
      <c r="Q9" s="368"/>
      <c r="R9" s="365"/>
      <c r="S9" s="365"/>
      <c r="T9" s="365"/>
      <c r="U9" s="365"/>
      <c r="V9" s="367"/>
      <c r="W9" s="369"/>
      <c r="X9" s="370"/>
      <c r="Y9" s="370"/>
      <c r="Z9" s="370"/>
      <c r="AA9" s="370"/>
      <c r="AB9" s="372"/>
      <c r="AC9" s="369">
        <v>0</v>
      </c>
      <c r="AD9" s="370">
        <f>AC9+D15</f>
        <v>30</v>
      </c>
      <c r="AE9" s="370" t="s">
        <v>127</v>
      </c>
      <c r="AF9" s="370" t="s">
        <v>127</v>
      </c>
      <c r="AG9" s="370">
        <f>AD9</f>
        <v>30</v>
      </c>
      <c r="AH9" s="373">
        <f>AG9+(D9*AH3)</f>
        <v>426</v>
      </c>
      <c r="AI9" s="376">
        <f>P9/D14</f>
        <v>4.6523809523809527</v>
      </c>
      <c r="AJ9" s="377">
        <v>6</v>
      </c>
    </row>
    <row r="10" spans="2:36">
      <c r="B10" s="363">
        <v>104</v>
      </c>
      <c r="C10" s="363" t="s">
        <v>926</v>
      </c>
      <c r="D10" s="363">
        <f>C21</f>
        <v>336</v>
      </c>
      <c r="E10" s="364">
        <f>J9</f>
        <v>1338</v>
      </c>
      <c r="F10" s="365">
        <f>E10+D15</f>
        <v>1368</v>
      </c>
      <c r="G10" s="365"/>
      <c r="H10" s="365"/>
      <c r="I10" s="365">
        <f>F10</f>
        <v>1368</v>
      </c>
      <c r="J10" s="367">
        <f>I10+(D10*J3)</f>
        <v>2376</v>
      </c>
      <c r="K10" s="368">
        <f>P6</f>
        <v>370</v>
      </c>
      <c r="L10" s="365">
        <f>K10+D15</f>
        <v>400</v>
      </c>
      <c r="M10" s="365" t="s">
        <v>127</v>
      </c>
      <c r="N10" s="365" t="s">
        <v>127</v>
      </c>
      <c r="O10" s="365">
        <f>L10</f>
        <v>400</v>
      </c>
      <c r="P10" s="367">
        <f>O10+(D10*P3)</f>
        <v>1072</v>
      </c>
      <c r="Q10" s="368"/>
      <c r="R10" s="365"/>
      <c r="S10" s="365"/>
      <c r="T10" s="365"/>
      <c r="U10" s="365"/>
      <c r="V10" s="367"/>
      <c r="W10" s="369">
        <f>AB7</f>
        <v>2536</v>
      </c>
      <c r="X10" s="370">
        <f>W10+D15</f>
        <v>2566</v>
      </c>
      <c r="Y10" s="370"/>
      <c r="Z10" s="370"/>
      <c r="AA10" s="370">
        <f>X10</f>
        <v>2566</v>
      </c>
      <c r="AB10" s="372">
        <f>AA10+(D10*AB3)</f>
        <v>3574</v>
      </c>
      <c r="AC10" s="369"/>
      <c r="AD10" s="370"/>
      <c r="AE10" s="370"/>
      <c r="AF10" s="370"/>
      <c r="AG10" s="370"/>
      <c r="AH10" s="373"/>
      <c r="AI10" s="376">
        <f>AB10/D14</f>
        <v>8.5095238095238095</v>
      </c>
      <c r="AJ10" s="377">
        <v>8</v>
      </c>
    </row>
    <row r="11" spans="2:36" ht="14" thickBot="1">
      <c r="B11" s="378">
        <v>105</v>
      </c>
      <c r="C11" s="378" t="s">
        <v>927</v>
      </c>
      <c r="D11" s="378">
        <f>C22</f>
        <v>228</v>
      </c>
      <c r="E11" s="379">
        <v>0</v>
      </c>
      <c r="F11" s="380">
        <f>E11+D15</f>
        <v>30</v>
      </c>
      <c r="G11" s="380" t="s">
        <v>127</v>
      </c>
      <c r="H11" s="380" t="s">
        <v>127</v>
      </c>
      <c r="I11" s="380">
        <f>F11</f>
        <v>30</v>
      </c>
      <c r="J11" s="381">
        <f>I11+(D11*J3)</f>
        <v>714</v>
      </c>
      <c r="K11" s="382">
        <f>P10</f>
        <v>1072</v>
      </c>
      <c r="L11" s="380">
        <f>K11+D15</f>
        <v>1102</v>
      </c>
      <c r="M11" s="380"/>
      <c r="N11" s="380"/>
      <c r="O11" s="380">
        <f>L11</f>
        <v>1102</v>
      </c>
      <c r="P11" s="381">
        <f>O11+(D11*P3)</f>
        <v>1558</v>
      </c>
      <c r="Q11" s="382"/>
      <c r="R11" s="380"/>
      <c r="S11" s="380"/>
      <c r="T11" s="380"/>
      <c r="U11" s="380"/>
      <c r="V11" s="381"/>
      <c r="W11" s="383"/>
      <c r="X11" s="384"/>
      <c r="Y11" s="384"/>
      <c r="Z11" s="384"/>
      <c r="AA11" s="384"/>
      <c r="AB11" s="385"/>
      <c r="AC11" s="383">
        <f>AH9</f>
        <v>426</v>
      </c>
      <c r="AD11" s="384">
        <f>AC11+D15</f>
        <v>456</v>
      </c>
      <c r="AE11" s="384"/>
      <c r="AF11" s="384"/>
      <c r="AG11" s="384">
        <f>J11</f>
        <v>714</v>
      </c>
      <c r="AH11" s="386">
        <f>AG11+(D11*AH3)</f>
        <v>1170</v>
      </c>
      <c r="AI11" s="387">
        <f>P11/D14</f>
        <v>3.7095238095238097</v>
      </c>
      <c r="AJ11" s="388">
        <v>10</v>
      </c>
    </row>
    <row r="12" spans="2:36" customFormat="1" ht="16">
      <c r="AH12" t="s">
        <v>734</v>
      </c>
      <c r="AJ12" s="95">
        <f>((AI6-AJ6)+(AI7-AJ7)+(AI9-AJ9)+(AI10-AJ10)+(AI11-AJ11))/5</f>
        <v>-0.40285714285714286</v>
      </c>
    </row>
    <row r="14" spans="2:36">
      <c r="C14" s="355" t="s">
        <v>928</v>
      </c>
      <c r="D14" s="355">
        <f>7*60</f>
        <v>420</v>
      </c>
    </row>
    <row r="15" spans="2:36">
      <c r="C15" s="355" t="s">
        <v>899</v>
      </c>
      <c r="D15" s="355">
        <v>30</v>
      </c>
      <c r="W15" s="389"/>
    </row>
    <row r="17" spans="2:37" ht="28">
      <c r="B17" s="390" t="s">
        <v>723</v>
      </c>
      <c r="C17" s="390" t="s">
        <v>929</v>
      </c>
      <c r="D17" s="391" t="s">
        <v>930</v>
      </c>
    </row>
    <row r="18" spans="2:37">
      <c r="B18" s="355">
        <v>101</v>
      </c>
      <c r="C18" s="355">
        <v>170</v>
      </c>
      <c r="D18" s="355">
        <v>3</v>
      </c>
    </row>
    <row r="19" spans="2:37">
      <c r="B19" s="355">
        <v>102</v>
      </c>
      <c r="C19" s="355">
        <v>358</v>
      </c>
      <c r="D19" s="355">
        <v>5</v>
      </c>
    </row>
    <row r="20" spans="2:37">
      <c r="B20" s="355">
        <v>103</v>
      </c>
      <c r="C20" s="355">
        <v>198</v>
      </c>
      <c r="D20" s="355">
        <v>6</v>
      </c>
    </row>
    <row r="21" spans="2:37">
      <c r="B21" s="355">
        <v>104</v>
      </c>
      <c r="C21" s="355">
        <v>336</v>
      </c>
      <c r="D21" s="355">
        <v>8</v>
      </c>
    </row>
    <row r="22" spans="2:37">
      <c r="B22" s="355">
        <v>105</v>
      </c>
      <c r="C22" s="355">
        <v>228</v>
      </c>
      <c r="D22" s="355">
        <v>10</v>
      </c>
    </row>
    <row r="23" spans="2:37">
      <c r="I23" s="352" t="str">
        <f>I2</f>
        <v>Operario</v>
      </c>
      <c r="J23" s="352" t="str">
        <f t="shared" ref="J23:AH24" si="0">J2</f>
        <v>Ti</v>
      </c>
      <c r="K23" s="352"/>
      <c r="L23" s="352"/>
      <c r="M23" s="352">
        <f t="shared" si="0"/>
        <v>0</v>
      </c>
      <c r="N23" s="352">
        <f t="shared" si="0"/>
        <v>0</v>
      </c>
      <c r="O23" s="352" t="str">
        <f t="shared" si="0"/>
        <v>Operario</v>
      </c>
      <c r="P23" s="352" t="str">
        <f t="shared" si="0"/>
        <v>Ti</v>
      </c>
      <c r="Q23" s="352"/>
      <c r="R23" s="352"/>
      <c r="S23" s="352">
        <f t="shared" si="0"/>
        <v>0</v>
      </c>
      <c r="T23" s="352">
        <f t="shared" si="0"/>
        <v>0</v>
      </c>
      <c r="U23" s="352" t="str">
        <f t="shared" si="0"/>
        <v>Operario</v>
      </c>
      <c r="V23" s="352" t="str">
        <f t="shared" si="0"/>
        <v>Ti</v>
      </c>
      <c r="W23" s="352"/>
      <c r="X23" s="352"/>
      <c r="Y23" s="352">
        <f t="shared" si="0"/>
        <v>0</v>
      </c>
      <c r="Z23" s="352">
        <f t="shared" si="0"/>
        <v>0</v>
      </c>
      <c r="AA23" s="352" t="str">
        <f t="shared" si="0"/>
        <v>Operario</v>
      </c>
      <c r="AB23" s="352" t="str">
        <f t="shared" si="0"/>
        <v>Ti</v>
      </c>
      <c r="AC23" s="352"/>
      <c r="AD23" s="352"/>
      <c r="AE23" s="352">
        <f t="shared" si="0"/>
        <v>0</v>
      </c>
      <c r="AF23" s="352">
        <f t="shared" si="0"/>
        <v>0</v>
      </c>
      <c r="AG23" s="352" t="str">
        <f t="shared" si="0"/>
        <v>Operario</v>
      </c>
      <c r="AH23" s="352" t="str">
        <f t="shared" si="0"/>
        <v>Ti</v>
      </c>
    </row>
    <row r="24" spans="2:37" ht="16">
      <c r="B24" s="353" t="s">
        <v>931</v>
      </c>
      <c r="I24" s="281" t="str">
        <f>I3</f>
        <v>Carlos</v>
      </c>
      <c r="J24" s="281">
        <f t="shared" si="0"/>
        <v>3</v>
      </c>
      <c r="K24" s="281"/>
      <c r="L24" s="281"/>
      <c r="M24" s="281">
        <f t="shared" si="0"/>
        <v>0</v>
      </c>
      <c r="N24" s="281">
        <f t="shared" si="0"/>
        <v>0</v>
      </c>
      <c r="O24" s="281" t="str">
        <f t="shared" si="0"/>
        <v>María</v>
      </c>
      <c r="P24" s="281">
        <f t="shared" si="0"/>
        <v>2</v>
      </c>
      <c r="Q24" s="281"/>
      <c r="R24" s="281"/>
      <c r="S24" s="281">
        <f t="shared" si="0"/>
        <v>0</v>
      </c>
      <c r="T24" s="281">
        <f t="shared" si="0"/>
        <v>0</v>
      </c>
      <c r="U24" s="281" t="str">
        <f t="shared" si="0"/>
        <v>Roberto</v>
      </c>
      <c r="V24" s="281">
        <f t="shared" si="0"/>
        <v>4</v>
      </c>
      <c r="W24" s="281"/>
      <c r="X24" s="281"/>
      <c r="Y24" s="281">
        <f t="shared" si="0"/>
        <v>0</v>
      </c>
      <c r="Z24" s="281">
        <f t="shared" si="0"/>
        <v>0</v>
      </c>
      <c r="AA24" s="281" t="str">
        <f t="shared" si="0"/>
        <v>Ana</v>
      </c>
      <c r="AB24" s="281">
        <f t="shared" si="0"/>
        <v>3</v>
      </c>
      <c r="AC24" s="281"/>
      <c r="AD24" s="281"/>
      <c r="AE24" s="281">
        <f t="shared" si="0"/>
        <v>0</v>
      </c>
      <c r="AF24" s="281">
        <f t="shared" si="0"/>
        <v>0</v>
      </c>
      <c r="AG24" s="281" t="str">
        <f t="shared" si="0"/>
        <v>Juan</v>
      </c>
      <c r="AH24" s="281">
        <f t="shared" si="0"/>
        <v>2</v>
      </c>
    </row>
    <row r="25" spans="2:37" ht="14" thickBot="1"/>
    <row r="26" spans="2:37">
      <c r="B26" s="356" t="s">
        <v>723</v>
      </c>
      <c r="C26" s="356" t="s">
        <v>920</v>
      </c>
      <c r="D26" s="392" t="s">
        <v>377</v>
      </c>
      <c r="E26" s="478" t="s">
        <v>807</v>
      </c>
      <c r="F26" s="479"/>
      <c r="G26" s="357" t="s">
        <v>707</v>
      </c>
      <c r="H26" s="358" t="s">
        <v>809</v>
      </c>
      <c r="I26" s="479" t="s">
        <v>794</v>
      </c>
      <c r="J26" s="480"/>
      <c r="K26" s="478" t="s">
        <v>810</v>
      </c>
      <c r="L26" s="479"/>
      <c r="M26" s="357" t="s">
        <v>707</v>
      </c>
      <c r="N26" s="358" t="s">
        <v>809</v>
      </c>
      <c r="O26" s="479" t="s">
        <v>795</v>
      </c>
      <c r="P26" s="481"/>
      <c r="Q26" s="478" t="s">
        <v>811</v>
      </c>
      <c r="R26" s="479"/>
      <c r="S26" s="357" t="s">
        <v>707</v>
      </c>
      <c r="T26" s="358" t="s">
        <v>809</v>
      </c>
      <c r="U26" s="479" t="s">
        <v>812</v>
      </c>
      <c r="V26" s="480"/>
      <c r="W26" s="482" t="s">
        <v>843</v>
      </c>
      <c r="X26" s="483"/>
      <c r="Y26" s="359" t="s">
        <v>707</v>
      </c>
      <c r="Z26" s="360" t="s">
        <v>809</v>
      </c>
      <c r="AA26" s="484" t="s">
        <v>921</v>
      </c>
      <c r="AB26" s="482"/>
      <c r="AC26" s="485" t="s">
        <v>843</v>
      </c>
      <c r="AD26" s="486"/>
      <c r="AE26" s="360" t="s">
        <v>707</v>
      </c>
      <c r="AF26" s="360" t="s">
        <v>809</v>
      </c>
      <c r="AG26" s="486" t="s">
        <v>922</v>
      </c>
      <c r="AH26" s="487"/>
      <c r="AI26" s="393" t="s">
        <v>838</v>
      </c>
      <c r="AJ26" s="394" t="s">
        <v>107</v>
      </c>
      <c r="AK26" s="394" t="s">
        <v>932</v>
      </c>
    </row>
    <row r="27" spans="2:37">
      <c r="B27" s="471">
        <v>101</v>
      </c>
      <c r="C27" s="471" t="s">
        <v>923</v>
      </c>
      <c r="D27" s="395">
        <f>C18/2</f>
        <v>85</v>
      </c>
      <c r="E27" s="368"/>
      <c r="F27" s="365"/>
      <c r="G27" s="366"/>
      <c r="H27" s="365"/>
      <c r="I27" s="365"/>
      <c r="J27" s="367"/>
      <c r="K27" s="368">
        <f>L27-D15</f>
        <v>380</v>
      </c>
      <c r="L27" s="365">
        <f>O27</f>
        <v>410</v>
      </c>
      <c r="M27" s="366"/>
      <c r="N27" s="365"/>
      <c r="O27" s="365">
        <f>P27-(D27*P24)</f>
        <v>410</v>
      </c>
      <c r="P27" s="396">
        <f>AA27</f>
        <v>580</v>
      </c>
      <c r="Q27" s="368"/>
      <c r="R27" s="365"/>
      <c r="S27" s="366"/>
      <c r="T27" s="365"/>
      <c r="U27" s="365"/>
      <c r="V27" s="367"/>
      <c r="W27" s="397">
        <f>X27-D15</f>
        <v>550</v>
      </c>
      <c r="X27" s="398">
        <f>AA27</f>
        <v>580</v>
      </c>
      <c r="Y27" s="399"/>
      <c r="Z27" s="398"/>
      <c r="AA27" s="398">
        <f>AB27-(D27*AB24)</f>
        <v>580</v>
      </c>
      <c r="AB27" s="400">
        <f>AA28</f>
        <v>835</v>
      </c>
      <c r="AC27" s="401">
        <f>AD27-D15</f>
        <v>805</v>
      </c>
      <c r="AD27" s="398">
        <f>AG27</f>
        <v>835</v>
      </c>
      <c r="AE27" s="399"/>
      <c r="AF27" s="398"/>
      <c r="AG27" s="398">
        <f>AH27-(D27*AH24)</f>
        <v>835</v>
      </c>
      <c r="AH27" s="402">
        <v>1005</v>
      </c>
      <c r="AI27" s="403"/>
      <c r="AJ27" s="404"/>
      <c r="AK27" s="404"/>
    </row>
    <row r="28" spans="2:37">
      <c r="B28" s="472"/>
      <c r="C28" s="472"/>
      <c r="D28" s="405">
        <f>D27</f>
        <v>85</v>
      </c>
      <c r="E28" s="368"/>
      <c r="F28" s="365"/>
      <c r="G28" s="365"/>
      <c r="H28" s="365"/>
      <c r="I28" s="365"/>
      <c r="J28" s="367"/>
      <c r="K28" s="368" t="s">
        <v>127</v>
      </c>
      <c r="L28" s="365" t="s">
        <v>127</v>
      </c>
      <c r="M28" s="365"/>
      <c r="N28" s="365"/>
      <c r="O28" s="365">
        <f>P28-(D28*P24)</f>
        <v>665</v>
      </c>
      <c r="P28" s="396">
        <f>AA28</f>
        <v>835</v>
      </c>
      <c r="Q28" s="368"/>
      <c r="R28" s="365"/>
      <c r="S28" s="365"/>
      <c r="T28" s="365"/>
      <c r="U28" s="365"/>
      <c r="V28" s="367"/>
      <c r="W28" s="397" t="s">
        <v>127</v>
      </c>
      <c r="X28" s="398" t="s">
        <v>127</v>
      </c>
      <c r="Y28" s="398"/>
      <c r="Z28" s="398"/>
      <c r="AA28" s="398">
        <f>AB28-(D28*AB24)</f>
        <v>835</v>
      </c>
      <c r="AB28" s="400">
        <f>AG28</f>
        <v>1090</v>
      </c>
      <c r="AC28" s="401" t="s">
        <v>127</v>
      </c>
      <c r="AD28" s="398" t="s">
        <v>127</v>
      </c>
      <c r="AE28" s="398"/>
      <c r="AF28" s="398"/>
      <c r="AG28" s="398">
        <f>AH28-(D28*AH24)</f>
        <v>1090</v>
      </c>
      <c r="AH28" s="406">
        <f>AI28</f>
        <v>1260</v>
      </c>
      <c r="AI28" s="407">
        <f>AJ28*D14</f>
        <v>1260</v>
      </c>
      <c r="AJ28" s="404">
        <f>D18</f>
        <v>3</v>
      </c>
      <c r="AK28" s="404">
        <f>AI28/D14</f>
        <v>3</v>
      </c>
    </row>
    <row r="29" spans="2:37">
      <c r="B29" s="471">
        <v>103</v>
      </c>
      <c r="C29" s="471" t="s">
        <v>925</v>
      </c>
      <c r="D29" s="405">
        <f>C20/2</f>
        <v>99</v>
      </c>
      <c r="E29" s="368">
        <f>F29-D15</f>
        <v>1698</v>
      </c>
      <c r="F29" s="365">
        <f>I29</f>
        <v>1728</v>
      </c>
      <c r="G29" s="365"/>
      <c r="H29" s="365"/>
      <c r="I29" s="365">
        <f>J29-(D29*J24)</f>
        <v>1728</v>
      </c>
      <c r="J29" s="367">
        <f>I30</f>
        <v>2025</v>
      </c>
      <c r="K29" s="368">
        <f>L29-D15</f>
        <v>1995</v>
      </c>
      <c r="L29" s="365">
        <f>O29</f>
        <v>2025</v>
      </c>
      <c r="M29" s="365"/>
      <c r="N29" s="365"/>
      <c r="O29" s="365">
        <f>P29-(D29*P24)</f>
        <v>2025</v>
      </c>
      <c r="P29" s="396">
        <v>2223</v>
      </c>
      <c r="Q29" s="368"/>
      <c r="R29" s="365"/>
      <c r="S29" s="365"/>
      <c r="T29" s="365"/>
      <c r="U29" s="365"/>
      <c r="V29" s="367"/>
      <c r="W29" s="397"/>
      <c r="X29" s="398"/>
      <c r="Y29" s="398"/>
      <c r="Z29" s="398"/>
      <c r="AA29" s="398"/>
      <c r="AB29" s="400"/>
      <c r="AC29" s="401">
        <f>AD29-D15</f>
        <v>1500</v>
      </c>
      <c r="AD29" s="398">
        <f>AG29</f>
        <v>1530</v>
      </c>
      <c r="AE29" s="398"/>
      <c r="AF29" s="398"/>
      <c r="AG29" s="398">
        <f>AH29-(D29*AH24)</f>
        <v>1530</v>
      </c>
      <c r="AH29" s="402">
        <f>I29</f>
        <v>1728</v>
      </c>
      <c r="AI29" s="403"/>
      <c r="AJ29" s="404"/>
      <c r="AK29" s="404"/>
    </row>
    <row r="30" spans="2:37">
      <c r="B30" s="472"/>
      <c r="C30" s="472"/>
      <c r="D30" s="395">
        <f>D29</f>
        <v>99</v>
      </c>
      <c r="E30" s="368" t="s">
        <v>127</v>
      </c>
      <c r="F30" s="365" t="s">
        <v>127</v>
      </c>
      <c r="G30" s="365"/>
      <c r="H30" s="365"/>
      <c r="I30" s="365">
        <f>J30-(D30*J24)</f>
        <v>2025</v>
      </c>
      <c r="J30" s="367">
        <f>O30</f>
        <v>2322</v>
      </c>
      <c r="K30" s="368" t="s">
        <v>127</v>
      </c>
      <c r="L30" s="365" t="s">
        <v>127</v>
      </c>
      <c r="M30" s="365"/>
      <c r="N30" s="365"/>
      <c r="O30" s="365">
        <f>P30-(D30*P24)</f>
        <v>2322</v>
      </c>
      <c r="P30" s="408">
        <f>AI30</f>
        <v>2520</v>
      </c>
      <c r="Q30" s="368"/>
      <c r="R30" s="365"/>
      <c r="S30" s="365"/>
      <c r="T30" s="365"/>
      <c r="U30" s="365"/>
      <c r="V30" s="367"/>
      <c r="W30" s="397"/>
      <c r="X30" s="398"/>
      <c r="Y30" s="398"/>
      <c r="Z30" s="398"/>
      <c r="AA30" s="398"/>
      <c r="AB30" s="400"/>
      <c r="AC30" s="401" t="s">
        <v>127</v>
      </c>
      <c r="AD30" s="398" t="s">
        <v>127</v>
      </c>
      <c r="AE30" s="398"/>
      <c r="AF30" s="398"/>
      <c r="AG30" s="398">
        <f>AH30-(D30*AH24)</f>
        <v>1827</v>
      </c>
      <c r="AH30" s="402">
        <f>I30</f>
        <v>2025</v>
      </c>
      <c r="AI30" s="407">
        <f>AJ30*D14</f>
        <v>2520</v>
      </c>
      <c r="AJ30" s="404">
        <v>6</v>
      </c>
      <c r="AK30" s="404">
        <f>AI30/D14</f>
        <v>6</v>
      </c>
    </row>
    <row r="31" spans="2:37">
      <c r="B31" s="471">
        <v>105</v>
      </c>
      <c r="C31" s="471" t="s">
        <v>927</v>
      </c>
      <c r="D31" s="395">
        <f>C22/2</f>
        <v>114</v>
      </c>
      <c r="E31" s="368">
        <f>F31-D15</f>
        <v>3030</v>
      </c>
      <c r="F31" s="365">
        <f>I31</f>
        <v>3060</v>
      </c>
      <c r="G31" s="365"/>
      <c r="H31" s="365"/>
      <c r="I31" s="365">
        <f>J31-(D31*J24)</f>
        <v>3060</v>
      </c>
      <c r="J31" s="367">
        <f>I32</f>
        <v>3402</v>
      </c>
      <c r="K31" s="368">
        <f>L31-D15</f>
        <v>3714</v>
      </c>
      <c r="L31" s="365">
        <f>O31</f>
        <v>3744</v>
      </c>
      <c r="M31" s="365"/>
      <c r="N31" s="365"/>
      <c r="O31" s="365">
        <f>P31-(D31*P24)</f>
        <v>3744</v>
      </c>
      <c r="P31" s="396">
        <f>O32</f>
        <v>3972</v>
      </c>
      <c r="Q31" s="368"/>
      <c r="R31" s="365"/>
      <c r="S31" s="365"/>
      <c r="T31" s="365"/>
      <c r="U31" s="365"/>
      <c r="V31" s="367"/>
      <c r="W31" s="397"/>
      <c r="X31" s="398"/>
      <c r="Y31" s="398"/>
      <c r="Z31" s="398"/>
      <c r="AA31" s="398"/>
      <c r="AB31" s="400"/>
      <c r="AC31" s="401">
        <f>AD31-D15</f>
        <v>3486</v>
      </c>
      <c r="AD31" s="398">
        <f>AG31</f>
        <v>3516</v>
      </c>
      <c r="AE31" s="398"/>
      <c r="AF31" s="398"/>
      <c r="AG31" s="398">
        <f>AH31-(D31*AH24)</f>
        <v>3516</v>
      </c>
      <c r="AH31" s="402">
        <f>O31</f>
        <v>3744</v>
      </c>
      <c r="AI31" s="409"/>
      <c r="AJ31" s="404"/>
      <c r="AK31" s="404"/>
    </row>
    <row r="32" spans="2:37">
      <c r="B32" s="472"/>
      <c r="C32" s="472"/>
      <c r="D32" s="395">
        <f>D31</f>
        <v>114</v>
      </c>
      <c r="E32" s="368" t="s">
        <v>127</v>
      </c>
      <c r="F32" s="365" t="s">
        <v>127</v>
      </c>
      <c r="G32" s="365"/>
      <c r="H32" s="365"/>
      <c r="I32" s="365">
        <f>J32-(D32*J24)</f>
        <v>3402</v>
      </c>
      <c r="J32" s="367">
        <f>AG32</f>
        <v>3744</v>
      </c>
      <c r="K32" s="368" t="s">
        <v>127</v>
      </c>
      <c r="L32" s="365" t="s">
        <v>933</v>
      </c>
      <c r="M32" s="365"/>
      <c r="N32" s="365"/>
      <c r="O32" s="365">
        <f>P32-(D32*P24)</f>
        <v>3972</v>
      </c>
      <c r="P32" s="408">
        <f>AI32</f>
        <v>4200</v>
      </c>
      <c r="Q32" s="368"/>
      <c r="R32" s="365"/>
      <c r="S32" s="365"/>
      <c r="T32" s="365"/>
      <c r="U32" s="365"/>
      <c r="V32" s="367"/>
      <c r="W32" s="397"/>
      <c r="X32" s="398"/>
      <c r="Y32" s="398"/>
      <c r="Z32" s="398"/>
      <c r="AA32" s="398"/>
      <c r="AB32" s="400"/>
      <c r="AC32" s="401" t="s">
        <v>127</v>
      </c>
      <c r="AD32" s="398" t="s">
        <v>127</v>
      </c>
      <c r="AE32" s="398"/>
      <c r="AF32" s="398"/>
      <c r="AG32" s="398">
        <f>AH32-(D32*AH24)</f>
        <v>3744</v>
      </c>
      <c r="AH32" s="402">
        <f>O32</f>
        <v>3972</v>
      </c>
      <c r="AI32" s="410">
        <f>AJ32*D14</f>
        <v>4200</v>
      </c>
      <c r="AJ32" s="404">
        <f>D22</f>
        <v>10</v>
      </c>
      <c r="AK32" s="404">
        <f>AI32/D14</f>
        <v>10</v>
      </c>
    </row>
    <row r="33" spans="2:37">
      <c r="B33" s="471">
        <v>104</v>
      </c>
      <c r="C33" s="471" t="s">
        <v>926</v>
      </c>
      <c r="D33" s="395">
        <f>C21/2</f>
        <v>168</v>
      </c>
      <c r="E33" s="411">
        <f>F33-D15</f>
        <v>4536</v>
      </c>
      <c r="F33" s="412">
        <f>I33</f>
        <v>4566</v>
      </c>
      <c r="G33" s="365"/>
      <c r="H33" s="365"/>
      <c r="I33" s="412">
        <f>P33</f>
        <v>4566</v>
      </c>
      <c r="J33" s="413">
        <f>I33+(D33*J24)</f>
        <v>5070</v>
      </c>
      <c r="K33" s="411">
        <f>P32</f>
        <v>4200</v>
      </c>
      <c r="L33" s="412">
        <f>K33+D15</f>
        <v>4230</v>
      </c>
      <c r="M33" s="365"/>
      <c r="N33" s="365"/>
      <c r="O33" s="412">
        <f>L33</f>
        <v>4230</v>
      </c>
      <c r="P33" s="408">
        <f>O33+(D33*P24)</f>
        <v>4566</v>
      </c>
      <c r="Q33" s="368"/>
      <c r="R33" s="365"/>
      <c r="S33" s="365"/>
      <c r="T33" s="365"/>
      <c r="U33" s="365"/>
      <c r="V33" s="367"/>
      <c r="W33" s="414">
        <f>X33-D15</f>
        <v>4536</v>
      </c>
      <c r="X33" s="415">
        <f>AA33</f>
        <v>4566</v>
      </c>
      <c r="Y33" s="398"/>
      <c r="Z33" s="398"/>
      <c r="AA33" s="415">
        <f>P33</f>
        <v>4566</v>
      </c>
      <c r="AB33" s="416">
        <f>AA33+(D33*AB24)</f>
        <v>5070</v>
      </c>
      <c r="AC33" s="401"/>
      <c r="AD33" s="398"/>
      <c r="AE33" s="398"/>
      <c r="AF33" s="398"/>
      <c r="AG33" s="398"/>
      <c r="AH33" s="402"/>
      <c r="AI33" s="417"/>
      <c r="AJ33" s="404"/>
      <c r="AK33" s="404"/>
    </row>
    <row r="34" spans="2:37">
      <c r="B34" s="472"/>
      <c r="C34" s="472"/>
      <c r="D34" s="395">
        <f>D33</f>
        <v>168</v>
      </c>
      <c r="E34" s="368" t="s">
        <v>127</v>
      </c>
      <c r="F34" s="365" t="s">
        <v>127</v>
      </c>
      <c r="G34" s="366"/>
      <c r="H34" s="365"/>
      <c r="I34" s="412">
        <f>J33</f>
        <v>5070</v>
      </c>
      <c r="J34" s="413">
        <f>I34+(D34*J24)</f>
        <v>5574</v>
      </c>
      <c r="K34" s="411" t="s">
        <v>127</v>
      </c>
      <c r="L34" s="412" t="s">
        <v>127</v>
      </c>
      <c r="M34" s="366"/>
      <c r="N34" s="365"/>
      <c r="O34" s="412">
        <f>P34-(D34*P24)</f>
        <v>4734</v>
      </c>
      <c r="P34" s="408">
        <f>J33</f>
        <v>5070</v>
      </c>
      <c r="Q34" s="368"/>
      <c r="R34" s="365"/>
      <c r="S34" s="366"/>
      <c r="T34" s="365"/>
      <c r="U34" s="365"/>
      <c r="V34" s="367"/>
      <c r="W34" s="397" t="s">
        <v>127</v>
      </c>
      <c r="X34" s="398" t="s">
        <v>127</v>
      </c>
      <c r="Y34" s="399"/>
      <c r="Z34" s="398"/>
      <c r="AA34" s="415">
        <f>AB33</f>
        <v>5070</v>
      </c>
      <c r="AB34" s="416">
        <f>AA34+(D34*AB24)</f>
        <v>5574</v>
      </c>
      <c r="AC34" s="401"/>
      <c r="AD34" s="415"/>
      <c r="AE34" s="399"/>
      <c r="AF34" s="398"/>
      <c r="AG34" s="398"/>
      <c r="AH34" s="402"/>
      <c r="AI34" s="410">
        <f>AB34</f>
        <v>5574</v>
      </c>
      <c r="AJ34" s="404">
        <f>D21</f>
        <v>8</v>
      </c>
      <c r="AK34" s="418">
        <f>AI34/D14</f>
        <v>13.271428571428572</v>
      </c>
    </row>
    <row r="35" spans="2:37">
      <c r="B35" s="471">
        <v>102</v>
      </c>
      <c r="C35" s="471" t="s">
        <v>924</v>
      </c>
      <c r="D35" s="469">
        <f>C19/2</f>
        <v>179</v>
      </c>
      <c r="E35" s="368"/>
      <c r="F35" s="365"/>
      <c r="G35" s="365"/>
      <c r="H35" s="365"/>
      <c r="I35" s="365"/>
      <c r="J35" s="367"/>
      <c r="K35" s="368"/>
      <c r="L35" s="365"/>
      <c r="M35" s="365"/>
      <c r="N35" s="365"/>
      <c r="O35" s="365"/>
      <c r="P35" s="396"/>
      <c r="Q35" s="368">
        <f>R35-D15</f>
        <v>374</v>
      </c>
      <c r="R35" s="365">
        <f>U35</f>
        <v>404</v>
      </c>
      <c r="S35" s="365"/>
      <c r="T35" s="365"/>
      <c r="U35" s="365">
        <f>V35-(D35*V24)</f>
        <v>404</v>
      </c>
      <c r="V35" s="413">
        <f>AA35</f>
        <v>1120</v>
      </c>
      <c r="W35" s="414">
        <f>AB28</f>
        <v>1090</v>
      </c>
      <c r="X35" s="415">
        <f>W35+D15</f>
        <v>1120</v>
      </c>
      <c r="Y35" s="398"/>
      <c r="Z35" s="398"/>
      <c r="AA35" s="415">
        <f>X35</f>
        <v>1120</v>
      </c>
      <c r="AB35" s="400">
        <f>AA35+(D35*AB24)</f>
        <v>1657</v>
      </c>
      <c r="AC35" s="401"/>
      <c r="AD35" s="398"/>
      <c r="AE35" s="398"/>
      <c r="AF35" s="398"/>
      <c r="AG35" s="398"/>
      <c r="AH35" s="402"/>
      <c r="AI35" s="403"/>
      <c r="AJ35" s="404"/>
      <c r="AK35" s="404"/>
    </row>
    <row r="36" spans="2:37">
      <c r="B36" s="473"/>
      <c r="C36" s="473"/>
      <c r="D36" s="475"/>
      <c r="E36" s="368"/>
      <c r="F36" s="365"/>
      <c r="G36" s="365"/>
      <c r="H36" s="365"/>
      <c r="I36" s="365"/>
      <c r="J36" s="367"/>
      <c r="K36" s="368"/>
      <c r="L36" s="365"/>
      <c r="M36" s="365"/>
      <c r="N36" s="365"/>
      <c r="O36" s="365"/>
      <c r="P36" s="396"/>
      <c r="Q36" s="368">
        <f>R36-D15</f>
        <v>1627</v>
      </c>
      <c r="R36" s="365">
        <f>U36</f>
        <v>1657</v>
      </c>
      <c r="S36" s="365"/>
      <c r="T36" s="365"/>
      <c r="U36" s="412">
        <f>AB35</f>
        <v>1657</v>
      </c>
      <c r="V36" s="413">
        <f>U36+(D37*V24)</f>
        <v>2373</v>
      </c>
      <c r="W36" s="414"/>
      <c r="X36" s="415"/>
      <c r="Y36" s="398"/>
      <c r="Z36" s="398"/>
      <c r="AA36" s="415"/>
      <c r="AB36" s="416"/>
      <c r="AC36" s="401"/>
      <c r="AD36" s="398"/>
      <c r="AE36" s="398"/>
      <c r="AF36" s="398"/>
      <c r="AG36" s="398"/>
      <c r="AH36" s="402"/>
      <c r="AI36" s="403"/>
      <c r="AJ36" s="404"/>
      <c r="AK36" s="404"/>
    </row>
    <row r="37" spans="2:37">
      <c r="B37" s="473"/>
      <c r="C37" s="473"/>
      <c r="D37" s="469">
        <f>D35</f>
        <v>179</v>
      </c>
      <c r="E37" s="368"/>
      <c r="F37" s="365"/>
      <c r="G37" s="365"/>
      <c r="H37" s="365"/>
      <c r="I37" s="365"/>
      <c r="J37" s="367"/>
      <c r="K37" s="368"/>
      <c r="L37" s="365"/>
      <c r="M37" s="365"/>
      <c r="N37" s="365"/>
      <c r="O37" s="365"/>
      <c r="P37" s="396"/>
      <c r="Q37" s="368" t="s">
        <v>127</v>
      </c>
      <c r="R37" s="365" t="s">
        <v>127</v>
      </c>
      <c r="S37" s="365"/>
      <c r="T37" s="365"/>
      <c r="U37" s="412">
        <f>V36</f>
        <v>2373</v>
      </c>
      <c r="V37" s="413">
        <f>U37+(D37*V24)</f>
        <v>3089</v>
      </c>
      <c r="W37" s="397" t="s">
        <v>127</v>
      </c>
      <c r="X37" s="398" t="s">
        <v>127</v>
      </c>
      <c r="Y37" s="398"/>
      <c r="Z37" s="398"/>
      <c r="AA37" s="415">
        <f>V37</f>
        <v>3089</v>
      </c>
      <c r="AB37" s="416">
        <f>AA37+(D37*AB24)</f>
        <v>3626</v>
      </c>
      <c r="AC37" s="401"/>
      <c r="AD37" s="398"/>
      <c r="AE37" s="398"/>
      <c r="AF37" s="398"/>
      <c r="AG37" s="398"/>
      <c r="AH37" s="402"/>
      <c r="AI37" s="409"/>
      <c r="AJ37" s="404"/>
      <c r="AK37" s="404"/>
    </row>
    <row r="38" spans="2:37" ht="14" thickBot="1">
      <c r="B38" s="474"/>
      <c r="C38" s="474"/>
      <c r="D38" s="470"/>
      <c r="E38" s="382"/>
      <c r="F38" s="380"/>
      <c r="G38" s="380"/>
      <c r="H38" s="380"/>
      <c r="I38" s="380"/>
      <c r="J38" s="381"/>
      <c r="K38" s="382"/>
      <c r="L38" s="380"/>
      <c r="M38" s="380"/>
      <c r="N38" s="380"/>
      <c r="O38" s="380"/>
      <c r="P38" s="419"/>
      <c r="Q38" s="382" t="s">
        <v>127</v>
      </c>
      <c r="R38" s="380" t="s">
        <v>127</v>
      </c>
      <c r="S38" s="380"/>
      <c r="T38" s="380"/>
      <c r="U38" s="420">
        <f>AB37</f>
        <v>3626</v>
      </c>
      <c r="V38" s="381">
        <f>U38+(D37*V24)</f>
        <v>4342</v>
      </c>
      <c r="W38" s="379"/>
      <c r="X38" s="380"/>
      <c r="Y38" s="380"/>
      <c r="Z38" s="380"/>
      <c r="AA38" s="380"/>
      <c r="AB38" s="419"/>
      <c r="AC38" s="421"/>
      <c r="AD38" s="422"/>
      <c r="AE38" s="422"/>
      <c r="AF38" s="422"/>
      <c r="AG38" s="422"/>
      <c r="AH38" s="423"/>
      <c r="AI38" s="424">
        <f>V38</f>
        <v>4342</v>
      </c>
      <c r="AJ38" s="425">
        <f>D19</f>
        <v>5</v>
      </c>
      <c r="AK38" s="426">
        <f>AI38/D14</f>
        <v>10.338095238095239</v>
      </c>
    </row>
    <row r="39" spans="2:37">
      <c r="AI39" s="354" t="s">
        <v>734</v>
      </c>
      <c r="AK39" s="427">
        <f>((AJ28-AK28)+(AJ30-AK30)+(AJ32-AK32)+(AJ34-AK34)+(AJ38-AK38))/5</f>
        <v>-2.1219047619047622</v>
      </c>
    </row>
    <row r="40" spans="2:37" ht="16">
      <c r="K40"/>
      <c r="L40"/>
      <c r="M40"/>
      <c r="N40"/>
    </row>
    <row r="41" spans="2:37" ht="16">
      <c r="K41"/>
      <c r="L41"/>
      <c r="M41"/>
      <c r="N41"/>
    </row>
    <row r="42" spans="2:37" ht="16">
      <c r="K42"/>
      <c r="L42"/>
      <c r="M42"/>
      <c r="N42"/>
    </row>
    <row r="43" spans="2:37" ht="16">
      <c r="K43"/>
      <c r="L43"/>
      <c r="M43"/>
      <c r="N43"/>
    </row>
    <row r="44" spans="2:37" ht="16">
      <c r="K44"/>
      <c r="L44"/>
      <c r="M44"/>
      <c r="N44"/>
    </row>
    <row r="45" spans="2:37" ht="16">
      <c r="K45"/>
      <c r="L45"/>
      <c r="M45"/>
      <c r="N45"/>
    </row>
    <row r="46" spans="2:37" ht="16">
      <c r="K46"/>
      <c r="L46"/>
      <c r="M46"/>
      <c r="N46"/>
    </row>
  </sheetData>
  <mergeCells count="37">
    <mergeCell ref="W5:X5"/>
    <mergeCell ref="AA5:AB5"/>
    <mergeCell ref="AC5:AD5"/>
    <mergeCell ref="AG5:AH5"/>
    <mergeCell ref="B7:B8"/>
    <mergeCell ref="C7:C8"/>
    <mergeCell ref="D7:D8"/>
    <mergeCell ref="E5:F5"/>
    <mergeCell ref="I5:J5"/>
    <mergeCell ref="K5:L5"/>
    <mergeCell ref="O5:P5"/>
    <mergeCell ref="Q5:R5"/>
    <mergeCell ref="U5:V5"/>
    <mergeCell ref="AI7:AI8"/>
    <mergeCell ref="AJ7:AJ8"/>
    <mergeCell ref="E26:F26"/>
    <mergeCell ref="I26:J26"/>
    <mergeCell ref="K26:L26"/>
    <mergeCell ref="O26:P26"/>
    <mergeCell ref="Q26:R26"/>
    <mergeCell ref="U26:V26"/>
    <mergeCell ref="W26:X26"/>
    <mergeCell ref="AA26:AB26"/>
    <mergeCell ref="AC26:AD26"/>
    <mergeCell ref="AG26:AH26"/>
    <mergeCell ref="B27:B28"/>
    <mergeCell ref="C27:C28"/>
    <mergeCell ref="B29:B30"/>
    <mergeCell ref="C29:C30"/>
    <mergeCell ref="D35:D36"/>
    <mergeCell ref="D37:D38"/>
    <mergeCell ref="B31:B32"/>
    <mergeCell ref="C31:C32"/>
    <mergeCell ref="B33:B34"/>
    <mergeCell ref="C33:C34"/>
    <mergeCell ref="B35:B38"/>
    <mergeCell ref="C35:C38"/>
  </mergeCells>
  <pageMargins left="0.75" right="0.75" top="1" bottom="1" header="0.5" footer="0.5"/>
  <pageSetup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D09D77-E4DF-BC40-B61F-7F6401565C17}">
  <dimension ref="A1:H70"/>
  <sheetViews>
    <sheetView topLeftCell="A26" workbookViewId="0">
      <selection activeCell="C64" sqref="C64"/>
    </sheetView>
  </sheetViews>
  <sheetFormatPr baseColWidth="10" defaultRowHeight="13"/>
  <cols>
    <col min="1" max="1" width="30.5" style="2" customWidth="1"/>
    <col min="2" max="3" width="10.83203125" style="2"/>
    <col min="4" max="4" width="13.6640625" style="2" customWidth="1"/>
    <col min="5" max="5" width="12" style="2" customWidth="1"/>
    <col min="6" max="6" width="21.5" style="2" customWidth="1"/>
    <col min="7" max="16384" width="10.83203125" style="2"/>
  </cols>
  <sheetData>
    <row r="1" spans="1:4" ht="16">
      <c r="A1" s="1" t="s">
        <v>0</v>
      </c>
    </row>
    <row r="2" spans="1:4" ht="16">
      <c r="A2" s="3" t="s">
        <v>1</v>
      </c>
    </row>
    <row r="3" spans="1:4" ht="16">
      <c r="A3" s="3" t="s">
        <v>2</v>
      </c>
    </row>
    <row r="4" spans="1:4">
      <c r="A4" s="4" t="s">
        <v>3</v>
      </c>
    </row>
    <row r="6" spans="1:4">
      <c r="A6" s="5" t="s">
        <v>4</v>
      </c>
    </row>
    <row r="7" spans="1:4">
      <c r="A7" s="6" t="s">
        <v>6</v>
      </c>
      <c r="B7" s="7" t="s">
        <v>7</v>
      </c>
      <c r="C7" s="7" t="s">
        <v>8</v>
      </c>
      <c r="D7" s="7" t="s">
        <v>9</v>
      </c>
    </row>
    <row r="8" spans="1:4">
      <c r="A8" s="9" t="s">
        <v>11</v>
      </c>
      <c r="B8" s="10">
        <v>7500</v>
      </c>
      <c r="C8" s="10">
        <v>8000</v>
      </c>
      <c r="D8" s="10">
        <v>19000</v>
      </c>
    </row>
    <row r="9" spans="1:4">
      <c r="A9" s="9" t="s">
        <v>13</v>
      </c>
      <c r="B9" s="10">
        <v>1000</v>
      </c>
      <c r="C9" s="12">
        <f>B15</f>
        <v>5300</v>
      </c>
      <c r="D9" s="12">
        <f>C15</f>
        <v>9099.9999999999964</v>
      </c>
    </row>
    <row r="10" spans="1:4">
      <c r="A10" s="9" t="s">
        <v>15</v>
      </c>
      <c r="B10" s="12">
        <f>C27</f>
        <v>12164.948453608247</v>
      </c>
      <c r="C10" s="12">
        <f>C27</f>
        <v>12164.948453608247</v>
      </c>
      <c r="D10" s="12">
        <f>C27</f>
        <v>12164.948453608247</v>
      </c>
    </row>
    <row r="11" spans="1:4">
      <c r="A11" s="9" t="s">
        <v>16</v>
      </c>
      <c r="B11" s="12">
        <v>0</v>
      </c>
      <c r="C11" s="12">
        <v>0</v>
      </c>
      <c r="D11" s="12">
        <v>0</v>
      </c>
    </row>
    <row r="12" spans="1:4">
      <c r="A12" s="9" t="s">
        <v>17</v>
      </c>
      <c r="B12" s="12">
        <f>B10*(1-$D$32)</f>
        <v>364.94845360824775</v>
      </c>
      <c r="C12" s="12">
        <f>(C10+C11)*(1-D32)</f>
        <v>364.94845360824775</v>
      </c>
      <c r="D12" s="12">
        <f>D10*(1-D32)</f>
        <v>364.94845360824775</v>
      </c>
    </row>
    <row r="13" spans="1:4">
      <c r="A13" s="9" t="s">
        <v>18</v>
      </c>
      <c r="B13" s="12">
        <f>B9+B10+B11-B12</f>
        <v>12800</v>
      </c>
      <c r="C13" s="12">
        <f>C9+C10+C11-C12</f>
        <v>17099.999999999996</v>
      </c>
      <c r="D13" s="12">
        <f>D9+D10+D11-D12</f>
        <v>20899.999999999996</v>
      </c>
    </row>
    <row r="14" spans="1:4">
      <c r="A14" s="9" t="s">
        <v>19</v>
      </c>
      <c r="B14" s="10">
        <f>B8</f>
        <v>7500</v>
      </c>
      <c r="C14" s="10">
        <f t="shared" ref="C14:D14" si="0">C8</f>
        <v>8000</v>
      </c>
      <c r="D14" s="10">
        <f t="shared" si="0"/>
        <v>19000</v>
      </c>
    </row>
    <row r="15" spans="1:4">
      <c r="A15" s="9" t="s">
        <v>20</v>
      </c>
      <c r="B15" s="12">
        <f>B13-B14</f>
        <v>5300</v>
      </c>
      <c r="C15" s="12">
        <f>C13-C14</f>
        <v>9099.9999999999964</v>
      </c>
      <c r="D15" s="12">
        <f>D13-D14</f>
        <v>1899.9999999999964</v>
      </c>
    </row>
    <row r="16" spans="1:4">
      <c r="A16" s="14"/>
      <c r="B16" s="15"/>
      <c r="C16" s="15"/>
      <c r="D16" s="15"/>
    </row>
    <row r="17" spans="1:8">
      <c r="A17" s="9" t="s">
        <v>21</v>
      </c>
      <c r="B17" s="10"/>
      <c r="C17" s="10"/>
      <c r="D17" s="10"/>
    </row>
    <row r="18" spans="1:8">
      <c r="A18" s="9" t="s">
        <v>22</v>
      </c>
      <c r="B18" s="16">
        <f>(B13/2)*$B$29</f>
        <v>32000</v>
      </c>
      <c r="C18" s="16">
        <f t="shared" ref="C18:D18" si="1">(C13/2)*$B$29</f>
        <v>42749.999999999993</v>
      </c>
      <c r="D18" s="16">
        <f t="shared" si="1"/>
        <v>52249.999999999993</v>
      </c>
    </row>
    <row r="19" spans="1:8">
      <c r="A19" s="9" t="s">
        <v>23</v>
      </c>
      <c r="B19" s="10">
        <f>E26-D25</f>
        <v>24</v>
      </c>
      <c r="C19" s="10" t="s">
        <v>43</v>
      </c>
      <c r="D19" s="10" t="s">
        <v>43</v>
      </c>
    </row>
    <row r="20" spans="1:8">
      <c r="A20" s="9" t="s">
        <v>24</v>
      </c>
      <c r="B20" s="10" t="s">
        <v>43</v>
      </c>
      <c r="C20" s="12">
        <f>C11/C26</f>
        <v>0</v>
      </c>
      <c r="D20" s="10" t="s">
        <v>43</v>
      </c>
    </row>
    <row r="21" spans="1:8">
      <c r="A21" s="9" t="s">
        <v>25</v>
      </c>
      <c r="B21" s="10">
        <f>$E$26</f>
        <v>64</v>
      </c>
      <c r="C21" s="10">
        <f>$E$26</f>
        <v>64</v>
      </c>
      <c r="D21" s="10">
        <f>$E$26</f>
        <v>64</v>
      </c>
    </row>
    <row r="22" spans="1:8">
      <c r="A22" s="9" t="s">
        <v>26</v>
      </c>
      <c r="B22" s="10" t="s">
        <v>43</v>
      </c>
      <c r="C22" s="12">
        <f>C8-C14</f>
        <v>0</v>
      </c>
      <c r="D22" s="10" t="s">
        <v>43</v>
      </c>
    </row>
    <row r="23" spans="1:8">
      <c r="A23" s="9" t="s">
        <v>27</v>
      </c>
      <c r="B23" s="16">
        <f>B18+(B21*B31)+(B19*B30)</f>
        <v>62400</v>
      </c>
      <c r="C23" s="16">
        <f>C18+(C20*B32)+(C21*B31)+(C22*B33)</f>
        <v>68350</v>
      </c>
      <c r="D23" s="16">
        <f>D18+(D21*B31)</f>
        <v>77850</v>
      </c>
      <c r="E23" s="17">
        <f>SUM(B23:D23)</f>
        <v>208600</v>
      </c>
    </row>
    <row r="24" spans="1:8" ht="28">
      <c r="B24" s="18" t="s">
        <v>57</v>
      </c>
      <c r="C24" s="19" t="s">
        <v>58</v>
      </c>
      <c r="D24" s="18" t="s">
        <v>59</v>
      </c>
      <c r="E24" s="19" t="s">
        <v>60</v>
      </c>
      <c r="F24" s="2" t="s">
        <v>44</v>
      </c>
      <c r="H24" s="20"/>
    </row>
    <row r="25" spans="1:8">
      <c r="A25" s="2" t="s">
        <v>53</v>
      </c>
      <c r="B25" s="18">
        <v>10</v>
      </c>
      <c r="C25" s="18">
        <f>40/10</f>
        <v>4</v>
      </c>
      <c r="D25" s="18">
        <f>B25*C25</f>
        <v>40</v>
      </c>
      <c r="E25" s="22">
        <f>C27/C26</f>
        <v>60.824742268041234</v>
      </c>
      <c r="F25" s="18" t="s">
        <v>61</v>
      </c>
    </row>
    <row r="26" spans="1:8">
      <c r="A26" s="2" t="s">
        <v>47</v>
      </c>
      <c r="B26" s="18">
        <v>8000</v>
      </c>
      <c r="C26" s="18">
        <f>B26/D25</f>
        <v>200</v>
      </c>
      <c r="D26" s="18"/>
      <c r="E26" s="18">
        <v>64</v>
      </c>
    </row>
    <row r="27" spans="1:8">
      <c r="A27" s="2" t="s">
        <v>32</v>
      </c>
      <c r="B27" s="22">
        <f>((B8+C8+D8-B9+1900)/3)</f>
        <v>11800</v>
      </c>
      <c r="C27" s="22">
        <f>B27/D32</f>
        <v>12164.948453608247</v>
      </c>
      <c r="D27" s="22"/>
    </row>
    <row r="28" spans="1:8">
      <c r="A28" s="2" t="s">
        <v>33</v>
      </c>
      <c r="B28" s="22"/>
      <c r="C28" s="23"/>
      <c r="D28" s="24"/>
      <c r="E28" s="18"/>
    </row>
    <row r="29" spans="1:8">
      <c r="A29" s="2" t="s">
        <v>34</v>
      </c>
      <c r="B29" s="25">
        <v>5</v>
      </c>
      <c r="C29" s="18"/>
      <c r="D29" s="18"/>
      <c r="E29" s="2" t="s">
        <v>62</v>
      </c>
      <c r="G29" s="2">
        <f>E26*C26</f>
        <v>12800</v>
      </c>
    </row>
    <row r="30" spans="1:8">
      <c r="A30" s="2" t="s">
        <v>36</v>
      </c>
      <c r="B30" s="25">
        <v>200</v>
      </c>
      <c r="C30" s="18"/>
      <c r="D30" s="18"/>
      <c r="E30" s="2" t="s">
        <v>37</v>
      </c>
      <c r="G30" s="2">
        <f>G29*0.5</f>
        <v>6400</v>
      </c>
    </row>
    <row r="31" spans="1:8">
      <c r="A31" s="2" t="s">
        <v>38</v>
      </c>
      <c r="B31" s="25">
        <v>400</v>
      </c>
      <c r="C31" s="18"/>
      <c r="D31" s="18"/>
      <c r="E31" s="2" t="s">
        <v>39</v>
      </c>
      <c r="G31" s="2">
        <f>SUM(G29:G30)</f>
        <v>19200</v>
      </c>
    </row>
    <row r="32" spans="1:8">
      <c r="A32" s="2" t="s">
        <v>40</v>
      </c>
      <c r="B32" s="25">
        <v>600</v>
      </c>
      <c r="C32" s="18" t="s">
        <v>17</v>
      </c>
      <c r="D32" s="27">
        <v>0.97</v>
      </c>
    </row>
    <row r="33" spans="1:4">
      <c r="A33" s="2" t="s">
        <v>41</v>
      </c>
      <c r="B33" s="25">
        <v>3</v>
      </c>
      <c r="C33" s="18"/>
      <c r="D33" s="27"/>
    </row>
    <row r="34" spans="1:4">
      <c r="B34" s="18"/>
      <c r="C34" s="18"/>
      <c r="D34" s="27"/>
    </row>
    <row r="35" spans="1:4">
      <c r="B35" s="18"/>
      <c r="C35" s="18"/>
      <c r="D35" s="18"/>
    </row>
    <row r="36" spans="1:4">
      <c r="B36" s="18"/>
      <c r="C36" s="18"/>
      <c r="D36" s="18"/>
    </row>
    <row r="37" spans="1:4" ht="16">
      <c r="A37" s="1" t="s">
        <v>0</v>
      </c>
    </row>
    <row r="38" spans="1:4" ht="16">
      <c r="A38" s="3" t="s">
        <v>1</v>
      </c>
    </row>
    <row r="39" spans="1:4" ht="16">
      <c r="A39" s="3" t="s">
        <v>2</v>
      </c>
    </row>
    <row r="40" spans="1:4" ht="16" customHeight="1">
      <c r="A40" s="4" t="s">
        <v>63</v>
      </c>
    </row>
    <row r="42" spans="1:4">
      <c r="A42" s="5" t="s">
        <v>4</v>
      </c>
    </row>
    <row r="43" spans="1:4">
      <c r="A43" s="6" t="s">
        <v>6</v>
      </c>
      <c r="B43" s="7" t="s">
        <v>7</v>
      </c>
      <c r="C43" s="7" t="s">
        <v>8</v>
      </c>
      <c r="D43" s="7" t="s">
        <v>9</v>
      </c>
    </row>
    <row r="44" spans="1:4">
      <c r="A44" s="9" t="s">
        <v>11</v>
      </c>
      <c r="B44" s="10">
        <v>7500</v>
      </c>
      <c r="C44" s="10">
        <v>8000</v>
      </c>
      <c r="D44" s="10">
        <v>19000</v>
      </c>
    </row>
    <row r="45" spans="1:4">
      <c r="A45" s="9" t="s">
        <v>13</v>
      </c>
      <c r="B45" s="10">
        <v>1000</v>
      </c>
      <c r="C45" s="12">
        <f>B50</f>
        <v>750</v>
      </c>
      <c r="D45" s="12">
        <f>C50</f>
        <v>800</v>
      </c>
    </row>
    <row r="46" spans="1:4">
      <c r="A46" s="9" t="s">
        <v>15</v>
      </c>
      <c r="B46" s="12">
        <f>(B44-B45+B60)/$D$69</f>
        <v>7474.2268041237112</v>
      </c>
      <c r="C46" s="12">
        <f t="shared" ref="C46:D46" si="2">(C44-C45+C60)/$D$69</f>
        <v>8298.9690721649495</v>
      </c>
      <c r="D46" s="12">
        <f t="shared" si="2"/>
        <v>20721.649484536083</v>
      </c>
    </row>
    <row r="47" spans="1:4">
      <c r="A47" s="9" t="s">
        <v>17</v>
      </c>
      <c r="B47" s="12">
        <f>B46*(1-$D$69)</f>
        <v>224.22680412371153</v>
      </c>
      <c r="C47" s="12">
        <f t="shared" ref="C47:D47" si="3">C46*(1-$D$69)</f>
        <v>248.9690721649487</v>
      </c>
      <c r="D47" s="12">
        <f t="shared" si="3"/>
        <v>621.64948453608304</v>
      </c>
    </row>
    <row r="48" spans="1:4">
      <c r="A48" s="9" t="s">
        <v>18</v>
      </c>
      <c r="B48" s="12">
        <f>B45+B46-B47</f>
        <v>8250</v>
      </c>
      <c r="C48" s="12">
        <f t="shared" ref="C48:D48" si="4">C45+C46-C47</f>
        <v>8800</v>
      </c>
      <c r="D48" s="12">
        <f t="shared" si="4"/>
        <v>20900</v>
      </c>
    </row>
    <row r="49" spans="1:8">
      <c r="A49" s="9" t="s">
        <v>19</v>
      </c>
      <c r="B49" s="10">
        <f>B44</f>
        <v>7500</v>
      </c>
      <c r="C49" s="10">
        <f t="shared" ref="C49:D49" si="5">C44</f>
        <v>8000</v>
      </c>
      <c r="D49" s="10">
        <f t="shared" si="5"/>
        <v>19000</v>
      </c>
    </row>
    <row r="50" spans="1:8">
      <c r="A50" s="9" t="s">
        <v>20</v>
      </c>
      <c r="B50" s="12">
        <f>B48-B49</f>
        <v>750</v>
      </c>
      <c r="C50" s="12">
        <f t="shared" ref="C50:D50" si="6">C48-C49</f>
        <v>800</v>
      </c>
      <c r="D50" s="12">
        <f t="shared" si="6"/>
        <v>1900</v>
      </c>
    </row>
    <row r="51" spans="1:8">
      <c r="A51" s="14"/>
      <c r="B51" s="15"/>
      <c r="C51" s="15"/>
      <c r="D51" s="15"/>
    </row>
    <row r="52" spans="1:8">
      <c r="A52" s="9" t="s">
        <v>21</v>
      </c>
      <c r="B52" s="10"/>
      <c r="C52" s="10"/>
      <c r="D52" s="10"/>
    </row>
    <row r="53" spans="1:8">
      <c r="A53" s="9" t="s">
        <v>22</v>
      </c>
      <c r="B53" s="16">
        <f>(B48/2)*$B$66</f>
        <v>20625</v>
      </c>
      <c r="C53" s="16">
        <f t="shared" ref="C53:D53" si="7">(C48/2)*$B$66</f>
        <v>22000</v>
      </c>
      <c r="D53" s="16">
        <f t="shared" si="7"/>
        <v>52250</v>
      </c>
    </row>
    <row r="54" spans="1:8">
      <c r="A54" s="9" t="s">
        <v>23</v>
      </c>
      <c r="B54" s="12">
        <f>B56-B61</f>
        <v>-2.6288659793814446</v>
      </c>
      <c r="C54" s="12">
        <f>C56-B56</f>
        <v>4.1237113402061922</v>
      </c>
      <c r="D54" s="12">
        <f>D56-C56</f>
        <v>62.113402061855673</v>
      </c>
    </row>
    <row r="55" spans="1:8">
      <c r="A55" s="9" t="s">
        <v>24</v>
      </c>
      <c r="B55" s="10" t="s">
        <v>43</v>
      </c>
      <c r="C55" s="12" t="s">
        <v>43</v>
      </c>
      <c r="D55" s="10"/>
    </row>
    <row r="56" spans="1:8">
      <c r="A56" s="9" t="s">
        <v>25</v>
      </c>
      <c r="B56" s="12">
        <f>B64</f>
        <v>37.371134020618555</v>
      </c>
      <c r="C56" s="12">
        <f>C64</f>
        <v>41.494845360824748</v>
      </c>
      <c r="D56" s="12">
        <f>D64</f>
        <v>103.60824742268042</v>
      </c>
    </row>
    <row r="57" spans="1:8">
      <c r="A57" s="9" t="s">
        <v>26</v>
      </c>
      <c r="B57" s="10" t="s">
        <v>43</v>
      </c>
      <c r="C57" s="12" t="s">
        <v>43</v>
      </c>
      <c r="D57" s="10" t="s">
        <v>43</v>
      </c>
    </row>
    <row r="58" spans="1:8">
      <c r="A58" s="9" t="s">
        <v>27</v>
      </c>
      <c r="B58" s="16">
        <f>(B53)+(B54*-1*$B$67)+(B56*$B$68)</f>
        <v>36099.226804123711</v>
      </c>
      <c r="C58" s="16">
        <f t="shared" ref="C58" si="8">(C53)+(C54*$B$67)+(C56*$B$68)</f>
        <v>39422.680412371134</v>
      </c>
      <c r="D58" s="16">
        <f>(D53)+(D54*$B$67)+(D56*$B$68)</f>
        <v>106115.97938144329</v>
      </c>
      <c r="E58" s="17">
        <f>SUM(B58:D58)</f>
        <v>181637.88659793814</v>
      </c>
    </row>
    <row r="59" spans="1:8">
      <c r="A59" s="51"/>
      <c r="B59" s="25"/>
      <c r="C59" s="25"/>
      <c r="D59" s="25"/>
      <c r="E59" s="29"/>
    </row>
    <row r="60" spans="1:8">
      <c r="A60" s="51" t="s">
        <v>44</v>
      </c>
      <c r="B60" s="2">
        <f>B44*0.1</f>
        <v>750</v>
      </c>
      <c r="C60" s="2">
        <f t="shared" ref="C60:D60" si="9">C44*0.1</f>
        <v>800</v>
      </c>
      <c r="D60" s="2">
        <f t="shared" si="9"/>
        <v>1900</v>
      </c>
      <c r="H60" s="20"/>
    </row>
    <row r="61" spans="1:8">
      <c r="A61" s="2" t="s">
        <v>45</v>
      </c>
      <c r="B61" s="2">
        <v>40</v>
      </c>
      <c r="C61" s="11">
        <f>B64</f>
        <v>37.371134020618555</v>
      </c>
      <c r="D61" s="11">
        <f>C64</f>
        <v>41.494845360824748</v>
      </c>
      <c r="H61" s="20"/>
    </row>
    <row r="62" spans="1:8">
      <c r="A62" s="2" t="s">
        <v>46</v>
      </c>
      <c r="B62" s="2">
        <v>8000</v>
      </c>
      <c r="C62" s="11">
        <f>B63</f>
        <v>7474.2268041237112</v>
      </c>
      <c r="D62" s="11">
        <f>C63</f>
        <v>8298.9690721649495</v>
      </c>
    </row>
    <row r="63" spans="1:8">
      <c r="A63" s="2" t="s">
        <v>47</v>
      </c>
      <c r="B63" s="11">
        <f>B46</f>
        <v>7474.2268041237112</v>
      </c>
      <c r="C63" s="11">
        <f>C46</f>
        <v>8298.9690721649495</v>
      </c>
      <c r="D63" s="11">
        <f>D46</f>
        <v>20721.649484536083</v>
      </c>
    </row>
    <row r="64" spans="1:8">
      <c r="A64" s="2" t="s">
        <v>48</v>
      </c>
      <c r="B64" s="11">
        <f>B63/200</f>
        <v>37.371134020618555</v>
      </c>
      <c r="C64" s="11">
        <f t="shared" ref="C64:D64" si="10">C63/200</f>
        <v>41.494845360824748</v>
      </c>
      <c r="D64" s="11">
        <f t="shared" si="10"/>
        <v>103.60824742268042</v>
      </c>
    </row>
    <row r="65" spans="1:4">
      <c r="A65" s="2" t="s">
        <v>33</v>
      </c>
    </row>
    <row r="66" spans="1:4">
      <c r="A66" s="2" t="s">
        <v>34</v>
      </c>
      <c r="B66" s="25">
        <v>5</v>
      </c>
      <c r="C66" s="18"/>
      <c r="D66" s="18"/>
    </row>
    <row r="67" spans="1:4">
      <c r="A67" s="2" t="s">
        <v>36</v>
      </c>
      <c r="B67" s="25">
        <v>200</v>
      </c>
      <c r="C67" s="18"/>
      <c r="D67" s="18"/>
    </row>
    <row r="68" spans="1:4">
      <c r="A68" s="2" t="s">
        <v>38</v>
      </c>
      <c r="B68" s="25">
        <v>400</v>
      </c>
      <c r="C68" s="18"/>
      <c r="D68" s="18"/>
    </row>
    <row r="69" spans="1:4">
      <c r="A69" s="2" t="s">
        <v>40</v>
      </c>
      <c r="B69" s="25">
        <v>600</v>
      </c>
      <c r="C69" s="18" t="s">
        <v>17</v>
      </c>
      <c r="D69" s="27">
        <v>0.97</v>
      </c>
    </row>
    <row r="70" spans="1:4">
      <c r="A70" s="2" t="s">
        <v>41</v>
      </c>
      <c r="B70" s="25">
        <v>3</v>
      </c>
      <c r="C70" s="18"/>
      <c r="D70" s="27"/>
    </row>
  </sheetData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02C65-A224-EE4C-8AD2-7D235A29CAE0}">
  <dimension ref="A1:P59"/>
  <sheetViews>
    <sheetView zoomScaleNormal="100" zoomScalePageLayoutView="125" workbookViewId="0">
      <selection activeCell="B10" sqref="B10"/>
    </sheetView>
  </sheetViews>
  <sheetFormatPr baseColWidth="10" defaultRowHeight="13"/>
  <cols>
    <col min="1" max="1" width="36.83203125" style="55" bestFit="1" customWidth="1"/>
    <col min="2" max="2" width="15" style="55" customWidth="1"/>
    <col min="3" max="3" width="13.1640625" style="55" customWidth="1"/>
    <col min="4" max="4" width="13" style="55" customWidth="1"/>
    <col min="5" max="5" width="14.33203125" style="55" customWidth="1"/>
    <col min="6" max="6" width="14" style="55" customWidth="1"/>
    <col min="7" max="7" width="10.83203125" style="55"/>
    <col min="8" max="8" width="16.83203125" style="55" customWidth="1"/>
    <col min="9" max="9" width="13.6640625" style="55" customWidth="1"/>
    <col min="10" max="16384" width="10.83203125" style="55"/>
  </cols>
  <sheetData>
    <row r="1" spans="1:11">
      <c r="A1" s="52" t="s">
        <v>64</v>
      </c>
      <c r="B1" s="53" t="s">
        <v>65</v>
      </c>
      <c r="C1" s="53"/>
      <c r="D1" s="53"/>
      <c r="E1" s="53"/>
      <c r="F1" s="54" t="s">
        <v>66</v>
      </c>
      <c r="J1" s="55" t="s">
        <v>67</v>
      </c>
    </row>
    <row r="2" spans="1:11">
      <c r="A2" s="56"/>
      <c r="B2" s="57" t="s">
        <v>68</v>
      </c>
      <c r="C2" s="57" t="s">
        <v>69</v>
      </c>
      <c r="D2" s="57" t="s">
        <v>70</v>
      </c>
      <c r="E2" s="57" t="s">
        <v>71</v>
      </c>
      <c r="F2" s="57" t="s">
        <v>68</v>
      </c>
      <c r="G2" s="57"/>
      <c r="I2" s="57" t="s">
        <v>72</v>
      </c>
      <c r="J2" s="57" t="s">
        <v>73</v>
      </c>
      <c r="K2" s="57" t="s">
        <v>74</v>
      </c>
    </row>
    <row r="3" spans="1:11">
      <c r="A3" s="58" t="s">
        <v>11</v>
      </c>
      <c r="B3" s="57">
        <f>$J$3</f>
        <v>20</v>
      </c>
      <c r="C3" s="57">
        <f>$J$4+$K$3</f>
        <v>30</v>
      </c>
      <c r="D3" s="57">
        <f>$J$5+$K$4</f>
        <v>30</v>
      </c>
      <c r="E3" s="57">
        <f>$J$6+$K$5</f>
        <v>50</v>
      </c>
      <c r="F3" s="57">
        <f>$K$6</f>
        <v>35</v>
      </c>
      <c r="G3" s="57"/>
      <c r="I3" s="57">
        <v>1</v>
      </c>
      <c r="J3" s="57">
        <v>20</v>
      </c>
      <c r="K3" s="57">
        <v>15</v>
      </c>
    </row>
    <row r="4" spans="1:11">
      <c r="A4" s="58" t="s">
        <v>75</v>
      </c>
      <c r="B4" s="57">
        <v>20</v>
      </c>
      <c r="C4" s="57">
        <v>30</v>
      </c>
      <c r="D4" s="57">
        <v>30</v>
      </c>
      <c r="E4" s="57">
        <v>50</v>
      </c>
      <c r="F4" s="57" t="s">
        <v>43</v>
      </c>
      <c r="G4" s="57"/>
      <c r="I4" s="57">
        <v>2</v>
      </c>
      <c r="J4" s="57">
        <v>15</v>
      </c>
      <c r="K4" s="57">
        <v>20</v>
      </c>
    </row>
    <row r="5" spans="1:11">
      <c r="A5" s="58" t="s">
        <v>76</v>
      </c>
      <c r="B5" s="59">
        <f>$J$10</f>
        <v>975</v>
      </c>
      <c r="C5" s="59">
        <f>$J$11+$K$10</f>
        <v>1500</v>
      </c>
      <c r="D5" s="59">
        <f>$J$12+$K$11</f>
        <v>1512.5</v>
      </c>
      <c r="E5" s="59">
        <f>$J$13+$K$12</f>
        <v>2462.5</v>
      </c>
      <c r="F5" s="59"/>
      <c r="G5" s="59">
        <f>SUM(B5:F5)</f>
        <v>6450</v>
      </c>
      <c r="I5" s="57">
        <v>3</v>
      </c>
      <c r="J5" s="57">
        <v>10</v>
      </c>
      <c r="K5" s="57">
        <v>10</v>
      </c>
    </row>
    <row r="6" spans="1:11">
      <c r="A6" s="58" t="s">
        <v>77</v>
      </c>
      <c r="B6" s="59">
        <f>B4/7</f>
        <v>2.8571428571428572</v>
      </c>
      <c r="C6" s="59">
        <f>C4/7</f>
        <v>4.2857142857142856</v>
      </c>
      <c r="D6" s="59">
        <f>D4/7</f>
        <v>4.2857142857142856</v>
      </c>
      <c r="E6" s="59">
        <f>E4/7</f>
        <v>7.1428571428571432</v>
      </c>
      <c r="F6" s="59"/>
      <c r="G6" s="57"/>
      <c r="I6" s="57">
        <v>4</v>
      </c>
      <c r="J6" s="57">
        <v>40</v>
      </c>
      <c r="K6" s="57">
        <v>35</v>
      </c>
    </row>
    <row r="7" spans="1:11">
      <c r="A7" s="58" t="s">
        <v>19</v>
      </c>
      <c r="B7" s="57">
        <f>B4</f>
        <v>20</v>
      </c>
      <c r="C7" s="57">
        <f>C4</f>
        <v>30</v>
      </c>
      <c r="D7" s="57">
        <f>D4</f>
        <v>30</v>
      </c>
      <c r="E7" s="57">
        <f>E4</f>
        <v>50</v>
      </c>
      <c r="F7" s="57"/>
      <c r="G7" s="57"/>
    </row>
    <row r="8" spans="1:11">
      <c r="A8" s="58" t="s">
        <v>78</v>
      </c>
      <c r="B8" s="57" t="s">
        <v>43</v>
      </c>
      <c r="C8" s="57" t="s">
        <v>43</v>
      </c>
      <c r="D8" s="57" t="s">
        <v>43</v>
      </c>
      <c r="E8" s="57" t="s">
        <v>43</v>
      </c>
      <c r="F8" s="57"/>
      <c r="G8" s="57"/>
      <c r="J8" s="55" t="s">
        <v>79</v>
      </c>
    </row>
    <row r="9" spans="1:11">
      <c r="A9" s="52" t="s">
        <v>80</v>
      </c>
      <c r="B9" s="54"/>
      <c r="C9" s="54"/>
      <c r="D9" s="54"/>
      <c r="E9" s="54"/>
      <c r="F9" s="54"/>
      <c r="G9" s="57"/>
      <c r="I9" s="57" t="s">
        <v>72</v>
      </c>
      <c r="J9" s="57" t="s">
        <v>73</v>
      </c>
      <c r="K9" s="57" t="s">
        <v>74</v>
      </c>
    </row>
    <row r="10" spans="1:11">
      <c r="A10" s="58" t="s">
        <v>81</v>
      </c>
      <c r="B10" s="59">
        <f>E6-B20</f>
        <v>4.1428571428571432</v>
      </c>
      <c r="C10" s="59">
        <v>0</v>
      </c>
      <c r="D10" s="59">
        <v>0</v>
      </c>
      <c r="E10" s="59">
        <v>0</v>
      </c>
      <c r="F10" s="57"/>
      <c r="G10" s="57"/>
      <c r="I10" s="57">
        <v>1</v>
      </c>
      <c r="J10" s="59">
        <f>(J3*0.5*60)+(J3*0.25*40)+(J3*0.25*35)</f>
        <v>975</v>
      </c>
      <c r="K10" s="59">
        <f>(K3*0.75*55)+(K3*0.25*40)</f>
        <v>768.75</v>
      </c>
    </row>
    <row r="11" spans="1:11">
      <c r="A11" s="58" t="s">
        <v>82</v>
      </c>
      <c r="B11" s="57">
        <v>0</v>
      </c>
      <c r="C11" s="57">
        <v>0</v>
      </c>
      <c r="D11" s="57">
        <v>0</v>
      </c>
      <c r="E11" s="57">
        <v>0</v>
      </c>
      <c r="F11" s="57"/>
      <c r="G11" s="57"/>
      <c r="I11" s="57">
        <v>2</v>
      </c>
      <c r="J11" s="59">
        <f>(J4*0.5*60)+(J4*0.25*40)+(J4*0.25*35)</f>
        <v>731.25</v>
      </c>
      <c r="K11" s="59">
        <f>(K4*0.75*55)+(K4*0.25*40)</f>
        <v>1025</v>
      </c>
    </row>
    <row r="12" spans="1:11">
      <c r="A12" s="58" t="s">
        <v>83</v>
      </c>
      <c r="B12" s="59">
        <f>B10+B20</f>
        <v>7.1428571428571432</v>
      </c>
      <c r="C12" s="57">
        <v>7</v>
      </c>
      <c r="D12" s="57">
        <v>7</v>
      </c>
      <c r="E12" s="57">
        <v>7</v>
      </c>
      <c r="F12" s="57"/>
      <c r="G12" s="57"/>
      <c r="I12" s="57">
        <v>3</v>
      </c>
      <c r="J12" s="59">
        <f>(J5*0.5*60)+(J5*0.25*40)+(J5*0.25*35)</f>
        <v>487.5</v>
      </c>
      <c r="K12" s="59">
        <f>(K5*0.75*55)+(K5*0.25*40)</f>
        <v>512.5</v>
      </c>
    </row>
    <row r="13" spans="1:11">
      <c r="A13" s="58" t="s">
        <v>84</v>
      </c>
      <c r="B13" s="59">
        <f>B12*4</f>
        <v>28.571428571428573</v>
      </c>
      <c r="C13" s="59">
        <v>29</v>
      </c>
      <c r="D13" s="59">
        <v>29</v>
      </c>
      <c r="E13" s="59">
        <v>29</v>
      </c>
      <c r="F13" s="57"/>
      <c r="G13" s="57"/>
      <c r="I13" s="57">
        <v>4</v>
      </c>
      <c r="J13" s="59">
        <f>(J6*0.5*60)+(J6*0.25*40)+(J6*0.25*35)</f>
        <v>1950</v>
      </c>
      <c r="K13" s="59">
        <f>(K6*0.75*55)+(K6*0.25*40)</f>
        <v>1793.75</v>
      </c>
    </row>
    <row r="14" spans="1:11">
      <c r="A14" s="58" t="s">
        <v>85</v>
      </c>
      <c r="B14" s="60">
        <f>B4*4*$B$24</f>
        <v>2400000</v>
      </c>
      <c r="C14" s="60">
        <f>C4*4*$B$24</f>
        <v>3600000</v>
      </c>
      <c r="D14" s="60">
        <f>D4*4*$B$24</f>
        <v>3600000</v>
      </c>
      <c r="E14" s="60">
        <f>E4*4*$B$24</f>
        <v>6000000</v>
      </c>
      <c r="F14" s="57"/>
      <c r="G14" s="57"/>
      <c r="I14" s="57"/>
      <c r="J14" s="59"/>
      <c r="K14" s="59"/>
    </row>
    <row r="15" spans="1:11">
      <c r="A15" s="58" t="s">
        <v>86</v>
      </c>
      <c r="B15" s="60">
        <f>B10*B21</f>
        <v>207142.85714285716</v>
      </c>
      <c r="C15" s="60">
        <v>0</v>
      </c>
      <c r="D15" s="60">
        <v>0</v>
      </c>
      <c r="E15" s="60">
        <v>0</v>
      </c>
      <c r="F15" s="57"/>
      <c r="G15" s="57"/>
    </row>
    <row r="16" spans="1:11">
      <c r="A16" s="58" t="s">
        <v>87</v>
      </c>
      <c r="B16" s="60">
        <f>SUM(B14:B15)</f>
        <v>2607142.8571428573</v>
      </c>
      <c r="C16" s="60">
        <f>SUM(C14:C15)</f>
        <v>3600000</v>
      </c>
      <c r="D16" s="60">
        <f>SUM(D14:D15)</f>
        <v>3600000</v>
      </c>
      <c r="E16" s="60">
        <f>SUM(E14:E15)</f>
        <v>6000000</v>
      </c>
      <c r="F16" s="61">
        <f>SUM(B16:E16)</f>
        <v>15807142.857142858</v>
      </c>
      <c r="G16" s="57"/>
      <c r="H16" s="55" t="s">
        <v>88</v>
      </c>
      <c r="I16" s="61">
        <f>G5*5000</f>
        <v>32250000</v>
      </c>
    </row>
    <row r="17" spans="1:16">
      <c r="A17" s="58"/>
      <c r="B17" s="57"/>
      <c r="C17" s="57"/>
      <c r="D17" s="57"/>
      <c r="E17" s="57"/>
      <c r="F17" s="61"/>
      <c r="G17" s="57"/>
      <c r="H17" s="55" t="s">
        <v>89</v>
      </c>
      <c r="I17" s="61">
        <v>3000000</v>
      </c>
    </row>
    <row r="18" spans="1:16">
      <c r="A18" s="62"/>
      <c r="B18" s="57"/>
      <c r="C18" s="57"/>
      <c r="D18" s="57"/>
      <c r="E18" s="57"/>
      <c r="F18" s="57"/>
      <c r="G18" s="57"/>
      <c r="H18" s="55" t="s">
        <v>59</v>
      </c>
      <c r="I18" s="61">
        <f>F16</f>
        <v>15807142.857142858</v>
      </c>
      <c r="J18" s="61"/>
    </row>
    <row r="19" spans="1:16">
      <c r="A19" s="58" t="s">
        <v>90</v>
      </c>
      <c r="B19" s="55">
        <v>4</v>
      </c>
      <c r="H19" s="55" t="s">
        <v>91</v>
      </c>
      <c r="I19" s="61">
        <f>(H32+P32)*B25</f>
        <v>17519.715701599998</v>
      </c>
      <c r="J19" s="61"/>
    </row>
    <row r="20" spans="1:16">
      <c r="A20" s="58" t="s">
        <v>92</v>
      </c>
      <c r="B20" s="55">
        <v>3</v>
      </c>
      <c r="H20" s="55" t="s">
        <v>93</v>
      </c>
      <c r="I20" s="61">
        <f>I16-I17-I18-I19</f>
        <v>13425337.427155541</v>
      </c>
      <c r="J20" s="61"/>
    </row>
    <row r="21" spans="1:16">
      <c r="A21" s="58" t="s">
        <v>94</v>
      </c>
      <c r="B21" s="61">
        <v>50000</v>
      </c>
      <c r="J21" s="61"/>
    </row>
    <row r="22" spans="1:16">
      <c r="A22" s="58" t="s">
        <v>95</v>
      </c>
      <c r="B22" s="61">
        <v>100000</v>
      </c>
      <c r="J22" s="61"/>
    </row>
    <row r="23" spans="1:16">
      <c r="A23" s="58" t="s">
        <v>96</v>
      </c>
      <c r="B23" s="63">
        <f>AVERAGE(B6:E6)</f>
        <v>4.6428571428571423</v>
      </c>
      <c r="J23" s="61"/>
    </row>
    <row r="24" spans="1:16">
      <c r="A24" s="58" t="s">
        <v>97</v>
      </c>
      <c r="B24" s="61">
        <v>30000</v>
      </c>
    </row>
    <row r="25" spans="1:16">
      <c r="A25" s="58" t="s">
        <v>98</v>
      </c>
      <c r="B25" s="61">
        <v>2</v>
      </c>
    </row>
    <row r="27" spans="1:16">
      <c r="A27" s="64" t="s">
        <v>99</v>
      </c>
      <c r="B27" s="53"/>
      <c r="C27" s="53"/>
      <c r="D27" s="53"/>
      <c r="E27" s="53"/>
      <c r="F27" s="53"/>
      <c r="G27" s="53"/>
      <c r="H27" s="53"/>
      <c r="I27" s="64" t="s">
        <v>100</v>
      </c>
      <c r="J27" s="53"/>
      <c r="K27" s="53"/>
      <c r="L27" s="53"/>
      <c r="M27" s="53"/>
      <c r="N27" s="53"/>
      <c r="O27" s="53"/>
    </row>
    <row r="28" spans="1:16">
      <c r="B28" s="55">
        <v>0</v>
      </c>
      <c r="C28" s="55">
        <v>1</v>
      </c>
      <c r="D28" s="55">
        <v>2</v>
      </c>
      <c r="E28" s="55">
        <v>3</v>
      </c>
      <c r="F28" s="55">
        <v>4</v>
      </c>
      <c r="G28" s="55">
        <v>5</v>
      </c>
      <c r="J28" s="55">
        <v>0</v>
      </c>
      <c r="K28" s="55">
        <v>1</v>
      </c>
      <c r="L28" s="55">
        <v>2</v>
      </c>
      <c r="M28" s="55">
        <v>3</v>
      </c>
      <c r="N28" s="55">
        <v>4</v>
      </c>
      <c r="O28" s="55">
        <v>5</v>
      </c>
    </row>
    <row r="29" spans="1:16">
      <c r="A29" s="55" t="s">
        <v>101</v>
      </c>
      <c r="C29" s="55">
        <v>0</v>
      </c>
      <c r="D29" s="63">
        <f>C34</f>
        <v>112.79999999999995</v>
      </c>
      <c r="E29" s="63">
        <f>D34</f>
        <v>109.94399999999996</v>
      </c>
      <c r="F29" s="63">
        <f>E34</f>
        <v>124.04512</v>
      </c>
      <c r="G29" s="63">
        <f>F34</f>
        <v>216.86421759999985</v>
      </c>
      <c r="I29" s="55" t="s">
        <v>101</v>
      </c>
      <c r="K29" s="55">
        <v>0</v>
      </c>
      <c r="L29" s="63">
        <f>K34</f>
        <v>103</v>
      </c>
      <c r="M29" s="63">
        <f>L34</f>
        <v>119.94000000000005</v>
      </c>
      <c r="N29" s="63">
        <f>M34</f>
        <v>124.04120000000012</v>
      </c>
      <c r="O29" s="63">
        <f>N34</f>
        <v>207.06037599999991</v>
      </c>
    </row>
    <row r="30" spans="1:16">
      <c r="A30" s="55" t="s">
        <v>102</v>
      </c>
      <c r="C30" s="55">
        <f>B35</f>
        <v>1110</v>
      </c>
      <c r="D30" s="63">
        <f>C35</f>
        <v>1530</v>
      </c>
      <c r="E30" s="63">
        <f>D35</f>
        <v>1560</v>
      </c>
      <c r="F30" s="63">
        <f>E35</f>
        <v>2610</v>
      </c>
      <c r="I30" s="55" t="s">
        <v>102</v>
      </c>
      <c r="K30" s="55">
        <f>J35</f>
        <v>1100</v>
      </c>
      <c r="L30" s="63">
        <f>K35</f>
        <v>1550</v>
      </c>
      <c r="M30" s="63">
        <f>L35</f>
        <v>1550</v>
      </c>
      <c r="N30" s="63">
        <f>M35</f>
        <v>2600</v>
      </c>
    </row>
    <row r="31" spans="1:16">
      <c r="A31" s="55" t="s">
        <v>103</v>
      </c>
      <c r="C31" s="63">
        <f>C30*(1-$B$43)</f>
        <v>22.200000000000021</v>
      </c>
      <c r="D31" s="63">
        <f>(D29+D30)*(1-$B$43)</f>
        <v>32.85600000000003</v>
      </c>
      <c r="E31" s="63">
        <f>(E29+E30)*(1-$B$43)</f>
        <v>33.398880000000027</v>
      </c>
      <c r="F31" s="63">
        <f>(F29+F30)*(1-$B$43)</f>
        <v>54.680902400000043</v>
      </c>
      <c r="I31" s="55" t="s">
        <v>103</v>
      </c>
      <c r="K31" s="63">
        <f>K30*(1-$B$43)</f>
        <v>22.000000000000021</v>
      </c>
      <c r="L31" s="63">
        <f>(L29+L30)*(1-$B$43)</f>
        <v>33.060000000000031</v>
      </c>
      <c r="M31" s="63">
        <f>(M29+M30)*(1-$B$43)</f>
        <v>33.39880000000003</v>
      </c>
      <c r="N31" s="63">
        <f>(N29+N30)*(1-$B$43)</f>
        <v>54.480824000000048</v>
      </c>
    </row>
    <row r="32" spans="1:16">
      <c r="A32" s="55" t="s">
        <v>18</v>
      </c>
      <c r="C32" s="63">
        <f>C29+C30-C31</f>
        <v>1087.8</v>
      </c>
      <c r="D32" s="63">
        <f>D29+D30-D31</f>
        <v>1609.944</v>
      </c>
      <c r="E32" s="63">
        <f>E29+E30-E31</f>
        <v>1636.54512</v>
      </c>
      <c r="F32" s="63">
        <f>F29+F30-F31</f>
        <v>2679.3642175999998</v>
      </c>
      <c r="H32" s="63">
        <f>AVERAGE(C32:F32)*2</f>
        <v>3506.8266687999994</v>
      </c>
      <c r="I32" s="55" t="s">
        <v>18</v>
      </c>
      <c r="K32" s="63">
        <f>K29+K30-K31</f>
        <v>1078</v>
      </c>
      <c r="L32" s="63">
        <f>L29+L30-L31</f>
        <v>1619.94</v>
      </c>
      <c r="M32" s="63">
        <f>M29+M30-M31</f>
        <v>1636.5412000000001</v>
      </c>
      <c r="N32" s="63">
        <f>N29+N30-N31</f>
        <v>2669.5603759999999</v>
      </c>
      <c r="P32" s="63">
        <f>AVERAGE(K32:N32)*3</f>
        <v>5253.0311819999997</v>
      </c>
    </row>
    <row r="33" spans="1:15">
      <c r="A33" s="55" t="s">
        <v>19</v>
      </c>
      <c r="C33" s="63">
        <f>$B$5</f>
        <v>975</v>
      </c>
      <c r="D33" s="63">
        <f>$C$5</f>
        <v>1500</v>
      </c>
      <c r="E33" s="63">
        <f>$D$5</f>
        <v>1512.5</v>
      </c>
      <c r="F33" s="63">
        <f>$E$5</f>
        <v>2462.5</v>
      </c>
      <c r="I33" s="55" t="s">
        <v>19</v>
      </c>
      <c r="K33" s="63">
        <f>$B$5</f>
        <v>975</v>
      </c>
      <c r="L33" s="63">
        <f>$C$5</f>
        <v>1500</v>
      </c>
      <c r="M33" s="63">
        <f>$D$5</f>
        <v>1512.5</v>
      </c>
      <c r="N33" s="63">
        <f>$E$5</f>
        <v>2462.5</v>
      </c>
    </row>
    <row r="34" spans="1:15">
      <c r="A34" s="55" t="s">
        <v>104</v>
      </c>
      <c r="C34" s="63">
        <f>C32-C33</f>
        <v>112.79999999999995</v>
      </c>
      <c r="D34" s="63">
        <f>D32-D33</f>
        <v>109.94399999999996</v>
      </c>
      <c r="E34" s="63">
        <f>E32-E33</f>
        <v>124.04512</v>
      </c>
      <c r="F34" s="63">
        <f>F32-F33</f>
        <v>216.86421759999985</v>
      </c>
      <c r="I34" s="55" t="s">
        <v>104</v>
      </c>
      <c r="K34" s="63">
        <f>K32-K33</f>
        <v>103</v>
      </c>
      <c r="L34" s="63">
        <f>L32-L33</f>
        <v>119.94000000000005</v>
      </c>
      <c r="M34" s="63">
        <f>M32-M33</f>
        <v>124.04120000000012</v>
      </c>
      <c r="N34" s="63">
        <f>N32-N33</f>
        <v>207.06037599999991</v>
      </c>
    </row>
    <row r="35" spans="1:15">
      <c r="A35" s="55" t="s">
        <v>105</v>
      </c>
      <c r="B35" s="63">
        <f>B40</f>
        <v>1110</v>
      </c>
      <c r="C35" s="63">
        <f>C40</f>
        <v>1530</v>
      </c>
      <c r="D35" s="63">
        <f>D40</f>
        <v>1560</v>
      </c>
      <c r="E35" s="63">
        <f>E40</f>
        <v>2610</v>
      </c>
      <c r="F35" s="65" t="s">
        <v>43</v>
      </c>
      <c r="I35" s="55" t="s">
        <v>105</v>
      </c>
      <c r="J35" s="63">
        <f>J40</f>
        <v>1100</v>
      </c>
      <c r="K35" s="63">
        <f>K40</f>
        <v>1550</v>
      </c>
      <c r="L35" s="63">
        <f>L40</f>
        <v>1550</v>
      </c>
      <c r="M35" s="63">
        <f>M40</f>
        <v>2600</v>
      </c>
      <c r="N35" s="65" t="s">
        <v>43</v>
      </c>
    </row>
    <row r="37" spans="1:15">
      <c r="A37" s="55" t="s">
        <v>106</v>
      </c>
      <c r="B37" s="63">
        <f>$B$5</f>
        <v>975</v>
      </c>
      <c r="C37" s="63">
        <f>$C$5</f>
        <v>1500</v>
      </c>
      <c r="D37" s="63">
        <f>$D$5</f>
        <v>1512.5</v>
      </c>
      <c r="E37" s="63">
        <f>$E$5</f>
        <v>2462.5</v>
      </c>
      <c r="F37" s="63"/>
      <c r="G37" s="63"/>
      <c r="I37" s="55" t="s">
        <v>106</v>
      </c>
      <c r="J37" s="63">
        <f>$B$5</f>
        <v>975</v>
      </c>
      <c r="K37" s="63">
        <f>$C$5</f>
        <v>1500</v>
      </c>
      <c r="L37" s="63">
        <f>$D$5</f>
        <v>1512.5</v>
      </c>
      <c r="M37" s="63">
        <f>$E$5</f>
        <v>2462.5</v>
      </c>
      <c r="N37" s="63"/>
      <c r="O37" s="63"/>
    </row>
    <row r="38" spans="1:15">
      <c r="A38" s="55" t="s">
        <v>107</v>
      </c>
      <c r="B38" s="63">
        <f>(B37*$B$44)-C29</f>
        <v>1072.5</v>
      </c>
      <c r="C38" s="63">
        <f>(C37*$B$44)-(D29*$B$43)</f>
        <v>1539.4560000000004</v>
      </c>
      <c r="D38" s="63">
        <f>(D37*$B$44)-(E29*$B$43)</f>
        <v>1556.0048800000002</v>
      </c>
      <c r="E38" s="63">
        <f>(E37*$B$44)-(F29*$B$43)</f>
        <v>2587.1857823999999</v>
      </c>
      <c r="F38" s="63"/>
      <c r="G38" s="63"/>
      <c r="I38" s="55" t="s">
        <v>107</v>
      </c>
      <c r="J38" s="63">
        <f>(J37*$B$44)-K29</f>
        <v>1072.5</v>
      </c>
      <c r="K38" s="63">
        <f>(K37*$B$44)-(L29*$B$43)</f>
        <v>1549.0600000000002</v>
      </c>
      <c r="L38" s="63">
        <f>(L37*$B$44)-(M29*$B$43)</f>
        <v>1546.2088000000001</v>
      </c>
      <c r="M38" s="63">
        <f>(M37*$B$44)-(N29*$B$43)</f>
        <v>2587.1896240000001</v>
      </c>
      <c r="N38" s="63"/>
      <c r="O38" s="63"/>
    </row>
    <row r="39" spans="1:15">
      <c r="A39" s="55" t="s">
        <v>108</v>
      </c>
      <c r="B39" s="63">
        <f>B38/$B$43</f>
        <v>1094.3877551020407</v>
      </c>
      <c r="C39" s="63">
        <f>C38/$B$43</f>
        <v>1570.8734693877554</v>
      </c>
      <c r="D39" s="63">
        <f>D38/$B$43</f>
        <v>1587.7600816326533</v>
      </c>
      <c r="E39" s="63">
        <f>E38/$B$43</f>
        <v>2639.9854922448981</v>
      </c>
      <c r="F39" s="63"/>
      <c r="G39" s="63"/>
      <c r="I39" s="55" t="s">
        <v>108</v>
      </c>
      <c r="J39" s="63">
        <f>J38/$B$43</f>
        <v>1094.3877551020407</v>
      </c>
      <c r="K39" s="63">
        <f>K38/$B$43</f>
        <v>1580.6734693877554</v>
      </c>
      <c r="L39" s="63">
        <f>L38/$B$43</f>
        <v>1577.7640816326532</v>
      </c>
      <c r="M39" s="63">
        <f>M38/$B$43</f>
        <v>2639.9894122448982</v>
      </c>
      <c r="N39" s="63"/>
      <c r="O39" s="63"/>
    </row>
    <row r="40" spans="1:15">
      <c r="A40" s="55" t="s">
        <v>109</v>
      </c>
      <c r="B40" s="63">
        <v>1110</v>
      </c>
      <c r="C40" s="63">
        <v>1530</v>
      </c>
      <c r="D40" s="63">
        <v>1560</v>
      </c>
      <c r="E40" s="63">
        <v>2610</v>
      </c>
      <c r="F40" s="63"/>
      <c r="G40" s="63"/>
      <c r="I40" s="55" t="s">
        <v>109</v>
      </c>
      <c r="J40" s="63">
        <v>1100</v>
      </c>
      <c r="K40" s="63">
        <v>1550</v>
      </c>
      <c r="L40" s="63">
        <v>1550</v>
      </c>
      <c r="M40" s="63">
        <v>2600</v>
      </c>
      <c r="N40" s="63"/>
      <c r="O40" s="63"/>
    </row>
    <row r="41" spans="1:15">
      <c r="B41" s="63"/>
      <c r="C41" s="63"/>
      <c r="D41" s="63"/>
      <c r="E41" s="63"/>
      <c r="F41" s="63"/>
      <c r="G41" s="63"/>
    </row>
    <row r="43" spans="1:15">
      <c r="A43" s="55" t="s">
        <v>103</v>
      </c>
      <c r="B43" s="55">
        <v>0.98</v>
      </c>
    </row>
    <row r="44" spans="1:15">
      <c r="A44" s="55" t="s">
        <v>44</v>
      </c>
      <c r="B44" s="55">
        <v>1.1000000000000001</v>
      </c>
    </row>
    <row r="47" spans="1:15">
      <c r="B47" s="57"/>
      <c r="C47" s="57"/>
      <c r="D47" s="57"/>
      <c r="E47" s="57"/>
      <c r="F47" s="57"/>
      <c r="G47" s="57"/>
    </row>
    <row r="48" spans="1:15">
      <c r="B48" s="57"/>
      <c r="C48" s="57"/>
      <c r="D48" s="57"/>
      <c r="E48" s="57"/>
      <c r="F48" s="57"/>
      <c r="G48" s="57"/>
    </row>
    <row r="49" spans="2:7">
      <c r="B49" s="57"/>
      <c r="C49" s="57"/>
      <c r="D49" s="57"/>
      <c r="E49" s="57"/>
      <c r="F49" s="57"/>
      <c r="G49" s="57"/>
    </row>
    <row r="50" spans="2:7">
      <c r="B50" s="57"/>
      <c r="C50" s="57"/>
      <c r="D50" s="57"/>
      <c r="E50" s="57"/>
      <c r="F50" s="57"/>
      <c r="G50" s="57"/>
    </row>
    <row r="51" spans="2:7">
      <c r="B51" s="57"/>
      <c r="C51" s="57"/>
      <c r="D51" s="57"/>
      <c r="E51" s="57"/>
      <c r="F51" s="57"/>
      <c r="G51" s="57"/>
    </row>
    <row r="52" spans="2:7">
      <c r="B52" s="57"/>
      <c r="C52" s="57"/>
      <c r="D52" s="57"/>
      <c r="E52" s="57"/>
      <c r="F52" s="57"/>
      <c r="G52" s="57"/>
    </row>
    <row r="53" spans="2:7">
      <c r="B53" s="57"/>
      <c r="C53" s="57"/>
      <c r="D53" s="57"/>
      <c r="E53" s="57"/>
      <c r="F53" s="57"/>
      <c r="G53" s="57"/>
    </row>
    <row r="54" spans="2:7">
      <c r="B54" s="57"/>
      <c r="C54" s="57"/>
      <c r="D54" s="57"/>
      <c r="E54" s="57"/>
      <c r="F54" s="57"/>
      <c r="G54" s="57"/>
    </row>
    <row r="55" spans="2:7">
      <c r="B55" s="57"/>
      <c r="C55" s="57"/>
      <c r="D55" s="57"/>
      <c r="E55" s="57"/>
      <c r="F55" s="57"/>
      <c r="G55" s="57"/>
    </row>
    <row r="56" spans="2:7">
      <c r="B56" s="57"/>
      <c r="C56" s="57"/>
      <c r="D56" s="57"/>
      <c r="E56" s="57"/>
      <c r="F56" s="57"/>
      <c r="G56" s="57"/>
    </row>
    <row r="57" spans="2:7">
      <c r="B57" s="57"/>
      <c r="C57" s="57"/>
      <c r="D57" s="57"/>
      <c r="E57" s="57"/>
      <c r="F57" s="57"/>
      <c r="G57" s="57"/>
    </row>
    <row r="58" spans="2:7">
      <c r="B58" s="57"/>
      <c r="C58" s="57"/>
      <c r="D58" s="57"/>
      <c r="E58" s="57"/>
      <c r="F58" s="57"/>
      <c r="G58" s="57"/>
    </row>
    <row r="59" spans="2:7">
      <c r="B59" s="57"/>
      <c r="C59" s="57"/>
      <c r="D59" s="57"/>
      <c r="E59" s="57"/>
      <c r="F59" s="57"/>
      <c r="G59" s="57"/>
    </row>
  </sheetData>
  <pageMargins left="0.75" right="0.75" top="1" bottom="1" header="0.5" footer="0.5"/>
  <pageSetup paperSize="0" orientation="portrait" horizontalDpi="4294967292" verticalDpi="429496729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24629-4627-4A49-A98D-DAB6F9E445E4}">
  <dimension ref="A1:K46"/>
  <sheetViews>
    <sheetView workbookViewId="0">
      <selection activeCell="F50" sqref="F50"/>
    </sheetView>
  </sheetViews>
  <sheetFormatPr baseColWidth="10" defaultRowHeight="13"/>
  <cols>
    <col min="1" max="1" width="14.1640625" style="55" bestFit="1" customWidth="1"/>
    <col min="2" max="6" width="10.83203125" style="55"/>
    <col min="7" max="7" width="14.1640625" style="55" bestFit="1" customWidth="1"/>
    <col min="8" max="16384" width="10.83203125" style="55"/>
  </cols>
  <sheetData>
    <row r="1" spans="1:11">
      <c r="B1" s="55" t="s">
        <v>7</v>
      </c>
      <c r="C1" s="55" t="s">
        <v>8</v>
      </c>
      <c r="D1" s="55" t="s">
        <v>9</v>
      </c>
    </row>
    <row r="2" spans="1:11">
      <c r="A2" s="55" t="s">
        <v>110</v>
      </c>
      <c r="B2" s="55">
        <v>10000</v>
      </c>
      <c r="C2" s="55">
        <v>12000</v>
      </c>
      <c r="D2" s="55">
        <v>11000</v>
      </c>
    </row>
    <row r="3" spans="1:11">
      <c r="A3" s="55" t="s">
        <v>111</v>
      </c>
      <c r="B3" s="55">
        <v>15000</v>
      </c>
      <c r="C3" s="55">
        <v>10000</v>
      </c>
      <c r="D3" s="55">
        <v>17000</v>
      </c>
    </row>
    <row r="5" spans="1:11">
      <c r="A5" s="55" t="s">
        <v>112</v>
      </c>
      <c r="B5" s="66">
        <v>0.1</v>
      </c>
    </row>
    <row r="6" spans="1:11">
      <c r="A6" s="55" t="s">
        <v>52</v>
      </c>
      <c r="B6" s="66">
        <v>7.0000000000000007E-2</v>
      </c>
    </row>
    <row r="7" spans="1:11">
      <c r="A7" s="55" t="s">
        <v>113</v>
      </c>
      <c r="B7" s="66">
        <v>0.03</v>
      </c>
      <c r="C7" s="55" t="s">
        <v>114</v>
      </c>
      <c r="D7" s="55">
        <v>500</v>
      </c>
    </row>
    <row r="8" spans="1:11">
      <c r="A8" s="55" t="s">
        <v>115</v>
      </c>
      <c r="B8" s="66">
        <v>0.05</v>
      </c>
      <c r="C8" s="55" t="s">
        <v>114</v>
      </c>
    </row>
    <row r="9" spans="1:11">
      <c r="A9" s="55" t="s">
        <v>116</v>
      </c>
      <c r="B9" s="66">
        <v>0.02</v>
      </c>
    </row>
    <row r="10" spans="1:11">
      <c r="B10" s="66"/>
    </row>
    <row r="11" spans="1:11">
      <c r="A11" s="67" t="s">
        <v>117</v>
      </c>
      <c r="G11" s="67" t="s">
        <v>118</v>
      </c>
    </row>
    <row r="13" spans="1:11">
      <c r="A13" s="67" t="s">
        <v>119</v>
      </c>
      <c r="B13" s="67">
        <v>0</v>
      </c>
      <c r="C13" s="67">
        <v>1</v>
      </c>
      <c r="D13" s="67">
        <v>2</v>
      </c>
      <c r="E13" s="67">
        <v>3</v>
      </c>
      <c r="F13" s="67"/>
      <c r="G13" s="67" t="s">
        <v>119</v>
      </c>
      <c r="H13" s="67">
        <v>0</v>
      </c>
      <c r="I13" s="67">
        <v>1</v>
      </c>
      <c r="J13" s="67">
        <v>2</v>
      </c>
      <c r="K13" s="67">
        <v>3</v>
      </c>
    </row>
    <row r="14" spans="1:11">
      <c r="A14" s="55" t="s">
        <v>120</v>
      </c>
      <c r="C14" s="55">
        <v>1000</v>
      </c>
      <c r="D14" s="63">
        <f>C19</f>
        <v>5500.0000000000073</v>
      </c>
      <c r="E14" s="63">
        <f>D19</f>
        <v>4200.0000000000073</v>
      </c>
      <c r="G14" s="55" t="s">
        <v>120</v>
      </c>
      <c r="I14" s="55">
        <v>4000</v>
      </c>
      <c r="J14" s="63">
        <f>I19</f>
        <v>2430</v>
      </c>
      <c r="K14" s="63">
        <f>J19</f>
        <v>2680</v>
      </c>
    </row>
    <row r="15" spans="1:11">
      <c r="A15" s="55" t="s">
        <v>121</v>
      </c>
      <c r="C15" s="63">
        <f>B20</f>
        <v>63978.494623655919</v>
      </c>
      <c r="D15" s="63">
        <f>C20</f>
        <v>43763.440860215051</v>
      </c>
      <c r="E15" s="63">
        <f>D20</f>
        <v>68817.204301075253</v>
      </c>
      <c r="G15" s="55" t="s">
        <v>122</v>
      </c>
      <c r="I15" s="63">
        <f>H20</f>
        <v>19000</v>
      </c>
      <c r="J15" s="63">
        <f>I20</f>
        <v>25000</v>
      </c>
      <c r="K15" s="63">
        <f>J20</f>
        <v>22500</v>
      </c>
    </row>
    <row r="16" spans="1:11">
      <c r="A16" s="55" t="s">
        <v>52</v>
      </c>
      <c r="C16" s="63">
        <f>C15*$B$6</f>
        <v>4478.4946236559144</v>
      </c>
      <c r="D16" s="63">
        <f>D15*$B$6</f>
        <v>3063.4408602150538</v>
      </c>
      <c r="E16" s="63">
        <f>E15*$B$6</f>
        <v>4817.2043010752686</v>
      </c>
      <c r="G16" s="55" t="s">
        <v>123</v>
      </c>
      <c r="I16" s="63">
        <f>I15*$B$7</f>
        <v>570</v>
      </c>
      <c r="J16" s="63">
        <f>J15*$B$7</f>
        <v>750</v>
      </c>
      <c r="K16" s="63">
        <f>K15*$B$7</f>
        <v>675</v>
      </c>
    </row>
    <row r="17" spans="1:11">
      <c r="A17" s="55" t="s">
        <v>18</v>
      </c>
      <c r="C17" s="63">
        <f>C14+C15-C16</f>
        <v>60500.000000000007</v>
      </c>
      <c r="D17" s="63">
        <f>D14+D15-D16</f>
        <v>46200.000000000007</v>
      </c>
      <c r="E17" s="63">
        <f>E14+E15-E16</f>
        <v>68199.999999999985</v>
      </c>
      <c r="G17" s="55" t="s">
        <v>18</v>
      </c>
      <c r="I17" s="63">
        <f>I14+I15-I16</f>
        <v>22430</v>
      </c>
      <c r="J17" s="63">
        <f>J14+J15-J16</f>
        <v>26680</v>
      </c>
      <c r="K17" s="63">
        <f>K14+K15-K16</f>
        <v>24505</v>
      </c>
    </row>
    <row r="18" spans="1:11">
      <c r="A18" s="55" t="s">
        <v>124</v>
      </c>
      <c r="C18" s="63">
        <f>B22</f>
        <v>55000</v>
      </c>
      <c r="D18" s="63">
        <f>B24</f>
        <v>42000</v>
      </c>
      <c r="E18" s="63">
        <f>B26</f>
        <v>62000</v>
      </c>
      <c r="G18" s="55" t="s">
        <v>124</v>
      </c>
      <c r="I18" s="55">
        <f>H22</f>
        <v>20000</v>
      </c>
      <c r="J18" s="55">
        <f>H24</f>
        <v>24000</v>
      </c>
      <c r="K18" s="55">
        <f>H26</f>
        <v>22000</v>
      </c>
    </row>
    <row r="19" spans="1:11">
      <c r="A19" s="55" t="s">
        <v>125</v>
      </c>
      <c r="C19" s="63">
        <f>C17-C18</f>
        <v>5500.0000000000073</v>
      </c>
      <c r="D19" s="63">
        <f>D17-D18</f>
        <v>4200.0000000000073</v>
      </c>
      <c r="E19" s="63">
        <f>E17-E18</f>
        <v>6199.9999999999854</v>
      </c>
      <c r="G19" s="55" t="s">
        <v>125</v>
      </c>
      <c r="I19" s="63">
        <f>I17-I18</f>
        <v>2430</v>
      </c>
      <c r="J19" s="63">
        <f>J17-J18</f>
        <v>2680</v>
      </c>
      <c r="K19" s="63">
        <f>K17-K18</f>
        <v>2505</v>
      </c>
    </row>
    <row r="20" spans="1:11">
      <c r="A20" s="55" t="s">
        <v>126</v>
      </c>
      <c r="B20" s="63">
        <f>B23</f>
        <v>63978.494623655919</v>
      </c>
      <c r="C20" s="63">
        <f>B25</f>
        <v>43763.440860215051</v>
      </c>
      <c r="D20" s="63">
        <f>B27</f>
        <v>68817.204301075253</v>
      </c>
      <c r="E20" s="65" t="s">
        <v>127</v>
      </c>
      <c r="G20" s="55" t="s">
        <v>126</v>
      </c>
      <c r="H20" s="63">
        <f>I23</f>
        <v>19000</v>
      </c>
      <c r="I20" s="63">
        <f>I25</f>
        <v>25000</v>
      </c>
      <c r="J20" s="63">
        <f>I27</f>
        <v>22500</v>
      </c>
      <c r="K20" s="65" t="s">
        <v>127</v>
      </c>
    </row>
    <row r="22" spans="1:11">
      <c r="A22" s="55" t="s">
        <v>128</v>
      </c>
      <c r="B22" s="55">
        <f>(1*B2)+(3*B3)</f>
        <v>55000</v>
      </c>
      <c r="G22" s="55" t="s">
        <v>129</v>
      </c>
      <c r="H22" s="55">
        <f>B2*2</f>
        <v>20000</v>
      </c>
    </row>
    <row r="23" spans="1:11">
      <c r="A23" s="55" t="s">
        <v>108</v>
      </c>
      <c r="B23" s="63">
        <f>((((B22*1.1)-(C14*1)))/1)/0.93</f>
        <v>63978.494623655919</v>
      </c>
      <c r="G23" s="55" t="s">
        <v>108</v>
      </c>
      <c r="H23" s="63">
        <f>(((H22*1.1)-I14))/(1-B7)</f>
        <v>18556.701030927834</v>
      </c>
      <c r="I23" s="55">
        <v>19000</v>
      </c>
    </row>
    <row r="24" spans="1:11">
      <c r="A24" s="55" t="s">
        <v>130</v>
      </c>
      <c r="B24" s="55">
        <f>(1*C2)+(3*C3)</f>
        <v>42000</v>
      </c>
      <c r="G24" s="55" t="s">
        <v>131</v>
      </c>
      <c r="H24" s="55">
        <f>C2*2</f>
        <v>24000</v>
      </c>
    </row>
    <row r="25" spans="1:11">
      <c r="A25" s="55" t="s">
        <v>132</v>
      </c>
      <c r="B25" s="63">
        <f>((((B24*1.1)-(D14*1)))/1)/0.93</f>
        <v>43763.440860215051</v>
      </c>
      <c r="G25" s="55" t="s">
        <v>132</v>
      </c>
      <c r="H25" s="63">
        <f>(((H24*1.1)-J14))/(1-B7)</f>
        <v>24711.34020618557</v>
      </c>
      <c r="I25" s="55">
        <v>25000</v>
      </c>
    </row>
    <row r="26" spans="1:11">
      <c r="A26" s="55" t="s">
        <v>133</v>
      </c>
      <c r="B26" s="55">
        <f>(1*D2)+(3*D3)</f>
        <v>62000</v>
      </c>
      <c r="G26" s="55" t="s">
        <v>134</v>
      </c>
      <c r="H26" s="55">
        <f>D2*2</f>
        <v>22000</v>
      </c>
    </row>
    <row r="27" spans="1:11">
      <c r="A27" s="55" t="s">
        <v>135</v>
      </c>
      <c r="B27" s="63">
        <f>((((B26*1.1)-(E14*1)))/1)/0.93</f>
        <v>68817.204301075253</v>
      </c>
      <c r="G27" s="55" t="s">
        <v>135</v>
      </c>
      <c r="H27" s="63">
        <f>(((H26*1.1)-K14))/(1-B7)</f>
        <v>22185.567010309282</v>
      </c>
      <c r="I27" s="55">
        <v>22500</v>
      </c>
    </row>
    <row r="30" spans="1:11">
      <c r="A30" s="67" t="s">
        <v>136</v>
      </c>
    </row>
    <row r="32" spans="1:11">
      <c r="A32" s="67" t="s">
        <v>119</v>
      </c>
      <c r="B32" s="67">
        <v>-1</v>
      </c>
      <c r="C32" s="67">
        <v>0</v>
      </c>
      <c r="D32" s="67">
        <v>1</v>
      </c>
      <c r="E32" s="67">
        <v>2</v>
      </c>
    </row>
    <row r="33" spans="1:5">
      <c r="A33" s="55" t="s">
        <v>120</v>
      </c>
      <c r="C33" s="55">
        <v>0</v>
      </c>
      <c r="D33" s="63">
        <f>C38</f>
        <v>12795.698924731201</v>
      </c>
      <c r="E33" s="63">
        <f>D38</f>
        <v>8752.6881720430392</v>
      </c>
    </row>
    <row r="34" spans="1:5">
      <c r="A34" s="55" t="s">
        <v>122</v>
      </c>
      <c r="C34" s="63">
        <f>B39*(1-$B$8)</f>
        <v>143625.19201228881</v>
      </c>
      <c r="D34" s="63">
        <f>C39*(1-$B$8)</f>
        <v>85448.76014922098</v>
      </c>
      <c r="E34" s="63">
        <f>D39*(1-$B$8)</f>
        <v>145734.91332016673</v>
      </c>
    </row>
    <row r="35" spans="1:5">
      <c r="A35" s="55" t="s">
        <v>137</v>
      </c>
      <c r="C35" s="63">
        <f>(C33+C34)*$B$9</f>
        <v>2872.5038402457762</v>
      </c>
      <c r="D35" s="63">
        <f>(D33+D34)*$B$9</f>
        <v>1964.8891814790436</v>
      </c>
      <c r="E35" s="63">
        <f>(E33+E34)*$B$9</f>
        <v>3089.7520298441955</v>
      </c>
    </row>
    <row r="36" spans="1:5">
      <c r="A36" s="55" t="s">
        <v>18</v>
      </c>
      <c r="C36" s="63">
        <f>C33+C34-C35</f>
        <v>140752.68817204304</v>
      </c>
      <c r="D36" s="63">
        <f>D33+D34-D35</f>
        <v>96279.56989247314</v>
      </c>
      <c r="E36" s="63">
        <f>E33+E34-E35</f>
        <v>151397.84946236559</v>
      </c>
    </row>
    <row r="37" spans="1:5">
      <c r="A37" s="55" t="s">
        <v>124</v>
      </c>
      <c r="C37" s="63">
        <f>B41</f>
        <v>127956.98924731184</v>
      </c>
      <c r="D37" s="63">
        <f>B43</f>
        <v>87526.881720430101</v>
      </c>
      <c r="E37" s="63">
        <f>B45</f>
        <v>137634.40860215051</v>
      </c>
    </row>
    <row r="38" spans="1:5">
      <c r="A38" s="55" t="s">
        <v>125</v>
      </c>
      <c r="C38" s="63">
        <f>C36-C37</f>
        <v>12795.698924731201</v>
      </c>
      <c r="D38" s="63">
        <f>D36-D37</f>
        <v>8752.6881720430392</v>
      </c>
      <c r="E38" s="63">
        <f>E36-E37</f>
        <v>13763.44086021508</v>
      </c>
    </row>
    <row r="39" spans="1:5">
      <c r="A39" s="55" t="s">
        <v>126</v>
      </c>
      <c r="B39" s="63">
        <f>B42</f>
        <v>151184.41264451455</v>
      </c>
      <c r="C39" s="63">
        <f>B44</f>
        <v>89946.063314969462</v>
      </c>
      <c r="D39" s="63">
        <f>B46</f>
        <v>153405.17191596498</v>
      </c>
      <c r="E39" s="65" t="s">
        <v>127</v>
      </c>
    </row>
    <row r="41" spans="1:5">
      <c r="A41" s="55" t="s">
        <v>138</v>
      </c>
      <c r="B41" s="63">
        <f>B20*2</f>
        <v>127956.98924731184</v>
      </c>
    </row>
    <row r="42" spans="1:5">
      <c r="A42" s="55" t="s">
        <v>139</v>
      </c>
      <c r="B42" s="63">
        <f>((((B41*1.1)-(C33*0.98))/(1-$B$9))/(1-$B$8))</f>
        <v>151184.41264451455</v>
      </c>
    </row>
    <row r="43" spans="1:5">
      <c r="A43" s="55" t="s">
        <v>140</v>
      </c>
      <c r="B43" s="63">
        <f>C20*2</f>
        <v>87526.881720430101</v>
      </c>
    </row>
    <row r="44" spans="1:5">
      <c r="A44" s="55" t="s">
        <v>141</v>
      </c>
      <c r="B44" s="63">
        <f>((((B43*1.1)-(D33*0.98))/(1-$B$9))/(1-$B$8))</f>
        <v>89946.063314969462</v>
      </c>
    </row>
    <row r="45" spans="1:5">
      <c r="A45" s="55" t="s">
        <v>142</v>
      </c>
      <c r="B45" s="63">
        <f>D20*2</f>
        <v>137634.40860215051</v>
      </c>
    </row>
    <row r="46" spans="1:5">
      <c r="A46" s="55" t="s">
        <v>132</v>
      </c>
      <c r="B46" s="63">
        <f>((((B45*1.1)-(E33*0.98))/(1-$B$9))/(1-$B$8))</f>
        <v>153405.17191596498</v>
      </c>
    </row>
  </sheetData>
  <pageMargins left="0.75" right="0.75" top="1" bottom="1" header="0.5" footer="0.5"/>
  <pageSetup paperSize="9" orientation="portrait" horizontalDpi="4294967292" verticalDpi="429496729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E3932-9C41-F741-A1D7-860168BC7C5F}">
  <dimension ref="A1:K43"/>
  <sheetViews>
    <sheetView workbookViewId="0">
      <selection activeCell="G39" sqref="G39"/>
    </sheetView>
  </sheetViews>
  <sheetFormatPr baseColWidth="10" defaultRowHeight="16"/>
  <cols>
    <col min="1" max="1" width="19" customWidth="1"/>
    <col min="7" max="7" width="18.6640625" customWidth="1"/>
  </cols>
  <sheetData>
    <row r="1" spans="1:11">
      <c r="B1" t="s">
        <v>7</v>
      </c>
      <c r="C1" t="s">
        <v>8</v>
      </c>
      <c r="D1" t="s">
        <v>9</v>
      </c>
      <c r="F1" s="47" t="s">
        <v>111</v>
      </c>
      <c r="G1" s="47" t="s">
        <v>143</v>
      </c>
      <c r="H1" s="47" t="s">
        <v>144</v>
      </c>
    </row>
    <row r="2" spans="1:11">
      <c r="A2" t="s">
        <v>110</v>
      </c>
      <c r="B2">
        <v>11000</v>
      </c>
      <c r="C2">
        <v>15000</v>
      </c>
      <c r="D2">
        <v>25000</v>
      </c>
      <c r="F2" s="47">
        <v>2</v>
      </c>
      <c r="G2" s="47">
        <v>2</v>
      </c>
      <c r="H2" s="47">
        <v>3</v>
      </c>
    </row>
    <row r="3" spans="1:11">
      <c r="A3" t="s">
        <v>111</v>
      </c>
      <c r="B3">
        <v>0</v>
      </c>
      <c r="C3">
        <v>0</v>
      </c>
      <c r="D3">
        <v>0</v>
      </c>
    </row>
    <row r="5" spans="1:11">
      <c r="A5" t="s">
        <v>112</v>
      </c>
      <c r="B5">
        <v>500</v>
      </c>
    </row>
    <row r="6" spans="1:11">
      <c r="A6" t="s">
        <v>145</v>
      </c>
      <c r="B6" s="68">
        <v>0.03</v>
      </c>
    </row>
    <row r="7" spans="1:11">
      <c r="A7" t="s">
        <v>52</v>
      </c>
      <c r="B7" s="68">
        <v>1.4999999999999999E-2</v>
      </c>
    </row>
    <row r="8" spans="1:11">
      <c r="A8" t="s">
        <v>146</v>
      </c>
      <c r="B8" s="68">
        <v>0.02</v>
      </c>
    </row>
    <row r="9" spans="1:11">
      <c r="A9" t="s">
        <v>147</v>
      </c>
      <c r="B9" s="68">
        <v>0</v>
      </c>
    </row>
    <row r="10" spans="1:11">
      <c r="B10" s="68"/>
    </row>
    <row r="11" spans="1:11">
      <c r="A11" s="69" t="s">
        <v>148</v>
      </c>
      <c r="G11" s="69" t="s">
        <v>149</v>
      </c>
    </row>
    <row r="13" spans="1:11">
      <c r="A13" s="69" t="s">
        <v>119</v>
      </c>
      <c r="B13" s="69">
        <v>0</v>
      </c>
      <c r="C13" s="69">
        <v>1</v>
      </c>
      <c r="D13" s="69">
        <v>2</v>
      </c>
      <c r="E13" s="69">
        <v>3</v>
      </c>
      <c r="F13" s="69"/>
      <c r="G13" s="69" t="s">
        <v>119</v>
      </c>
      <c r="H13" s="69">
        <v>0</v>
      </c>
      <c r="I13" s="69">
        <v>1</v>
      </c>
      <c r="J13" s="69">
        <v>2</v>
      </c>
      <c r="K13" s="69">
        <v>3</v>
      </c>
    </row>
    <row r="14" spans="1:11">
      <c r="A14" t="s">
        <v>120</v>
      </c>
      <c r="C14">
        <v>0</v>
      </c>
      <c r="D14" s="70">
        <f>C20</f>
        <v>795</v>
      </c>
      <c r="E14" s="70">
        <f>D20</f>
        <v>865</v>
      </c>
      <c r="G14" t="s">
        <v>120</v>
      </c>
      <c r="I14">
        <v>0</v>
      </c>
      <c r="J14" s="70">
        <f>I20</f>
        <v>500</v>
      </c>
      <c r="K14" s="70">
        <f>J20</f>
        <v>500</v>
      </c>
    </row>
    <row r="15" spans="1:11">
      <c r="A15" t="s">
        <v>121</v>
      </c>
      <c r="C15" s="70">
        <f>B21*(1-$B$6)</f>
        <v>22795</v>
      </c>
      <c r="D15" s="70">
        <f>C21*(1-$B$6)</f>
        <v>30070</v>
      </c>
      <c r="E15" s="70">
        <f>D21*(1-$B$6)</f>
        <v>49955</v>
      </c>
      <c r="G15" t="s">
        <v>121</v>
      </c>
      <c r="I15" s="70">
        <f>H21</f>
        <v>22842.639593908629</v>
      </c>
      <c r="J15" s="70">
        <f>I21</f>
        <v>30456.852791878173</v>
      </c>
      <c r="K15" s="70">
        <f>J21</f>
        <v>50761.421319796958</v>
      </c>
    </row>
    <row r="16" spans="1:11">
      <c r="A16" t="s">
        <v>52</v>
      </c>
      <c r="C16" s="70">
        <v>0</v>
      </c>
      <c r="D16" s="70">
        <v>0</v>
      </c>
      <c r="E16" s="70">
        <v>0</v>
      </c>
      <c r="G16" t="s">
        <v>52</v>
      </c>
      <c r="I16" s="70">
        <f>I15*$B$7</f>
        <v>342.63959390862942</v>
      </c>
      <c r="J16" s="70">
        <f>J15*$B$7</f>
        <v>456.85279187817258</v>
      </c>
      <c r="K16" s="70">
        <f>K15*$B$7</f>
        <v>761.42131979695432</v>
      </c>
    </row>
    <row r="17" spans="1:11">
      <c r="A17" t="s">
        <v>137</v>
      </c>
      <c r="C17" s="70">
        <f>(C14*$B$9)+((C15*(1-$B$6)*$B$9))</f>
        <v>0</v>
      </c>
      <c r="D17" s="70">
        <f>(D14*$B$9)+((D15*(1-$B$6)*$B$9))</f>
        <v>0</v>
      </c>
      <c r="E17" s="70">
        <f>(E14*$B$9)+((E15*(1-$B$6)*$B$9))</f>
        <v>0</v>
      </c>
      <c r="G17" t="s">
        <v>137</v>
      </c>
      <c r="I17" s="70">
        <f>(I14*$B$9)+((I15*(1-$B$6)*$B$9))</f>
        <v>0</v>
      </c>
      <c r="J17" s="70">
        <f>(J14*$B$9)+((J15*(1-$B$6)*$B$9))</f>
        <v>0</v>
      </c>
      <c r="K17" s="70">
        <f>(K14*$B$9)+((K15*(1-$B$6)*$B$9))</f>
        <v>0</v>
      </c>
    </row>
    <row r="18" spans="1:11">
      <c r="A18" t="s">
        <v>18</v>
      </c>
      <c r="C18" s="70">
        <f>C14+C15-C17-C16</f>
        <v>22795</v>
      </c>
      <c r="D18" s="70">
        <f>D14+D15-D17-D16</f>
        <v>30865</v>
      </c>
      <c r="E18" s="70">
        <f>E14+E15-E17-E16</f>
        <v>50820</v>
      </c>
      <c r="G18" t="s">
        <v>18</v>
      </c>
      <c r="I18" s="70">
        <f>I14+I15-I17-I16</f>
        <v>22500</v>
      </c>
      <c r="J18" s="70">
        <f>J14+J15-J17-J16</f>
        <v>30500</v>
      </c>
      <c r="K18" s="70">
        <f>K14+K15-K17-K16</f>
        <v>50500.000000000007</v>
      </c>
    </row>
    <row r="19" spans="1:11">
      <c r="A19" t="s">
        <v>124</v>
      </c>
      <c r="C19" s="70">
        <f>B23</f>
        <v>22000</v>
      </c>
      <c r="D19" s="70">
        <f>B25</f>
        <v>30000</v>
      </c>
      <c r="E19" s="70">
        <f>B27</f>
        <v>50000</v>
      </c>
      <c r="G19" t="s">
        <v>124</v>
      </c>
      <c r="I19" s="70">
        <f>H23</f>
        <v>22000</v>
      </c>
      <c r="J19" s="70">
        <f>H25</f>
        <v>30000</v>
      </c>
      <c r="K19" s="70">
        <f>H27</f>
        <v>50000</v>
      </c>
    </row>
    <row r="20" spans="1:11">
      <c r="A20" t="s">
        <v>125</v>
      </c>
      <c r="C20" s="70">
        <f>C18-C19</f>
        <v>795</v>
      </c>
      <c r="D20" s="70">
        <f>D18-D19</f>
        <v>865</v>
      </c>
      <c r="E20" s="70">
        <f>E18-E19</f>
        <v>820</v>
      </c>
      <c r="G20" t="s">
        <v>125</v>
      </c>
      <c r="I20" s="70">
        <f>I18-I19</f>
        <v>500</v>
      </c>
      <c r="J20" s="70">
        <f>J18-J19</f>
        <v>500</v>
      </c>
      <c r="K20" s="70">
        <f>K18-K19</f>
        <v>500.00000000000728</v>
      </c>
    </row>
    <row r="21" spans="1:11">
      <c r="A21" t="s">
        <v>126</v>
      </c>
      <c r="B21" s="70">
        <f>D24</f>
        <v>23500</v>
      </c>
      <c r="C21" s="70">
        <f>D26</f>
        <v>31000</v>
      </c>
      <c r="D21" s="70">
        <f>D28</f>
        <v>51500</v>
      </c>
      <c r="E21" s="71" t="s">
        <v>127</v>
      </c>
      <c r="G21" t="s">
        <v>126</v>
      </c>
      <c r="H21" s="70">
        <f>I24</f>
        <v>22842.639593908629</v>
      </c>
      <c r="I21" s="70">
        <f>I26</f>
        <v>30456.852791878173</v>
      </c>
      <c r="J21" s="70">
        <f>I28</f>
        <v>50761.421319796958</v>
      </c>
      <c r="K21" s="71" t="s">
        <v>127</v>
      </c>
    </row>
    <row r="23" spans="1:11">
      <c r="A23" t="s">
        <v>150</v>
      </c>
      <c r="B23">
        <f>(F2*$B$2)+(1*$B$3)</f>
        <v>22000</v>
      </c>
      <c r="G23" t="s">
        <v>150</v>
      </c>
      <c r="H23">
        <f>(G2*$B$2)+(1*$B$3)</f>
        <v>22000</v>
      </c>
    </row>
    <row r="24" spans="1:11">
      <c r="A24" t="s">
        <v>108</v>
      </c>
      <c r="B24" s="70">
        <f>((((B23+$B$5)-(C14*1))))</f>
        <v>22500</v>
      </c>
      <c r="C24" s="70">
        <f>B24/(1-$B$6)</f>
        <v>23195.876288659794</v>
      </c>
      <c r="D24">
        <f>CEILING(C24,500)</f>
        <v>23500</v>
      </c>
      <c r="G24" t="s">
        <v>108</v>
      </c>
      <c r="H24" s="70">
        <f>((((H23+$B$5)-(I14*1))))</f>
        <v>22500</v>
      </c>
      <c r="I24" s="70">
        <f>H24/(1-$B$7)</f>
        <v>22842.639593908629</v>
      </c>
    </row>
    <row r="25" spans="1:11">
      <c r="A25" t="s">
        <v>151</v>
      </c>
      <c r="B25">
        <f>(F2*$C$2)+(1*$C$3)</f>
        <v>30000</v>
      </c>
      <c r="G25" t="s">
        <v>151</v>
      </c>
      <c r="H25">
        <f>(G2*$C$2)+(1*$C$3)</f>
        <v>30000</v>
      </c>
    </row>
    <row r="26" spans="1:11">
      <c r="A26" t="s">
        <v>132</v>
      </c>
      <c r="B26" s="70">
        <f>((((B25+$B$5)-(D14*1))))</f>
        <v>29705</v>
      </c>
      <c r="C26" s="70">
        <f>B26/(1-$B$6)</f>
        <v>30623.711340206188</v>
      </c>
      <c r="D26">
        <f>CEILING(C26,500)</f>
        <v>31000</v>
      </c>
      <c r="G26" t="s">
        <v>132</v>
      </c>
      <c r="H26" s="70">
        <f>((((H25+$B$5)-(J14*1))))</f>
        <v>30000</v>
      </c>
      <c r="I26" s="70">
        <f>H26/(1-$B$7)</f>
        <v>30456.852791878173</v>
      </c>
    </row>
    <row r="27" spans="1:11">
      <c r="A27" t="s">
        <v>152</v>
      </c>
      <c r="B27">
        <f>(F2*$D$2)+(1*$D$3)</f>
        <v>50000</v>
      </c>
      <c r="G27" t="s">
        <v>152</v>
      </c>
      <c r="H27">
        <f>(G2*$D$2)+(1*$D$3)</f>
        <v>50000</v>
      </c>
    </row>
    <row r="28" spans="1:11">
      <c r="A28" t="s">
        <v>135</v>
      </c>
      <c r="B28" s="70">
        <f>((((B27+500)-(E14*1))))</f>
        <v>49635</v>
      </c>
      <c r="C28" s="70">
        <f>B28/(1-$B$6)</f>
        <v>51170.103092783509</v>
      </c>
      <c r="D28">
        <f>CEILING(C28,500)</f>
        <v>51500</v>
      </c>
      <c r="G28" t="s">
        <v>135</v>
      </c>
      <c r="H28" s="70">
        <f>((((H27+500)-(K14*1))))</f>
        <v>50000</v>
      </c>
      <c r="I28" s="70">
        <f>H28/(1-$B$7)</f>
        <v>50761.421319796958</v>
      </c>
    </row>
    <row r="31" spans="1:11">
      <c r="A31" s="69" t="s">
        <v>153</v>
      </c>
    </row>
    <row r="33" spans="1:6">
      <c r="A33" s="69" t="s">
        <v>119</v>
      </c>
      <c r="B33" s="69">
        <v>-2</v>
      </c>
      <c r="C33" s="69">
        <v>-1</v>
      </c>
      <c r="D33" s="69">
        <v>0</v>
      </c>
      <c r="E33" s="69">
        <v>1</v>
      </c>
      <c r="F33" s="69">
        <v>2</v>
      </c>
    </row>
    <row r="34" spans="1:6">
      <c r="A34" t="s">
        <v>120</v>
      </c>
      <c r="D34">
        <v>0</v>
      </c>
      <c r="E34" s="70">
        <f>D39</f>
        <v>35699.661590524527</v>
      </c>
      <c r="F34" s="70">
        <f>E39</f>
        <v>48556.683587140433</v>
      </c>
    </row>
    <row r="35" spans="1:6">
      <c r="A35" t="s">
        <v>122</v>
      </c>
      <c r="D35" s="70">
        <f>B40</f>
        <v>106354.67384923513</v>
      </c>
      <c r="E35" s="70">
        <f>C40</f>
        <v>106354.67384923513</v>
      </c>
      <c r="F35" s="70">
        <f>D40</f>
        <v>106354.67384923513</v>
      </c>
    </row>
    <row r="36" spans="1:6">
      <c r="A36" t="s">
        <v>123</v>
      </c>
      <c r="D36" s="70">
        <f>D35*$B$8</f>
        <v>2127.0934769847026</v>
      </c>
      <c r="E36" s="70">
        <f>E35*$B$8</f>
        <v>2127.0934769847026</v>
      </c>
      <c r="F36" s="70">
        <f>F35*$B$8</f>
        <v>2127.0934769847026</v>
      </c>
    </row>
    <row r="37" spans="1:6">
      <c r="A37" t="s">
        <v>18</v>
      </c>
      <c r="D37" s="70">
        <f>D34+D35-D36</f>
        <v>104227.58037225042</v>
      </c>
      <c r="E37" s="70">
        <f>E34+E35-E36</f>
        <v>139927.24196277495</v>
      </c>
      <c r="F37" s="70">
        <f>F34+F35-F36</f>
        <v>152784.26395939087</v>
      </c>
    </row>
    <row r="38" spans="1:6">
      <c r="A38" t="s">
        <v>124</v>
      </c>
      <c r="D38" s="70">
        <f>B42</f>
        <v>68527.918781725893</v>
      </c>
      <c r="E38" s="70">
        <f>C42</f>
        <v>91370.558375634515</v>
      </c>
      <c r="F38" s="70">
        <f>D42</f>
        <v>152284.26395939087</v>
      </c>
    </row>
    <row r="39" spans="1:6">
      <c r="A39" t="s">
        <v>125</v>
      </c>
      <c r="D39" s="70">
        <f>D37-D38</f>
        <v>35699.661590524527</v>
      </c>
      <c r="E39" s="70">
        <f>E37-E38</f>
        <v>48556.683587140433</v>
      </c>
      <c r="F39" s="70">
        <f>F37-F38</f>
        <v>500</v>
      </c>
    </row>
    <row r="40" spans="1:6">
      <c r="A40" t="s">
        <v>126</v>
      </c>
      <c r="B40" s="70">
        <f>C43</f>
        <v>106354.67384923513</v>
      </c>
      <c r="C40" s="70">
        <f>C43</f>
        <v>106354.67384923513</v>
      </c>
      <c r="D40" s="70">
        <f>C43</f>
        <v>106354.67384923513</v>
      </c>
      <c r="E40" s="71" t="s">
        <v>127</v>
      </c>
      <c r="F40" s="71" t="s">
        <v>127</v>
      </c>
    </row>
    <row r="42" spans="1:6">
      <c r="A42" t="s">
        <v>124</v>
      </c>
      <c r="B42" s="70">
        <f>H21*H2</f>
        <v>68527.918781725893</v>
      </c>
      <c r="C42" s="70">
        <f>I21*H2</f>
        <v>91370.558375634515</v>
      </c>
      <c r="D42" s="70">
        <f>J21*H2</f>
        <v>152284.26395939087</v>
      </c>
    </row>
    <row r="43" spans="1:6">
      <c r="A43" t="s">
        <v>107</v>
      </c>
      <c r="B43" s="70">
        <f>(B42+C42+D42+B5-D34)/3</f>
        <v>104227.58037225042</v>
      </c>
      <c r="C43" s="70">
        <f>B43/(1-B8)</f>
        <v>106354.67384923513</v>
      </c>
    </row>
  </sheetData>
  <pageMargins left="0.75" right="0.75" top="1" bottom="1" header="0.5" footer="0.5"/>
  <pageSetup paperSize="9" orientation="portrait" horizontalDpi="4294967292" verticalDpi="429496729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8C4B6F-5EBA-BF4A-932D-10D7EC3EFCD8}">
  <dimension ref="A1:K44"/>
  <sheetViews>
    <sheetView zoomScaleNormal="100" zoomScalePageLayoutView="150" workbookViewId="0">
      <selection activeCell="E25" sqref="E25"/>
    </sheetView>
  </sheetViews>
  <sheetFormatPr baseColWidth="10" defaultRowHeight="16"/>
  <cols>
    <col min="1" max="1" width="19" style="72" customWidth="1"/>
    <col min="2" max="6" width="10.83203125" style="72"/>
    <col min="7" max="7" width="18.6640625" style="72" customWidth="1"/>
    <col min="8" max="16384" width="10.83203125" style="72"/>
  </cols>
  <sheetData>
    <row r="1" spans="1:11">
      <c r="B1" s="72" t="s">
        <v>7</v>
      </c>
      <c r="C1" s="72" t="s">
        <v>8</v>
      </c>
      <c r="D1" s="72" t="s">
        <v>9</v>
      </c>
      <c r="G1" s="73"/>
      <c r="H1" s="73" t="s">
        <v>154</v>
      </c>
      <c r="I1" s="73" t="s">
        <v>155</v>
      </c>
      <c r="J1" s="73" t="s">
        <v>156</v>
      </c>
    </row>
    <row r="2" spans="1:11">
      <c r="A2" s="72" t="s">
        <v>110</v>
      </c>
      <c r="B2" s="72">
        <v>1500</v>
      </c>
      <c r="C2" s="72">
        <v>2000</v>
      </c>
      <c r="D2" s="72">
        <v>1000</v>
      </c>
      <c r="G2" s="73" t="s">
        <v>110</v>
      </c>
      <c r="H2" s="73">
        <v>2</v>
      </c>
      <c r="I2" s="73">
        <v>0</v>
      </c>
      <c r="J2" s="73">
        <v>3</v>
      </c>
    </row>
    <row r="3" spans="1:11">
      <c r="A3" s="72" t="s">
        <v>111</v>
      </c>
      <c r="B3" s="72">
        <v>3000</v>
      </c>
      <c r="C3" s="72">
        <v>2500</v>
      </c>
      <c r="D3" s="72">
        <v>4000</v>
      </c>
      <c r="G3" s="73" t="s">
        <v>111</v>
      </c>
      <c r="H3" s="73">
        <v>5</v>
      </c>
      <c r="I3" s="73">
        <v>0</v>
      </c>
      <c r="J3" s="73">
        <v>6</v>
      </c>
    </row>
    <row r="4" spans="1:11">
      <c r="G4" s="73" t="s">
        <v>156</v>
      </c>
      <c r="H4" s="73">
        <v>0</v>
      </c>
      <c r="I4" s="73">
        <v>4</v>
      </c>
      <c r="J4" s="73">
        <v>0</v>
      </c>
    </row>
    <row r="5" spans="1:11">
      <c r="A5" s="72" t="s">
        <v>112</v>
      </c>
      <c r="B5" s="74">
        <v>200</v>
      </c>
    </row>
    <row r="6" spans="1:11">
      <c r="A6" s="72" t="s">
        <v>52</v>
      </c>
      <c r="B6" s="75">
        <v>0</v>
      </c>
    </row>
    <row r="7" spans="1:11">
      <c r="A7" s="72" t="s">
        <v>157</v>
      </c>
      <c r="B7" s="75">
        <v>0</v>
      </c>
    </row>
    <row r="8" spans="1:11">
      <c r="A8" s="72" t="s">
        <v>158</v>
      </c>
      <c r="B8" s="75">
        <v>0.05</v>
      </c>
    </row>
    <row r="9" spans="1:11">
      <c r="A9" s="72" t="s">
        <v>147</v>
      </c>
      <c r="B9" s="75">
        <v>0</v>
      </c>
    </row>
    <row r="10" spans="1:11">
      <c r="B10" s="75"/>
    </row>
    <row r="11" spans="1:11">
      <c r="A11" s="76" t="s">
        <v>159</v>
      </c>
      <c r="G11" s="76" t="s">
        <v>160</v>
      </c>
      <c r="H11" s="76"/>
    </row>
    <row r="13" spans="1:11">
      <c r="A13" s="76" t="s">
        <v>119</v>
      </c>
      <c r="B13" s="76">
        <v>0</v>
      </c>
      <c r="C13" s="76">
        <v>1</v>
      </c>
      <c r="D13" s="76">
        <v>2</v>
      </c>
      <c r="E13" s="76">
        <v>3</v>
      </c>
      <c r="F13" s="76"/>
      <c r="G13" s="76" t="s">
        <v>119</v>
      </c>
      <c r="H13" s="76">
        <v>0</v>
      </c>
      <c r="I13" s="76">
        <v>1</v>
      </c>
      <c r="J13" s="76">
        <v>2</v>
      </c>
      <c r="K13" s="76">
        <v>3</v>
      </c>
    </row>
    <row r="14" spans="1:11">
      <c r="A14" s="72" t="s">
        <v>120</v>
      </c>
      <c r="C14" s="72">
        <v>0</v>
      </c>
      <c r="D14" s="74">
        <f>C20</f>
        <v>1066.6666666666679</v>
      </c>
      <c r="E14" s="74">
        <f>D20</f>
        <v>3633.3333333333358</v>
      </c>
      <c r="G14" s="72" t="s">
        <v>120</v>
      </c>
      <c r="I14" s="72">
        <v>0</v>
      </c>
      <c r="J14" s="74">
        <f>I19</f>
        <v>900</v>
      </c>
      <c r="K14" s="74">
        <f>J19</f>
        <v>3300</v>
      </c>
    </row>
    <row r="15" spans="1:11">
      <c r="A15" s="72" t="s">
        <v>121</v>
      </c>
      <c r="C15" s="74">
        <f>B21</f>
        <v>23566.666666666668</v>
      </c>
      <c r="D15" s="74">
        <f>C21</f>
        <v>23566.666666666668</v>
      </c>
      <c r="E15" s="74">
        <f>D21</f>
        <v>23566.666666666668</v>
      </c>
      <c r="G15" s="72" t="s">
        <v>122</v>
      </c>
      <c r="I15" s="74">
        <f>H20</f>
        <v>18900</v>
      </c>
      <c r="J15" s="74">
        <f>I20</f>
        <v>18900</v>
      </c>
      <c r="K15" s="74">
        <f>J20</f>
        <v>18900</v>
      </c>
    </row>
    <row r="16" spans="1:11">
      <c r="A16" s="72" t="s">
        <v>52</v>
      </c>
      <c r="C16" s="74">
        <f>C15*$B$6</f>
        <v>0</v>
      </c>
      <c r="D16" s="74">
        <f>D15*$B$6</f>
        <v>0</v>
      </c>
      <c r="E16" s="74">
        <f>E15*$B$6</f>
        <v>0</v>
      </c>
      <c r="G16" s="72" t="s">
        <v>123</v>
      </c>
      <c r="I16" s="74">
        <f>I15*$B$7</f>
        <v>0</v>
      </c>
      <c r="J16" s="74">
        <f>J15*$B$7</f>
        <v>0</v>
      </c>
      <c r="K16" s="74">
        <f>K15*$B$7</f>
        <v>0</v>
      </c>
    </row>
    <row r="17" spans="1:11">
      <c r="A17" s="72" t="s">
        <v>137</v>
      </c>
      <c r="C17" s="74">
        <f>(C14*$B$9)+((C15*(1-$B$6)*$B$9))</f>
        <v>0</v>
      </c>
      <c r="D17" s="74">
        <f>(D14*$B$9)+((D15*(1-$B$6)*$B$9))</f>
        <v>0</v>
      </c>
      <c r="E17" s="74">
        <f>(E14*$B$9)+((E15*(1-$B$6)*$B$9))</f>
        <v>0</v>
      </c>
      <c r="G17" s="72" t="s">
        <v>18</v>
      </c>
      <c r="I17" s="74">
        <f>I14+I15-I16</f>
        <v>18900</v>
      </c>
      <c r="J17" s="74">
        <f>J14+J15-J16</f>
        <v>19800</v>
      </c>
      <c r="K17" s="74">
        <f>K14+K15-K16</f>
        <v>22200</v>
      </c>
    </row>
    <row r="18" spans="1:11">
      <c r="A18" s="72" t="s">
        <v>18</v>
      </c>
      <c r="C18" s="74">
        <f>C14+C15-C17-C16</f>
        <v>23566.666666666668</v>
      </c>
      <c r="D18" s="74">
        <f>D14+D15-D17-D16</f>
        <v>24633.333333333336</v>
      </c>
      <c r="E18" s="74">
        <f>E14+E15-E17-E16</f>
        <v>27200.000000000004</v>
      </c>
      <c r="G18" s="72" t="s">
        <v>124</v>
      </c>
      <c r="I18" s="72">
        <f>H22</f>
        <v>18000</v>
      </c>
      <c r="J18" s="72">
        <f>I22</f>
        <v>16500</v>
      </c>
      <c r="K18" s="72">
        <f>J22</f>
        <v>22000</v>
      </c>
    </row>
    <row r="19" spans="1:11">
      <c r="A19" s="72" t="s">
        <v>124</v>
      </c>
      <c r="C19" s="74">
        <f>B23</f>
        <v>22500</v>
      </c>
      <c r="D19" s="74">
        <f>C23</f>
        <v>21000</v>
      </c>
      <c r="E19" s="74">
        <f>D23</f>
        <v>27000</v>
      </c>
      <c r="G19" s="72" t="s">
        <v>125</v>
      </c>
      <c r="I19" s="74">
        <f>I17-I18</f>
        <v>900</v>
      </c>
      <c r="J19" s="74">
        <f>J17-J18</f>
        <v>3300</v>
      </c>
      <c r="K19" s="74">
        <f>K17-K18</f>
        <v>200</v>
      </c>
    </row>
    <row r="20" spans="1:11">
      <c r="A20" s="72" t="s">
        <v>125</v>
      </c>
      <c r="C20" s="74">
        <f>C18-C19</f>
        <v>1066.6666666666679</v>
      </c>
      <c r="D20" s="74">
        <f>D18-D19</f>
        <v>3633.3333333333358</v>
      </c>
      <c r="E20" s="74">
        <f>E18-E19</f>
        <v>200.00000000000364</v>
      </c>
      <c r="G20" s="72" t="s">
        <v>126</v>
      </c>
      <c r="H20" s="74">
        <f>H23</f>
        <v>18900</v>
      </c>
      <c r="I20" s="74">
        <f>H23</f>
        <v>18900</v>
      </c>
      <c r="J20" s="74">
        <f>H23</f>
        <v>18900</v>
      </c>
      <c r="K20" s="77" t="s">
        <v>127</v>
      </c>
    </row>
    <row r="21" spans="1:11">
      <c r="A21" s="72" t="s">
        <v>126</v>
      </c>
      <c r="B21" s="74">
        <f>B24</f>
        <v>23566.666666666668</v>
      </c>
      <c r="C21" s="74">
        <f>B24</f>
        <v>23566.666666666668</v>
      </c>
      <c r="D21" s="74">
        <f>B24</f>
        <v>23566.666666666668</v>
      </c>
      <c r="E21" s="77" t="s">
        <v>127</v>
      </c>
    </row>
    <row r="22" spans="1:11">
      <c r="G22" s="72" t="s">
        <v>124</v>
      </c>
      <c r="H22" s="72">
        <f>($H$2*B2)+($H$3*B3)</f>
        <v>18000</v>
      </c>
      <c r="I22" s="72">
        <f>($H$2*C2)+($H$3*C3)</f>
        <v>16500</v>
      </c>
      <c r="J22" s="72">
        <f>($H$2*D2)+($H$3*D3)</f>
        <v>22000</v>
      </c>
    </row>
    <row r="23" spans="1:11">
      <c r="A23" s="72" t="s">
        <v>161</v>
      </c>
      <c r="B23" s="72">
        <f>($J$2*B2)+($J$3*B3)</f>
        <v>22500</v>
      </c>
      <c r="C23" s="72">
        <f t="shared" ref="C23:D23" si="0">($J$2*C2)+($J$3*C3)</f>
        <v>21000</v>
      </c>
      <c r="D23" s="72">
        <f t="shared" si="0"/>
        <v>27000</v>
      </c>
      <c r="G23" s="72" t="s">
        <v>107</v>
      </c>
      <c r="H23" s="74">
        <f>((H22+I22+J22)-I14+B5)/3</f>
        <v>18900</v>
      </c>
    </row>
    <row r="24" spans="1:11">
      <c r="A24" s="72" t="s">
        <v>107</v>
      </c>
      <c r="B24" s="74">
        <f>((B23+C23+D23)-C14+B5)/3</f>
        <v>23566.666666666668</v>
      </c>
    </row>
    <row r="25" spans="1:11">
      <c r="H25" s="74"/>
    </row>
    <row r="27" spans="1:11">
      <c r="A27" s="76" t="s">
        <v>162</v>
      </c>
    </row>
    <row r="29" spans="1:11">
      <c r="A29" s="76" t="s">
        <v>119</v>
      </c>
      <c r="B29" s="76">
        <v>-1</v>
      </c>
      <c r="C29" s="76">
        <v>0</v>
      </c>
      <c r="D29" s="76">
        <v>1</v>
      </c>
      <c r="E29" s="76">
        <v>2</v>
      </c>
    </row>
    <row r="30" spans="1:11">
      <c r="A30" s="72" t="s">
        <v>120</v>
      </c>
      <c r="C30" s="72">
        <v>0</v>
      </c>
      <c r="D30" s="74">
        <f>C36</f>
        <v>200</v>
      </c>
      <c r="E30" s="74">
        <f>D36</f>
        <v>266.66666666665697</v>
      </c>
    </row>
    <row r="31" spans="1:11">
      <c r="A31" s="72" t="s">
        <v>122</v>
      </c>
      <c r="C31" s="74">
        <f>B37-B43</f>
        <v>99298.245614035084</v>
      </c>
      <c r="D31" s="74">
        <f>C37</f>
        <v>99298.245614035084</v>
      </c>
      <c r="E31" s="74">
        <f>D37</f>
        <v>99298.245614035084</v>
      </c>
    </row>
    <row r="32" spans="1:11">
      <c r="A32" s="72" t="s">
        <v>163</v>
      </c>
      <c r="C32" s="74">
        <f>B43</f>
        <v>140.3508771929919</v>
      </c>
      <c r="D32" s="74">
        <v>0</v>
      </c>
      <c r="E32" s="74">
        <v>0</v>
      </c>
    </row>
    <row r="33" spans="1:9">
      <c r="A33" s="72" t="s">
        <v>123</v>
      </c>
      <c r="C33" s="74">
        <f>(C31+C32)*$B$8</f>
        <v>4971.9298245614045</v>
      </c>
      <c r="D33" s="74">
        <f t="shared" ref="D33:E33" si="1">(D31+D32)*$B$8</f>
        <v>4964.9122807017548</v>
      </c>
      <c r="E33" s="74">
        <f t="shared" si="1"/>
        <v>4964.9122807017548</v>
      </c>
    </row>
    <row r="34" spans="1:9">
      <c r="A34" s="72" t="s">
        <v>18</v>
      </c>
      <c r="C34" s="74">
        <f>C30+C31+C32-C33</f>
        <v>94466.666666666672</v>
      </c>
      <c r="D34" s="74">
        <f>D30+D31+D32-D33</f>
        <v>94533.333333333328</v>
      </c>
      <c r="E34" s="74">
        <f>E30+E31+E32-E33</f>
        <v>94599.999999999985</v>
      </c>
    </row>
    <row r="35" spans="1:9">
      <c r="A35" s="72" t="s">
        <v>124</v>
      </c>
      <c r="C35" s="74">
        <f>B39</f>
        <v>94266.666666666672</v>
      </c>
      <c r="D35" s="74">
        <f>C39</f>
        <v>94266.666666666672</v>
      </c>
      <c r="E35" s="74">
        <f>D39</f>
        <v>94266.666666666672</v>
      </c>
    </row>
    <row r="36" spans="1:9">
      <c r="A36" s="72" t="s">
        <v>125</v>
      </c>
      <c r="C36" s="74">
        <f>C34-C35</f>
        <v>200</v>
      </c>
      <c r="D36" s="74">
        <f>D34-D35</f>
        <v>266.66666666665697</v>
      </c>
      <c r="E36" s="74">
        <f>E34-E35</f>
        <v>333.33333333331393</v>
      </c>
    </row>
    <row r="37" spans="1:9">
      <c r="A37" s="72" t="s">
        <v>126</v>
      </c>
      <c r="B37" s="74">
        <f>B42</f>
        <v>99438.596491228076</v>
      </c>
      <c r="C37" s="74">
        <f>B40</f>
        <v>99298.245614035084</v>
      </c>
      <c r="D37" s="74">
        <f>B40</f>
        <v>99298.245614035084</v>
      </c>
      <c r="E37" s="77" t="s">
        <v>127</v>
      </c>
      <c r="I37" s="72">
        <f>25-9</f>
        <v>16</v>
      </c>
    </row>
    <row r="39" spans="1:9">
      <c r="A39" s="72" t="s">
        <v>124</v>
      </c>
      <c r="B39" s="74">
        <f>B21*$I$4</f>
        <v>94266.666666666672</v>
      </c>
      <c r="C39" s="74">
        <f>C21*$I$4</f>
        <v>94266.666666666672</v>
      </c>
      <c r="D39" s="74">
        <f>D21*$I$4</f>
        <v>94266.666666666672</v>
      </c>
    </row>
    <row r="40" spans="1:9">
      <c r="A40" s="72" t="s">
        <v>107</v>
      </c>
      <c r="B40" s="74">
        <f>(((B39+C39+D39)-C30+B5)/3)/(1-B8)</f>
        <v>99298.245614035084</v>
      </c>
    </row>
    <row r="41" spans="1:9">
      <c r="B41" s="74"/>
    </row>
    <row r="42" spans="1:9">
      <c r="A42" s="72" t="s">
        <v>163</v>
      </c>
      <c r="B42" s="74">
        <f>(B39-C30+B5)/(1-B8)</f>
        <v>99438.596491228076</v>
      </c>
      <c r="C42" s="74"/>
    </row>
    <row r="43" spans="1:9">
      <c r="A43" s="72" t="s">
        <v>164</v>
      </c>
      <c r="B43" s="74">
        <f>B42-B40</f>
        <v>140.3508771929919</v>
      </c>
      <c r="C43" s="77"/>
    </row>
    <row r="44" spans="1:9">
      <c r="B44" s="74"/>
    </row>
  </sheetData>
  <pageMargins left="0.75" right="0.75" top="1" bottom="1" header="0.5" footer="0.5"/>
  <pageSetup paperSize="9" orientation="portrait" horizontalDpi="4294967292" verticalDpi="429496729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A7D6D-52D1-9C46-8242-C6ACA9281D5D}">
  <dimension ref="A1:K66"/>
  <sheetViews>
    <sheetView workbookViewId="0">
      <selection activeCell="B38" sqref="B38"/>
    </sheetView>
  </sheetViews>
  <sheetFormatPr baseColWidth="10" defaultRowHeight="13"/>
  <cols>
    <col min="1" max="1" width="20.83203125" style="55" customWidth="1"/>
    <col min="2" max="4" width="10.83203125" style="55"/>
    <col min="5" max="5" width="15.6640625" style="55" customWidth="1"/>
    <col min="6" max="6" width="10.83203125" style="55"/>
    <col min="7" max="7" width="11.1640625" style="55" customWidth="1"/>
    <col min="8" max="8" width="12.5" style="55" customWidth="1"/>
    <col min="9" max="10" width="10.83203125" style="55"/>
    <col min="11" max="11" width="11.6640625" style="55" customWidth="1"/>
    <col min="12" max="16384" width="10.83203125" style="55"/>
  </cols>
  <sheetData>
    <row r="1" spans="1:11">
      <c r="B1" s="428" t="s">
        <v>165</v>
      </c>
      <c r="C1" s="428"/>
      <c r="D1" s="428"/>
    </row>
    <row r="2" spans="1:11" ht="42" customHeight="1">
      <c r="A2" s="55" t="s">
        <v>166</v>
      </c>
      <c r="B2" s="57" t="s">
        <v>167</v>
      </c>
      <c r="C2" s="57" t="s">
        <v>168</v>
      </c>
      <c r="D2" s="57" t="s">
        <v>169</v>
      </c>
      <c r="E2" s="55" t="s">
        <v>170</v>
      </c>
      <c r="F2" s="78" t="s">
        <v>171</v>
      </c>
      <c r="G2" s="78" t="s">
        <v>172</v>
      </c>
      <c r="H2" s="78" t="s">
        <v>173</v>
      </c>
      <c r="I2" s="78" t="s">
        <v>174</v>
      </c>
      <c r="J2" s="78" t="s">
        <v>175</v>
      </c>
      <c r="K2" s="78" t="s">
        <v>176</v>
      </c>
    </row>
    <row r="3" spans="1:11">
      <c r="A3" s="55" t="s">
        <v>177</v>
      </c>
      <c r="B3" s="57">
        <v>5000</v>
      </c>
      <c r="C3" s="57">
        <v>10000</v>
      </c>
      <c r="D3" s="57">
        <v>6000</v>
      </c>
      <c r="E3" s="57">
        <v>2000</v>
      </c>
      <c r="F3" s="79">
        <v>0.1</v>
      </c>
      <c r="G3" s="80">
        <v>200</v>
      </c>
      <c r="H3" s="80">
        <v>400</v>
      </c>
      <c r="I3" s="80">
        <v>600</v>
      </c>
      <c r="J3" s="79">
        <v>0.3</v>
      </c>
      <c r="K3" s="57">
        <v>1</v>
      </c>
    </row>
    <row r="4" spans="1:11">
      <c r="A4" s="55" t="s">
        <v>178</v>
      </c>
      <c r="B4" s="57">
        <v>3000</v>
      </c>
      <c r="C4" s="57">
        <v>4000</v>
      </c>
      <c r="D4" s="57">
        <v>5000</v>
      </c>
      <c r="E4" s="57">
        <v>1000</v>
      </c>
      <c r="F4" s="57" t="s">
        <v>179</v>
      </c>
      <c r="G4" s="57" t="s">
        <v>180</v>
      </c>
      <c r="H4" s="57" t="s">
        <v>181</v>
      </c>
      <c r="I4" s="57" t="s">
        <v>182</v>
      </c>
      <c r="J4" s="57" t="s">
        <v>103</v>
      </c>
      <c r="K4" s="57" t="s">
        <v>183</v>
      </c>
    </row>
    <row r="5" spans="1:11">
      <c r="F5" s="79">
        <v>0.05</v>
      </c>
      <c r="G5" s="79">
        <v>0.03</v>
      </c>
      <c r="H5" s="80">
        <v>5</v>
      </c>
      <c r="I5" s="79">
        <v>0.05</v>
      </c>
      <c r="J5" s="79">
        <v>0.03</v>
      </c>
      <c r="K5" s="79">
        <v>0.1</v>
      </c>
    </row>
    <row r="6" spans="1:11">
      <c r="A6" s="55" t="s">
        <v>184</v>
      </c>
    </row>
    <row r="7" spans="1:11" ht="42">
      <c r="A7" s="81" t="s">
        <v>185</v>
      </c>
      <c r="B7" s="57">
        <v>5</v>
      </c>
      <c r="C7" s="81" t="s">
        <v>186</v>
      </c>
      <c r="D7" s="57">
        <v>5</v>
      </c>
      <c r="E7" s="81" t="s">
        <v>187</v>
      </c>
      <c r="F7" s="57">
        <v>1000</v>
      </c>
      <c r="G7" s="81" t="s">
        <v>188</v>
      </c>
      <c r="H7" s="57">
        <f>F7/D7</f>
        <v>200</v>
      </c>
    </row>
    <row r="9" spans="1:11">
      <c r="A9" s="55" t="s">
        <v>189</v>
      </c>
      <c r="B9" s="57" t="s">
        <v>190</v>
      </c>
    </row>
    <row r="10" spans="1:11">
      <c r="A10" s="55" t="s">
        <v>191</v>
      </c>
      <c r="B10" s="55">
        <v>100</v>
      </c>
      <c r="C10" s="57" t="s">
        <v>192</v>
      </c>
      <c r="D10" s="82"/>
    </row>
    <row r="11" spans="1:11">
      <c r="A11" s="55" t="s">
        <v>193</v>
      </c>
      <c r="B11" s="55">
        <v>100</v>
      </c>
      <c r="C11" s="57" t="s">
        <v>192</v>
      </c>
      <c r="D11" s="82"/>
    </row>
    <row r="12" spans="1:11">
      <c r="A12" s="55" t="s">
        <v>194</v>
      </c>
      <c r="B12" s="55">
        <v>50</v>
      </c>
      <c r="C12" s="57" t="s">
        <v>182</v>
      </c>
    </row>
    <row r="13" spans="1:11">
      <c r="A13" s="55" t="s">
        <v>195</v>
      </c>
      <c r="B13" s="57" t="s">
        <v>43</v>
      </c>
      <c r="C13" s="57" t="s">
        <v>43</v>
      </c>
    </row>
    <row r="15" spans="1:11">
      <c r="A15" s="83" t="s">
        <v>196</v>
      </c>
      <c r="B15" s="57" t="str">
        <f>$B$2</f>
        <v>Mes 1</v>
      </c>
      <c r="C15" s="57" t="str">
        <f>$C$2</f>
        <v>Mes 2</v>
      </c>
      <c r="D15" s="57" t="str">
        <f>$D$2</f>
        <v>Mes 3</v>
      </c>
      <c r="E15" s="83" t="s">
        <v>197</v>
      </c>
      <c r="F15" s="57" t="str">
        <f>$B$2</f>
        <v>Mes 1</v>
      </c>
      <c r="G15" s="57" t="str">
        <f>$C$2</f>
        <v>Mes 2</v>
      </c>
      <c r="H15" s="57" t="str">
        <f>$D$2</f>
        <v>Mes 3</v>
      </c>
    </row>
    <row r="16" spans="1:11">
      <c r="A16" s="55" t="s">
        <v>198</v>
      </c>
      <c r="B16" s="55">
        <f>$B$3</f>
        <v>5000</v>
      </c>
      <c r="C16" s="55">
        <f>$C$3</f>
        <v>10000</v>
      </c>
      <c r="D16" s="55">
        <f>$D$3</f>
        <v>6000</v>
      </c>
      <c r="E16" s="55" t="s">
        <v>198</v>
      </c>
      <c r="F16" s="55">
        <f>$B$4</f>
        <v>3000</v>
      </c>
      <c r="G16" s="55">
        <f>$C$4</f>
        <v>4000</v>
      </c>
      <c r="H16" s="55">
        <f>$D$4</f>
        <v>5000</v>
      </c>
    </row>
    <row r="17" spans="1:8">
      <c r="A17" s="55" t="s">
        <v>199</v>
      </c>
      <c r="B17" s="55">
        <f>$E$3</f>
        <v>2000</v>
      </c>
      <c r="C17" s="63">
        <f>B22</f>
        <v>500.00000000000091</v>
      </c>
      <c r="D17" s="55">
        <f>C22</f>
        <v>1000.0000000000018</v>
      </c>
      <c r="E17" s="55" t="s">
        <v>199</v>
      </c>
      <c r="F17" s="55">
        <f>$E$4</f>
        <v>1000</v>
      </c>
      <c r="G17" s="63">
        <f>F22</f>
        <v>300</v>
      </c>
      <c r="H17" s="55">
        <f>G22</f>
        <v>400</v>
      </c>
    </row>
    <row r="18" spans="1:8">
      <c r="A18" s="55" t="s">
        <v>200</v>
      </c>
      <c r="B18" s="63">
        <f>((B16-B17)+(B16*$K$5))/(1-$F$5)</f>
        <v>3684.2105263157896</v>
      </c>
      <c r="C18" s="63">
        <f>((C16-C17)+(C16*$K$5))/(1-$F$5)</f>
        <v>11052.631578947368</v>
      </c>
      <c r="D18" s="63">
        <f>((D16-D17)+(D16*$K$5))/(1-$F$5)</f>
        <v>5894.7368421052615</v>
      </c>
      <c r="E18" s="55" t="s">
        <v>200</v>
      </c>
      <c r="F18" s="63">
        <f>((F16-F17)+(F16*$K$5))/(1-$F$5)</f>
        <v>2421.0526315789475</v>
      </c>
      <c r="G18" s="63">
        <f>((G16-G17)+(G16*$K$5))/(1-$F$5)</f>
        <v>4315.7894736842109</v>
      </c>
      <c r="H18" s="63">
        <f>((H16-H17)+(H16*$K$5))/(1-$F$5)</f>
        <v>5368.4210526315792</v>
      </c>
    </row>
    <row r="19" spans="1:8">
      <c r="A19" s="55" t="s">
        <v>17</v>
      </c>
      <c r="B19" s="63">
        <f>B18*$F$5</f>
        <v>184.21052631578948</v>
      </c>
      <c r="C19" s="63">
        <f>C18*$F$5</f>
        <v>552.63157894736844</v>
      </c>
      <c r="D19" s="63">
        <f>D18*$F$5</f>
        <v>294.73684210526307</v>
      </c>
      <c r="E19" s="55" t="s">
        <v>17</v>
      </c>
      <c r="F19" s="63">
        <f>F18*$F$5</f>
        <v>121.05263157894738</v>
      </c>
      <c r="G19" s="63">
        <f>G18*$F$5</f>
        <v>215.78947368421055</v>
      </c>
      <c r="H19" s="63">
        <f>H18*$F$5</f>
        <v>268.42105263157896</v>
      </c>
    </row>
    <row r="20" spans="1:8">
      <c r="A20" s="55" t="s">
        <v>201</v>
      </c>
      <c r="B20" s="63">
        <f>B17+B18-B19</f>
        <v>5500.0000000000009</v>
      </c>
      <c r="C20" s="63">
        <f>C17+C18-C19</f>
        <v>11000.000000000002</v>
      </c>
      <c r="D20" s="63">
        <f>D17+D18-D19</f>
        <v>6600</v>
      </c>
      <c r="E20" s="55" t="s">
        <v>201</v>
      </c>
      <c r="F20" s="63">
        <f>F17+F18-F19</f>
        <v>3300</v>
      </c>
      <c r="G20" s="63">
        <f>G17+G18-G19</f>
        <v>4400</v>
      </c>
      <c r="H20" s="63">
        <f>H17+H18-H19</f>
        <v>5500</v>
      </c>
    </row>
    <row r="21" spans="1:8">
      <c r="A21" s="55" t="s">
        <v>202</v>
      </c>
      <c r="B21" s="55">
        <f>B16</f>
        <v>5000</v>
      </c>
      <c r="C21" s="55">
        <f>C16</f>
        <v>10000</v>
      </c>
      <c r="D21" s="55">
        <f>D16</f>
        <v>6000</v>
      </c>
      <c r="E21" s="55" t="s">
        <v>202</v>
      </c>
      <c r="F21" s="55">
        <f>F16</f>
        <v>3000</v>
      </c>
      <c r="G21" s="55">
        <f>G16</f>
        <v>4000</v>
      </c>
      <c r="H21" s="55">
        <f>H16</f>
        <v>5000</v>
      </c>
    </row>
    <row r="22" spans="1:8">
      <c r="A22" s="55" t="s">
        <v>203</v>
      </c>
      <c r="B22" s="63">
        <f>B20-B21</f>
        <v>500.00000000000091</v>
      </c>
      <c r="C22" s="63">
        <f>C20-C21</f>
        <v>1000.0000000000018</v>
      </c>
      <c r="D22" s="63">
        <f>D20-D21</f>
        <v>600</v>
      </c>
      <c r="E22" s="55" t="s">
        <v>203</v>
      </c>
      <c r="F22" s="63">
        <f>F20-F21</f>
        <v>300</v>
      </c>
      <c r="G22" s="63">
        <f>G20-G21</f>
        <v>400</v>
      </c>
      <c r="H22" s="63">
        <f>H20-H21</f>
        <v>500</v>
      </c>
    </row>
    <row r="24" spans="1:8">
      <c r="A24" s="83" t="s">
        <v>204</v>
      </c>
    </row>
    <row r="25" spans="1:8">
      <c r="A25" s="55" t="s">
        <v>205</v>
      </c>
      <c r="B25" s="57">
        <f>(B20/2)+(F20/2)</f>
        <v>4400</v>
      </c>
      <c r="C25" s="57">
        <f>(C20/2)+(G20/2)</f>
        <v>7700.0000000000009</v>
      </c>
      <c r="D25" s="57">
        <f>(D20/2)+(H20/2)</f>
        <v>6050</v>
      </c>
    </row>
    <row r="26" spans="1:8">
      <c r="A26" s="55" t="s">
        <v>206</v>
      </c>
      <c r="B26" s="59">
        <f>B27-(D7*B7)</f>
        <v>35.26315789473685</v>
      </c>
      <c r="C26" s="57">
        <v>0</v>
      </c>
      <c r="D26" s="57">
        <v>0</v>
      </c>
    </row>
    <row r="27" spans="1:8">
      <c r="A27" s="55" t="s">
        <v>25</v>
      </c>
      <c r="B27" s="59">
        <f>$C$38</f>
        <v>60.26315789473685</v>
      </c>
      <c r="C27" s="59">
        <f>$C$38</f>
        <v>60.26315789473685</v>
      </c>
      <c r="D27" s="59">
        <f>$C$38</f>
        <v>60.26315789473685</v>
      </c>
    </row>
    <row r="28" spans="1:8">
      <c r="A28" s="55" t="s">
        <v>207</v>
      </c>
      <c r="B28" s="59">
        <f>B27*$H$7</f>
        <v>12052.63157894737</v>
      </c>
      <c r="C28" s="59">
        <f>C27*$H$7</f>
        <v>12052.63157894737</v>
      </c>
      <c r="D28" s="59">
        <f>D27*$H$7</f>
        <v>12052.63157894737</v>
      </c>
    </row>
    <row r="29" spans="1:8">
      <c r="A29" s="55" t="s">
        <v>208</v>
      </c>
      <c r="B29" s="59">
        <f>B28*$J$3</f>
        <v>3615.7894736842109</v>
      </c>
      <c r="C29" s="59">
        <f>C28*$J$3</f>
        <v>3615.7894736842109</v>
      </c>
      <c r="D29" s="59">
        <f>D28*$J$3</f>
        <v>3615.7894736842109</v>
      </c>
    </row>
    <row r="30" spans="1:8">
      <c r="A30" s="55" t="s">
        <v>209</v>
      </c>
      <c r="B30" s="59">
        <f>B28+B29</f>
        <v>15668.42105263158</v>
      </c>
      <c r="C30" s="59">
        <f>C28+C29</f>
        <v>15668.42105263158</v>
      </c>
      <c r="D30" s="59">
        <f>D28+D29</f>
        <v>15668.42105263158</v>
      </c>
    </row>
    <row r="31" spans="1:8">
      <c r="A31" s="55" t="s">
        <v>210</v>
      </c>
      <c r="B31" s="59">
        <f>B18+F18</f>
        <v>6105.2631578947367</v>
      </c>
      <c r="C31" s="59">
        <f>C18+G18</f>
        <v>15368.42105263158</v>
      </c>
      <c r="D31" s="59">
        <f>D18+H18</f>
        <v>11263.15789473684</v>
      </c>
    </row>
    <row r="32" spans="1:8">
      <c r="A32" s="55" t="s">
        <v>211</v>
      </c>
      <c r="B32" s="59">
        <v>0</v>
      </c>
      <c r="C32" s="59">
        <f>(C31-C28)/H7</f>
        <v>16.578947368421051</v>
      </c>
      <c r="D32" s="59">
        <v>0</v>
      </c>
    </row>
    <row r="33" spans="1:10">
      <c r="A33" s="55" t="s">
        <v>212</v>
      </c>
      <c r="B33" s="57">
        <v>0</v>
      </c>
      <c r="C33" s="57">
        <v>0</v>
      </c>
      <c r="D33" s="57">
        <v>0</v>
      </c>
    </row>
    <row r="34" spans="1:10">
      <c r="A34" s="55" t="s">
        <v>213</v>
      </c>
      <c r="B34" s="84">
        <f>(B25*$H$5)+(B26*$G$3)+(B27*$H$3)+B33+(B32*$I$3)</f>
        <v>53157.894736842107</v>
      </c>
      <c r="C34" s="84">
        <f>(C25*$H$5)+(C26*$G$3)+(C27*$H$3)+C33+(C32*$I$3)</f>
        <v>72552.631578947374</v>
      </c>
      <c r="D34" s="84">
        <f>(D25*$H$5)+(D26*$G$3)+(D27*$H$3)+D33+(D32*$I$3)</f>
        <v>54355.26315789474</v>
      </c>
      <c r="E34" s="84">
        <f>SUM(B34:D34)</f>
        <v>180065.78947368421</v>
      </c>
    </row>
    <row r="36" spans="1:10">
      <c r="B36" s="57" t="s">
        <v>177</v>
      </c>
      <c r="C36" s="57" t="s">
        <v>178</v>
      </c>
    </row>
    <row r="37" spans="1:10">
      <c r="A37" s="55" t="s">
        <v>214</v>
      </c>
      <c r="B37" s="59">
        <f>(((B16+C16+D16)+(C16*$K$5)-B17)/3)/(1-$F$5)</f>
        <v>7017.5438596491231</v>
      </c>
      <c r="C37" s="59">
        <f>(((F16+G16+H16)+(H16*$K$5)-F17)/3)/(1-$F$5)</f>
        <v>4035.0877192982462</v>
      </c>
      <c r="D37" s="59">
        <f>B37+C37</f>
        <v>11052.63157894737</v>
      </c>
    </row>
    <row r="38" spans="1:10">
      <c r="A38" s="55" t="s">
        <v>215</v>
      </c>
      <c r="B38" s="85">
        <f>D37/H7</f>
        <v>55.26315789473685</v>
      </c>
      <c r="C38" s="59">
        <f>B38+5</f>
        <v>60.26315789473685</v>
      </c>
    </row>
    <row r="39" spans="1:10">
      <c r="A39" s="55" t="s">
        <v>216</v>
      </c>
      <c r="B39" s="59">
        <f>B38/D7</f>
        <v>11.05263157894737</v>
      </c>
      <c r="C39" s="59">
        <f>+B39+1</f>
        <v>12.05263157894737</v>
      </c>
      <c r="H39" s="57"/>
      <c r="I39" s="57" t="s">
        <v>177</v>
      </c>
      <c r="J39" s="57" t="s">
        <v>178</v>
      </c>
    </row>
    <row r="40" spans="1:10">
      <c r="H40" s="57" t="s">
        <v>193</v>
      </c>
      <c r="I40" s="57">
        <v>3</v>
      </c>
      <c r="J40" s="57">
        <v>1</v>
      </c>
    </row>
    <row r="41" spans="1:10">
      <c r="H41" s="57"/>
      <c r="I41" s="57"/>
      <c r="J41" s="57" t="s">
        <v>190</v>
      </c>
    </row>
    <row r="42" spans="1:10" ht="15">
      <c r="A42" s="83" t="s">
        <v>217</v>
      </c>
      <c r="B42" s="55">
        <v>0</v>
      </c>
      <c r="C42" s="55">
        <v>1</v>
      </c>
      <c r="D42" s="55">
        <v>2</v>
      </c>
      <c r="E42" s="55">
        <v>3</v>
      </c>
      <c r="G42" s="86" t="s">
        <v>218</v>
      </c>
      <c r="H42" s="57" t="s">
        <v>219</v>
      </c>
      <c r="I42" s="59">
        <f>(B18*$I$40)+(F18*$J$40)</f>
        <v>13473.684210526317</v>
      </c>
      <c r="J42" s="57"/>
    </row>
    <row r="43" spans="1:10" ht="15">
      <c r="A43" s="55" t="s">
        <v>220</v>
      </c>
      <c r="C43" s="55">
        <v>0</v>
      </c>
      <c r="D43" s="63">
        <f>C48</f>
        <v>1367.3157894736833</v>
      </c>
      <c r="E43" s="63">
        <f>D48</f>
        <v>3760.6315789473592</v>
      </c>
      <c r="H43" s="57" t="s">
        <v>221</v>
      </c>
      <c r="I43" s="59">
        <f>(((I42*(1+$K$5))-$C$43))/(1-$G$5)</f>
        <v>15279.435702658711</v>
      </c>
      <c r="J43" s="57">
        <v>15300</v>
      </c>
    </row>
    <row r="44" spans="1:10" ht="15">
      <c r="A44" s="55" t="s">
        <v>200</v>
      </c>
      <c r="C44" s="63">
        <f>B49</f>
        <v>15300</v>
      </c>
      <c r="D44" s="63">
        <f>C49</f>
        <v>41100</v>
      </c>
      <c r="E44" s="63">
        <f>D49</f>
        <v>22300</v>
      </c>
      <c r="H44" s="57" t="s">
        <v>222</v>
      </c>
      <c r="I44" s="59">
        <f>(C18*$I$40)+(G18*$J$40)</f>
        <v>37473.68421052632</v>
      </c>
      <c r="J44" s="57"/>
    </row>
    <row r="45" spans="1:10" ht="15">
      <c r="A45" s="55" t="s">
        <v>17</v>
      </c>
      <c r="C45" s="63">
        <f>C44*$G$5</f>
        <v>459</v>
      </c>
      <c r="D45" s="63">
        <f>D44*$G$5</f>
        <v>1233</v>
      </c>
      <c r="E45" s="63">
        <f>E44*$G$5</f>
        <v>669</v>
      </c>
      <c r="H45" s="57" t="s">
        <v>223</v>
      </c>
      <c r="I45" s="59">
        <f>(((I44*(1+$K$5))-$D$43))/(1-$G$5)</f>
        <v>41086.326641345637</v>
      </c>
      <c r="J45" s="57">
        <v>41100</v>
      </c>
    </row>
    <row r="46" spans="1:10" ht="15">
      <c r="A46" s="55" t="s">
        <v>201</v>
      </c>
      <c r="C46" s="63">
        <f>C43+C44-C45</f>
        <v>14841</v>
      </c>
      <c r="D46" s="63">
        <f>D43+D44-D45</f>
        <v>41234.31578947368</v>
      </c>
      <c r="E46" s="63">
        <f>E43+E44-E45</f>
        <v>25391.631578947359</v>
      </c>
      <c r="H46" s="57" t="s">
        <v>224</v>
      </c>
      <c r="I46" s="59">
        <f>(D18*$I$40)+(H18*$J$40)</f>
        <v>23052.631578947367</v>
      </c>
      <c r="J46" s="57"/>
    </row>
    <row r="47" spans="1:10" ht="15">
      <c r="A47" s="55" t="s">
        <v>225</v>
      </c>
      <c r="C47" s="63">
        <f>I42</f>
        <v>13473.684210526317</v>
      </c>
      <c r="D47" s="63">
        <f>I44</f>
        <v>37473.68421052632</v>
      </c>
      <c r="E47" s="63">
        <f>I46</f>
        <v>23052.631578947367</v>
      </c>
      <c r="H47" s="57" t="s">
        <v>226</v>
      </c>
      <c r="I47" s="59">
        <f>(((I46*(1+$K$5))-$E$43))/(1-$G$5)</f>
        <v>22265.219750406955</v>
      </c>
      <c r="J47" s="57">
        <v>22300</v>
      </c>
    </row>
    <row r="48" spans="1:10">
      <c r="A48" s="55" t="s">
        <v>227</v>
      </c>
      <c r="C48" s="63">
        <f>C46-C47</f>
        <v>1367.3157894736833</v>
      </c>
      <c r="D48" s="63">
        <f>D46-D47</f>
        <v>3760.6315789473592</v>
      </c>
      <c r="E48" s="63">
        <f>E46-E47</f>
        <v>2338.9999999999927</v>
      </c>
      <c r="H48" s="57"/>
      <c r="I48" s="57"/>
      <c r="J48" s="57"/>
    </row>
    <row r="49" spans="1:10">
      <c r="A49" s="55" t="s">
        <v>228</v>
      </c>
      <c r="B49" s="63">
        <f>J43</f>
        <v>15300</v>
      </c>
      <c r="C49" s="63">
        <f>J45</f>
        <v>41100</v>
      </c>
      <c r="D49" s="63">
        <f>J47</f>
        <v>22300</v>
      </c>
      <c r="E49" s="65" t="s">
        <v>43</v>
      </c>
      <c r="H49" s="57"/>
      <c r="I49" s="57" t="s">
        <v>193</v>
      </c>
      <c r="J49" s="57"/>
    </row>
    <row r="50" spans="1:10">
      <c r="H50" s="57" t="s">
        <v>195</v>
      </c>
      <c r="I50" s="57">
        <v>2</v>
      </c>
      <c r="J50" s="57"/>
    </row>
    <row r="51" spans="1:10" ht="15">
      <c r="A51" s="83" t="s">
        <v>229</v>
      </c>
      <c r="B51" s="55">
        <v>-1</v>
      </c>
      <c r="C51" s="55">
        <v>0</v>
      </c>
      <c r="D51" s="55">
        <v>1</v>
      </c>
      <c r="E51" s="55">
        <v>2</v>
      </c>
      <c r="F51" s="55">
        <v>3</v>
      </c>
      <c r="G51" s="86" t="s">
        <v>218</v>
      </c>
      <c r="H51" s="57" t="s">
        <v>230</v>
      </c>
      <c r="I51" s="59">
        <f>$I$50*C44</f>
        <v>30600</v>
      </c>
      <c r="J51" s="57"/>
    </row>
    <row r="52" spans="1:10" ht="15">
      <c r="A52" s="55" t="s">
        <v>220</v>
      </c>
      <c r="C52" s="55">
        <v>0</v>
      </c>
      <c r="D52" s="63">
        <f>C57</f>
        <v>3060</v>
      </c>
      <c r="E52" s="63">
        <f>D57</f>
        <v>8220.0000000000291</v>
      </c>
      <c r="F52" s="63">
        <f>E57</f>
        <v>4460.0000000000073</v>
      </c>
      <c r="H52" s="57" t="s">
        <v>231</v>
      </c>
      <c r="I52" s="59">
        <f>(((I51*(1+$K$5))-(($C$52*(1-$J$5))))/(1-$J$5))</f>
        <v>34701.030927835054</v>
      </c>
      <c r="J52" s="57"/>
    </row>
    <row r="53" spans="1:10" ht="15">
      <c r="A53" s="55" t="s">
        <v>232</v>
      </c>
      <c r="C53" s="63">
        <f>B58</f>
        <v>34701.030927835054</v>
      </c>
      <c r="D53" s="63">
        <f>C58</f>
        <v>90156.494845360852</v>
      </c>
      <c r="E53" s="63">
        <f>D58</f>
        <v>42357.319587628845</v>
      </c>
      <c r="H53" s="57" t="s">
        <v>219</v>
      </c>
      <c r="I53" s="59">
        <f>$I$50*D44</f>
        <v>82200</v>
      </c>
      <c r="J53" s="57"/>
    </row>
    <row r="54" spans="1:10" ht="15">
      <c r="A54" s="55" t="s">
        <v>103</v>
      </c>
      <c r="C54" s="63">
        <f>(C52+C53)*$J$5</f>
        <v>1041.0309278350517</v>
      </c>
      <c r="D54" s="63">
        <f>(D52+D53)*$J$5</f>
        <v>2796.4948453608254</v>
      </c>
      <c r="E54" s="63">
        <f>(E52+E53)*$J$5</f>
        <v>1517.3195876288662</v>
      </c>
      <c r="H54" s="57" t="s">
        <v>221</v>
      </c>
      <c r="I54" s="59">
        <f>(((I53*(1+$K$5))-(($D$52*(1-$J$5))))/(1-$J$5))</f>
        <v>90156.494845360852</v>
      </c>
      <c r="J54" s="57"/>
    </row>
    <row r="55" spans="1:10" ht="15">
      <c r="A55" s="55" t="s">
        <v>201</v>
      </c>
      <c r="C55" s="63">
        <f>C52+C53-C54</f>
        <v>33660</v>
      </c>
      <c r="D55" s="63">
        <f>D52+D53-D54</f>
        <v>90420.000000000029</v>
      </c>
      <c r="E55" s="63">
        <f>E52+E53-E54</f>
        <v>49060.000000000007</v>
      </c>
      <c r="H55" s="57" t="s">
        <v>222</v>
      </c>
      <c r="I55" s="59">
        <f>$I$50*E44</f>
        <v>44600</v>
      </c>
      <c r="J55" s="57"/>
    </row>
    <row r="56" spans="1:10" ht="15">
      <c r="A56" s="55" t="s">
        <v>225</v>
      </c>
      <c r="C56" s="63">
        <f>I51</f>
        <v>30600</v>
      </c>
      <c r="D56" s="63">
        <f>I53</f>
        <v>82200</v>
      </c>
      <c r="E56" s="63">
        <f>I55</f>
        <v>44600</v>
      </c>
      <c r="H56" s="57" t="s">
        <v>223</v>
      </c>
      <c r="I56" s="59">
        <f>(((I55*(1+$K$5))-(($E$52*(1-$J$5))))/(1-$J$5))</f>
        <v>42357.319587628845</v>
      </c>
      <c r="J56" s="57"/>
    </row>
    <row r="57" spans="1:10">
      <c r="A57" s="55" t="s">
        <v>227</v>
      </c>
      <c r="C57" s="63">
        <f>C55-C56</f>
        <v>3060</v>
      </c>
      <c r="D57" s="63">
        <f>D55-D56</f>
        <v>8220.0000000000291</v>
      </c>
      <c r="E57" s="63">
        <f>E55-E56</f>
        <v>4460.0000000000073</v>
      </c>
      <c r="H57" s="57"/>
      <c r="I57" s="57"/>
      <c r="J57" s="57"/>
    </row>
    <row r="58" spans="1:10">
      <c r="A58" s="55" t="s">
        <v>228</v>
      </c>
      <c r="B58" s="63">
        <f>I52</f>
        <v>34701.030927835054</v>
      </c>
      <c r="C58" s="63">
        <f>I54</f>
        <v>90156.494845360852</v>
      </c>
      <c r="D58" s="63">
        <f>I56</f>
        <v>42357.319587628845</v>
      </c>
      <c r="E58" s="65" t="s">
        <v>43</v>
      </c>
      <c r="H58" s="57"/>
      <c r="I58" s="57"/>
      <c r="J58" s="57"/>
    </row>
    <row r="59" spans="1:10">
      <c r="B59" s="63"/>
      <c r="C59" s="63"/>
      <c r="D59" s="63"/>
      <c r="E59" s="65"/>
      <c r="H59" s="57"/>
      <c r="I59" s="57"/>
      <c r="J59" s="57"/>
    </row>
    <row r="60" spans="1:10">
      <c r="H60" s="57"/>
      <c r="I60" s="57"/>
      <c r="J60" s="57"/>
    </row>
    <row r="61" spans="1:10">
      <c r="H61" s="57"/>
      <c r="I61" s="57"/>
      <c r="J61" s="57"/>
    </row>
    <row r="62" spans="1:10">
      <c r="H62" s="57"/>
      <c r="I62" s="57"/>
      <c r="J62" s="57"/>
    </row>
    <row r="63" spans="1:10">
      <c r="H63" s="57"/>
      <c r="I63" s="57"/>
      <c r="J63" s="57"/>
    </row>
    <row r="64" spans="1:10">
      <c r="H64" s="57"/>
      <c r="I64" s="57"/>
      <c r="J64" s="57"/>
    </row>
    <row r="65" spans="8:10">
      <c r="H65" s="57"/>
      <c r="I65" s="57"/>
      <c r="J65" s="57"/>
    </row>
    <row r="66" spans="8:10">
      <c r="H66" s="57"/>
      <c r="I66" s="57"/>
      <c r="J66" s="57"/>
    </row>
  </sheetData>
  <mergeCells count="1">
    <mergeCell ref="B1:D1"/>
  </mergeCells>
  <pageMargins left="0.75" right="0.75" top="1" bottom="1" header="0.5" footer="0.5"/>
  <pageSetup paperSize="0" orientation="portrait" horizontalDpi="4294967292" verticalDpi="429496729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D8E02-06B8-F645-9828-946B25742CAA}">
  <dimension ref="A1:X68"/>
  <sheetViews>
    <sheetView workbookViewId="0">
      <selection activeCell="J41" sqref="J41"/>
    </sheetView>
  </sheetViews>
  <sheetFormatPr baseColWidth="10" defaultRowHeight="16"/>
  <cols>
    <col min="8" max="8" width="15" customWidth="1"/>
    <col min="9" max="9" width="11.83203125" bestFit="1" customWidth="1"/>
    <col min="10" max="10" width="12.83203125" bestFit="1" customWidth="1"/>
    <col min="14" max="15" width="13.5" customWidth="1"/>
    <col min="18" max="18" width="12.1640625" customWidth="1"/>
    <col min="19" max="19" width="20.83203125" customWidth="1"/>
    <col min="20" max="20" width="12.83203125" bestFit="1" customWidth="1"/>
    <col min="24" max="24" width="12.83203125" customWidth="1"/>
  </cols>
  <sheetData>
    <row r="1" spans="1:24">
      <c r="A1" t="s">
        <v>233</v>
      </c>
      <c r="S1" t="s">
        <v>234</v>
      </c>
      <c r="T1">
        <v>3</v>
      </c>
      <c r="V1" s="47"/>
      <c r="W1" s="47" t="s">
        <v>235</v>
      </c>
      <c r="X1" s="47" t="s">
        <v>236</v>
      </c>
    </row>
    <row r="2" spans="1:24">
      <c r="A2" s="47" t="s">
        <v>237</v>
      </c>
      <c r="B2" s="47" t="s">
        <v>238</v>
      </c>
      <c r="C2" s="47" t="s">
        <v>239</v>
      </c>
      <c r="D2" s="47" t="s">
        <v>240</v>
      </c>
      <c r="E2" s="47" t="s">
        <v>238</v>
      </c>
      <c r="H2" s="87"/>
      <c r="I2" s="87" t="s">
        <v>241</v>
      </c>
      <c r="J2" s="88"/>
      <c r="K2" s="88"/>
      <c r="L2" s="87" t="s">
        <v>242</v>
      </c>
      <c r="M2" s="87"/>
      <c r="N2" s="87"/>
      <c r="S2" t="s">
        <v>243</v>
      </c>
      <c r="T2">
        <v>4.5</v>
      </c>
      <c r="V2" s="47" t="s">
        <v>244</v>
      </c>
      <c r="W2" s="47">
        <v>650</v>
      </c>
      <c r="X2" s="47">
        <v>500</v>
      </c>
    </row>
    <row r="3" spans="1:24">
      <c r="A3" s="47" t="s">
        <v>144</v>
      </c>
      <c r="B3" s="47">
        <v>2</v>
      </c>
      <c r="C3" s="89">
        <v>0.95</v>
      </c>
      <c r="D3" s="90">
        <f>D4*C3</f>
        <v>0.85499999999999998</v>
      </c>
      <c r="E3" s="90">
        <f>B3/D3</f>
        <v>2.3391812865497075</v>
      </c>
      <c r="H3" s="91"/>
      <c r="I3" s="47">
        <v>1</v>
      </c>
      <c r="J3" s="48">
        <v>2</v>
      </c>
      <c r="K3" s="47">
        <v>3</v>
      </c>
      <c r="L3" s="47">
        <v>1</v>
      </c>
      <c r="M3" s="47">
        <v>2</v>
      </c>
      <c r="N3" s="47">
        <v>3</v>
      </c>
      <c r="S3" t="s">
        <v>206</v>
      </c>
      <c r="T3">
        <v>300</v>
      </c>
      <c r="V3" s="47" t="s">
        <v>245</v>
      </c>
      <c r="W3" s="47">
        <v>450</v>
      </c>
      <c r="X3" s="47">
        <v>300</v>
      </c>
    </row>
    <row r="4" spans="1:24">
      <c r="A4" s="47" t="s">
        <v>246</v>
      </c>
      <c r="B4" s="47">
        <v>5</v>
      </c>
      <c r="C4" s="89">
        <v>0.9</v>
      </c>
      <c r="D4" s="90">
        <f>C4</f>
        <v>0.9</v>
      </c>
      <c r="E4" s="90">
        <f>B4/D4</f>
        <v>5.5555555555555554</v>
      </c>
      <c r="H4" s="91" t="s">
        <v>11</v>
      </c>
      <c r="I4">
        <v>1500</v>
      </c>
      <c r="J4">
        <v>2500</v>
      </c>
      <c r="K4">
        <v>3800</v>
      </c>
      <c r="L4">
        <v>3500</v>
      </c>
      <c r="M4">
        <v>1500</v>
      </c>
      <c r="N4">
        <v>4200</v>
      </c>
      <c r="O4">
        <f>SUM(I4:K4)</f>
        <v>7800</v>
      </c>
      <c r="P4">
        <f>SUM(L4:N4)</f>
        <v>9200</v>
      </c>
      <c r="S4" t="s">
        <v>247</v>
      </c>
      <c r="T4">
        <v>2</v>
      </c>
    </row>
    <row r="5" spans="1:24">
      <c r="A5" s="47"/>
      <c r="B5" s="47"/>
      <c r="C5" s="89"/>
      <c r="D5" s="90"/>
      <c r="E5" s="90"/>
      <c r="H5" s="92" t="s">
        <v>101</v>
      </c>
      <c r="I5">
        <v>400</v>
      </c>
      <c r="J5" s="70">
        <f>I10</f>
        <v>300</v>
      </c>
      <c r="K5" s="70">
        <f>J10</f>
        <v>500</v>
      </c>
      <c r="L5">
        <v>350</v>
      </c>
      <c r="M5" s="70">
        <f>L10</f>
        <v>700</v>
      </c>
      <c r="N5" s="70">
        <f>M10</f>
        <v>300</v>
      </c>
      <c r="S5" t="s">
        <v>248</v>
      </c>
      <c r="T5">
        <v>10500</v>
      </c>
    </row>
    <row r="6" spans="1:24">
      <c r="A6" s="47" t="s">
        <v>249</v>
      </c>
      <c r="B6" s="47"/>
      <c r="C6" s="89"/>
      <c r="D6" s="47"/>
      <c r="E6" s="47"/>
      <c r="H6" s="91" t="s">
        <v>250</v>
      </c>
      <c r="I6" s="70">
        <f>((I4*1.2)-I5)/$D$3</f>
        <v>1637.4269005847952</v>
      </c>
      <c r="J6" s="70">
        <f t="shared" ref="J6:N6" si="0">((J4*1.2)-J5)/$D$3</f>
        <v>3157.8947368421054</v>
      </c>
      <c r="K6" s="70">
        <f t="shared" si="0"/>
        <v>4748.5380116959068</v>
      </c>
      <c r="L6" s="70">
        <f t="shared" si="0"/>
        <v>4502.9239766081873</v>
      </c>
      <c r="M6" s="70">
        <f t="shared" si="0"/>
        <v>1286.5497076023391</v>
      </c>
      <c r="N6" s="70">
        <f t="shared" si="0"/>
        <v>5543.8596491228072</v>
      </c>
      <c r="P6" s="70"/>
      <c r="Q6" s="70"/>
      <c r="R6" s="70"/>
    </row>
    <row r="7" spans="1:24">
      <c r="A7" s="47" t="s">
        <v>237</v>
      </c>
      <c r="B7" s="47" t="s">
        <v>238</v>
      </c>
      <c r="C7" s="89" t="s">
        <v>239</v>
      </c>
      <c r="D7" s="47" t="s">
        <v>240</v>
      </c>
      <c r="E7" s="47" t="s">
        <v>238</v>
      </c>
      <c r="H7" s="91" t="s">
        <v>251</v>
      </c>
      <c r="I7" s="70">
        <f>I6*(1-$D$3)</f>
        <v>237.42690058479533</v>
      </c>
      <c r="J7" s="70">
        <f t="shared" ref="J7:N7" si="1">J6*(1-$D$3)</f>
        <v>457.89473684210532</v>
      </c>
      <c r="K7" s="70">
        <f t="shared" si="1"/>
        <v>688.53801169590656</v>
      </c>
      <c r="L7" s="70">
        <f t="shared" si="1"/>
        <v>652.92397660818722</v>
      </c>
      <c r="M7" s="70">
        <f t="shared" si="1"/>
        <v>186.5497076023392</v>
      </c>
      <c r="N7" s="70">
        <f t="shared" si="1"/>
        <v>803.85964912280713</v>
      </c>
      <c r="Q7" s="70"/>
    </row>
    <row r="8" spans="1:24">
      <c r="A8" s="47" t="s">
        <v>144</v>
      </c>
      <c r="B8" s="47">
        <v>3</v>
      </c>
      <c r="C8" s="89">
        <v>0.95</v>
      </c>
      <c r="D8" s="90">
        <f>D9*C8</f>
        <v>0.85499999999999998</v>
      </c>
      <c r="E8" s="90">
        <f>B8/D8</f>
        <v>3.5087719298245617</v>
      </c>
      <c r="H8" s="91" t="s">
        <v>18</v>
      </c>
      <c r="I8" s="70">
        <f>I5+I6-I7</f>
        <v>1800</v>
      </c>
      <c r="J8" s="70">
        <f>J5+J6-J7</f>
        <v>3000</v>
      </c>
      <c r="K8" s="70">
        <f t="shared" ref="K8:N8" si="2">K5+K6-K7</f>
        <v>4560</v>
      </c>
      <c r="L8" s="70">
        <f t="shared" si="2"/>
        <v>4200</v>
      </c>
      <c r="M8" s="70">
        <f t="shared" si="2"/>
        <v>1800</v>
      </c>
      <c r="N8" s="70">
        <f t="shared" si="2"/>
        <v>5040</v>
      </c>
      <c r="O8" s="93">
        <f>((I8/2)+(J8/2)+(K8/2)+(L8/2)+(M8/2)+(N8/2))*$T$4</f>
        <v>20400</v>
      </c>
      <c r="S8" t="s">
        <v>252</v>
      </c>
      <c r="T8" s="94">
        <f>(W2*$O$4)+(W3*$P$4)</f>
        <v>9210000</v>
      </c>
      <c r="V8" s="429" t="s">
        <v>253</v>
      </c>
      <c r="W8" s="429"/>
      <c r="X8" s="94">
        <v>300000</v>
      </c>
    </row>
    <row r="9" spans="1:24">
      <c r="A9" s="47" t="s">
        <v>246</v>
      </c>
      <c r="B9" s="47">
        <v>3</v>
      </c>
      <c r="C9" s="89">
        <v>0.9</v>
      </c>
      <c r="D9" s="90">
        <f>C9</f>
        <v>0.9</v>
      </c>
      <c r="E9" s="90">
        <f>B9/D9</f>
        <v>3.333333333333333</v>
      </c>
      <c r="H9" s="91" t="s">
        <v>19</v>
      </c>
      <c r="I9">
        <f t="shared" ref="I9:N9" si="3">I4</f>
        <v>1500</v>
      </c>
      <c r="J9">
        <f t="shared" si="3"/>
        <v>2500</v>
      </c>
      <c r="K9">
        <f t="shared" si="3"/>
        <v>3800</v>
      </c>
      <c r="L9">
        <f t="shared" si="3"/>
        <v>3500</v>
      </c>
      <c r="M9">
        <f t="shared" si="3"/>
        <v>1500</v>
      </c>
      <c r="N9">
        <f t="shared" si="3"/>
        <v>4200</v>
      </c>
      <c r="S9" t="s">
        <v>236</v>
      </c>
      <c r="T9" s="94">
        <f>(X2*$O$4)+(X3*$P$4)</f>
        <v>6660000</v>
      </c>
      <c r="V9" s="429" t="s">
        <v>254</v>
      </c>
      <c r="W9" s="429"/>
      <c r="X9">
        <f>K55</f>
        <v>14</v>
      </c>
    </row>
    <row r="10" spans="1:24">
      <c r="C10" s="95"/>
      <c r="H10" s="91" t="s">
        <v>255</v>
      </c>
      <c r="I10" s="70">
        <f t="shared" ref="I10:N10" si="4">I8-I9</f>
        <v>300</v>
      </c>
      <c r="J10" s="70">
        <f t="shared" si="4"/>
        <v>500</v>
      </c>
      <c r="K10" s="70">
        <f t="shared" si="4"/>
        <v>760</v>
      </c>
      <c r="L10" s="70">
        <f t="shared" si="4"/>
        <v>700</v>
      </c>
      <c r="M10" s="70">
        <f t="shared" si="4"/>
        <v>300</v>
      </c>
      <c r="N10" s="70">
        <f t="shared" si="4"/>
        <v>840</v>
      </c>
      <c r="S10" t="s">
        <v>256</v>
      </c>
      <c r="T10" s="94">
        <f>T8-T9</f>
        <v>2550000</v>
      </c>
      <c r="V10" s="91" t="s">
        <v>257</v>
      </c>
      <c r="W10" s="91"/>
      <c r="X10" s="94">
        <f>X8*X9</f>
        <v>4200000</v>
      </c>
    </row>
    <row r="11" spans="1:24">
      <c r="A11" s="47" t="s">
        <v>258</v>
      </c>
      <c r="B11" s="47"/>
      <c r="C11" s="89"/>
      <c r="D11" s="47"/>
      <c r="E11" s="47"/>
      <c r="H11" s="96" t="s">
        <v>250</v>
      </c>
      <c r="I11" s="97"/>
      <c r="J11" s="98"/>
      <c r="K11" s="98"/>
      <c r="L11" s="99"/>
      <c r="M11" s="100"/>
      <c r="N11" s="100"/>
      <c r="S11" t="s">
        <v>248</v>
      </c>
      <c r="T11" s="94">
        <v>1500000</v>
      </c>
    </row>
    <row r="12" spans="1:24">
      <c r="A12" s="47" t="s">
        <v>237</v>
      </c>
      <c r="B12" s="47" t="s">
        <v>238</v>
      </c>
      <c r="C12" s="89" t="s">
        <v>239</v>
      </c>
      <c r="D12" s="47" t="s">
        <v>240</v>
      </c>
      <c r="E12" s="47" t="s">
        <v>238</v>
      </c>
      <c r="S12" t="s">
        <v>259</v>
      </c>
      <c r="T12" s="94">
        <f>O8+R18+N33</f>
        <v>416301.15590812778</v>
      </c>
    </row>
    <row r="13" spans="1:24">
      <c r="A13" s="47" t="s">
        <v>110</v>
      </c>
      <c r="B13" s="47">
        <v>2</v>
      </c>
      <c r="C13" s="89">
        <v>0.92</v>
      </c>
      <c r="D13" s="90">
        <f>D14*C13</f>
        <v>0.874</v>
      </c>
      <c r="E13" s="90">
        <f>B13/D13</f>
        <v>2.2883295194508011</v>
      </c>
      <c r="H13" s="69"/>
      <c r="I13" s="101" t="s">
        <v>260</v>
      </c>
      <c r="J13" s="101"/>
      <c r="K13" s="101"/>
      <c r="L13" s="101"/>
      <c r="M13" s="102" t="s">
        <v>261</v>
      </c>
      <c r="N13" s="103"/>
      <c r="O13" s="103"/>
      <c r="P13" s="103"/>
      <c r="Q13" s="103"/>
      <c r="S13" t="s">
        <v>262</v>
      </c>
      <c r="T13" s="94">
        <f>((L55*T1*415)*3)+K68</f>
        <v>78523.965822873026</v>
      </c>
    </row>
    <row r="14" spans="1:24">
      <c r="A14" s="47" t="s">
        <v>143</v>
      </c>
      <c r="B14" s="47">
        <v>5</v>
      </c>
      <c r="C14" s="89">
        <v>0.95</v>
      </c>
      <c r="D14" s="90">
        <f>C14</f>
        <v>0.95</v>
      </c>
      <c r="E14" s="90">
        <f>B14/D14</f>
        <v>5.2631578947368425</v>
      </c>
      <c r="I14" s="47">
        <v>0</v>
      </c>
      <c r="J14" s="47">
        <v>1</v>
      </c>
      <c r="K14" s="47">
        <v>2</v>
      </c>
      <c r="L14" s="47">
        <v>3</v>
      </c>
      <c r="M14" s="47">
        <v>-1</v>
      </c>
      <c r="N14" s="47">
        <v>0</v>
      </c>
      <c r="O14" s="47">
        <v>1</v>
      </c>
      <c r="P14" s="47">
        <v>2</v>
      </c>
      <c r="Q14" s="47">
        <v>3</v>
      </c>
      <c r="S14" t="s">
        <v>263</v>
      </c>
      <c r="T14" s="94">
        <f>((X10/5)/12)*3</f>
        <v>210000</v>
      </c>
    </row>
    <row r="15" spans="1:24">
      <c r="A15" s="47"/>
      <c r="B15" s="47"/>
      <c r="C15" s="89"/>
      <c r="D15" s="90"/>
      <c r="E15" s="90"/>
      <c r="H15" t="s">
        <v>101</v>
      </c>
      <c r="I15" s="71"/>
      <c r="J15">
        <v>600</v>
      </c>
      <c r="K15" s="104">
        <f>J20</f>
        <v>3029.2397660818697</v>
      </c>
      <c r="L15" s="104">
        <f>K20</f>
        <v>1403.5087719298244</v>
      </c>
      <c r="M15" s="104"/>
      <c r="N15" s="71"/>
      <c r="O15" s="71">
        <v>300</v>
      </c>
      <c r="P15" s="104">
        <f>O20</f>
        <v>2210.5263157894733</v>
      </c>
      <c r="Q15" s="104">
        <f>P20</f>
        <v>2783.625730994152</v>
      </c>
      <c r="S15" t="s">
        <v>264</v>
      </c>
      <c r="T15" s="94">
        <f>T10-T11-T12-T13-T14</f>
        <v>345174.87826899916</v>
      </c>
    </row>
    <row r="16" spans="1:24">
      <c r="A16" s="47" t="s">
        <v>265</v>
      </c>
      <c r="B16" s="47"/>
      <c r="C16" s="89"/>
      <c r="D16" s="47"/>
      <c r="E16" s="47"/>
      <c r="H16" t="s">
        <v>266</v>
      </c>
      <c r="I16" s="71"/>
      <c r="J16" s="70">
        <f>I21</f>
        <v>20109.197478822913</v>
      </c>
      <c r="K16" s="70">
        <f t="shared" ref="K16:L16" si="5">J21</f>
        <v>6169.1222717357859</v>
      </c>
      <c r="L16" s="70">
        <f t="shared" si="5"/>
        <v>27749.006383234973</v>
      </c>
      <c r="M16" s="104"/>
      <c r="N16" s="71"/>
      <c r="O16" s="104">
        <f>M21</f>
        <v>15655.987795575895</v>
      </c>
      <c r="P16" s="104">
        <f t="shared" ref="P16:Q16" si="6">N21</f>
        <v>17501.483176540383</v>
      </c>
      <c r="Q16" s="104">
        <f t="shared" si="6"/>
        <v>32200.468966296576</v>
      </c>
    </row>
    <row r="17" spans="1:20">
      <c r="A17" s="47" t="s">
        <v>237</v>
      </c>
      <c r="B17" s="47" t="s">
        <v>238</v>
      </c>
      <c r="C17" s="89" t="s">
        <v>239</v>
      </c>
      <c r="D17" s="47" t="s">
        <v>240</v>
      </c>
      <c r="E17" s="47" t="s">
        <v>238</v>
      </c>
      <c r="H17" t="s">
        <v>52</v>
      </c>
      <c r="I17" s="71"/>
      <c r="J17" s="70">
        <f>J16*(1-$D$13)</f>
        <v>2533.7588823316869</v>
      </c>
      <c r="K17" s="70">
        <f t="shared" ref="K17:L17" si="7">K16*(1-$D$13)</f>
        <v>777.30940623870902</v>
      </c>
      <c r="L17" s="70">
        <f t="shared" si="7"/>
        <v>3496.3748042876068</v>
      </c>
      <c r="M17" s="104"/>
      <c r="N17" s="71"/>
      <c r="O17" s="104">
        <f>O16*(1-$D$18)</f>
        <v>2692.8299008390527</v>
      </c>
      <c r="P17" s="104">
        <f t="shared" ref="P17:Q17" si="8">P16*(1-$D$18)</f>
        <v>3010.2551063649448</v>
      </c>
      <c r="Q17" s="104">
        <f t="shared" si="8"/>
        <v>5538.4806622030092</v>
      </c>
      <c r="S17" t="s">
        <v>267</v>
      </c>
      <c r="T17" s="94">
        <f>T15+T14</f>
        <v>555174.87826899916</v>
      </c>
    </row>
    <row r="18" spans="1:20">
      <c r="A18" s="47" t="s">
        <v>110</v>
      </c>
      <c r="B18" s="47">
        <v>5</v>
      </c>
      <c r="C18" s="89">
        <v>0.92</v>
      </c>
      <c r="D18" s="90">
        <f>D19*C18</f>
        <v>0.82800000000000007</v>
      </c>
      <c r="E18" s="90">
        <f>B18/D18</f>
        <v>6.0386473429951684</v>
      </c>
      <c r="H18" t="s">
        <v>18</v>
      </c>
      <c r="I18" s="71"/>
      <c r="J18" s="70">
        <f>J15+J16-J17</f>
        <v>18175.438596491225</v>
      </c>
      <c r="K18" s="70">
        <f t="shared" ref="K18:L18" si="9">K15+K16-K17</f>
        <v>8421.0526315789466</v>
      </c>
      <c r="L18" s="70">
        <f t="shared" si="9"/>
        <v>25656.140350877191</v>
      </c>
      <c r="M18" s="104"/>
      <c r="N18" s="71"/>
      <c r="O18" s="104">
        <f>O15+O16-O17</f>
        <v>13263.157894736842</v>
      </c>
      <c r="P18" s="104">
        <f t="shared" ref="P18:Q18" si="10">P15+P16-P17</f>
        <v>16701.754385964912</v>
      </c>
      <c r="Q18" s="104">
        <f t="shared" si="10"/>
        <v>29445.614035087718</v>
      </c>
      <c r="R18" s="93">
        <f>((J18/2)+(K18/2)+(L18/2)+(O18/2)+(P18/2)+(Q18/2))*$T$4</f>
        <v>111663.15789473683</v>
      </c>
      <c r="S18" t="s">
        <v>268</v>
      </c>
      <c r="T18" s="89">
        <f>(X10/(T17*4))</f>
        <v>1.8912959521400443</v>
      </c>
    </row>
    <row r="19" spans="1:20">
      <c r="A19" s="47" t="s">
        <v>111</v>
      </c>
      <c r="B19" s="47">
        <v>5</v>
      </c>
      <c r="C19" s="89">
        <v>0.9</v>
      </c>
      <c r="D19" s="90">
        <f>C19</f>
        <v>0.9</v>
      </c>
      <c r="E19" s="90">
        <f>B19/D19</f>
        <v>5.5555555555555554</v>
      </c>
      <c r="H19" t="s">
        <v>124</v>
      </c>
      <c r="I19" s="71"/>
      <c r="J19" s="70">
        <f>I24</f>
        <v>15146.198830409356</v>
      </c>
      <c r="K19" s="70">
        <f t="shared" ref="K19:L19" si="11">J24</f>
        <v>7017.5438596491222</v>
      </c>
      <c r="L19" s="70">
        <f t="shared" si="11"/>
        <v>21380.116959064326</v>
      </c>
      <c r="M19" s="71"/>
      <c r="N19" s="71"/>
      <c r="O19" s="104">
        <f>N24</f>
        <v>11052.631578947368</v>
      </c>
      <c r="P19" s="104">
        <f t="shared" ref="P19:Q19" si="12">O24</f>
        <v>13918.12865497076</v>
      </c>
      <c r="Q19" s="104">
        <f t="shared" si="12"/>
        <v>24538.011695906433</v>
      </c>
    </row>
    <row r="20" spans="1:20">
      <c r="A20" s="47"/>
      <c r="B20" s="47"/>
      <c r="C20" s="89"/>
      <c r="D20" s="90"/>
      <c r="E20" s="90"/>
      <c r="H20" t="s">
        <v>104</v>
      </c>
      <c r="I20" s="71"/>
      <c r="J20" s="70">
        <f>J18-J19</f>
        <v>3029.2397660818697</v>
      </c>
      <c r="K20" s="70">
        <f t="shared" ref="K20:L20" si="13">K18-K19</f>
        <v>1403.5087719298244</v>
      </c>
      <c r="L20" s="70">
        <f t="shared" si="13"/>
        <v>4276.0233918128652</v>
      </c>
      <c r="M20" s="104"/>
      <c r="N20" s="71"/>
      <c r="O20" s="104">
        <f>O18-O19</f>
        <v>2210.5263157894733</v>
      </c>
      <c r="P20" s="104">
        <f t="shared" ref="P20:Q20" si="14">P18-P19</f>
        <v>2783.625730994152</v>
      </c>
      <c r="Q20" s="104">
        <f t="shared" si="14"/>
        <v>4907.6023391812851</v>
      </c>
    </row>
    <row r="21" spans="1:20">
      <c r="A21" s="47" t="s">
        <v>269</v>
      </c>
      <c r="B21" s="47" t="s">
        <v>270</v>
      </c>
      <c r="C21" s="89" t="s">
        <v>271</v>
      </c>
      <c r="D21" s="90" t="s">
        <v>272</v>
      </c>
      <c r="E21" s="90" t="s">
        <v>273</v>
      </c>
      <c r="F21" s="47" t="s">
        <v>274</v>
      </c>
      <c r="H21" t="s">
        <v>105</v>
      </c>
      <c r="I21" s="104">
        <f>I25</f>
        <v>20109.197478822913</v>
      </c>
      <c r="J21" s="104">
        <f t="shared" ref="J21:K21" si="15">J25</f>
        <v>6169.1222717357859</v>
      </c>
      <c r="K21" s="104">
        <f t="shared" si="15"/>
        <v>27749.006383234973</v>
      </c>
      <c r="L21" s="105"/>
      <c r="M21" s="104">
        <f>N25</f>
        <v>15655.987795575895</v>
      </c>
      <c r="N21" s="104">
        <f t="shared" ref="N21:O21" si="16">O25</f>
        <v>17501.483176540383</v>
      </c>
      <c r="O21" s="104">
        <f t="shared" si="16"/>
        <v>32200.468966296576</v>
      </c>
      <c r="P21" s="104"/>
      <c r="Q21" s="104"/>
    </row>
    <row r="22" spans="1:20">
      <c r="A22" s="47" t="s">
        <v>244</v>
      </c>
      <c r="B22" s="48">
        <f>((I6-I7)+(J6-J7)+(K6-K7))/3</f>
        <v>2720</v>
      </c>
      <c r="C22" s="89">
        <f>415*60*0.95*0.95*0.9</f>
        <v>20225.025000000001</v>
      </c>
      <c r="D22" s="90">
        <f>C22*0.2</f>
        <v>4045.0050000000006</v>
      </c>
      <c r="E22" s="106">
        <f>C22+D22</f>
        <v>24270.030000000002</v>
      </c>
      <c r="F22" s="90">
        <f>C22/B22</f>
        <v>7.4356709558823537</v>
      </c>
      <c r="N22" s="47"/>
      <c r="O22" s="47"/>
      <c r="P22" s="47"/>
      <c r="Q22" s="48"/>
    </row>
    <row r="23" spans="1:20">
      <c r="A23" s="47" t="s">
        <v>245</v>
      </c>
      <c r="B23" s="48">
        <f>((L6-L7)+(M6-M7)+(N6-N7))/3</f>
        <v>3230</v>
      </c>
      <c r="C23" s="89">
        <f t="shared" ref="C23" si="17">415*60*0.95*0.95*0.9</f>
        <v>20225.025000000001</v>
      </c>
      <c r="D23" s="90">
        <f t="shared" ref="D23" si="18">C23*0.2</f>
        <v>4045.0050000000006</v>
      </c>
      <c r="E23" s="106">
        <f t="shared" ref="E23" si="19">C23+D23</f>
        <v>24270.030000000002</v>
      </c>
      <c r="F23" s="90">
        <f>C23/B23</f>
        <v>6.2616176470588236</v>
      </c>
      <c r="H23" s="47"/>
      <c r="I23" s="47" t="s">
        <v>108</v>
      </c>
      <c r="J23" s="47" t="s">
        <v>132</v>
      </c>
      <c r="K23" s="47" t="s">
        <v>135</v>
      </c>
      <c r="N23" s="47" t="s">
        <v>139</v>
      </c>
      <c r="O23" s="47" t="s">
        <v>108</v>
      </c>
      <c r="P23" s="47" t="s">
        <v>132</v>
      </c>
      <c r="Q23" s="48"/>
    </row>
    <row r="24" spans="1:20">
      <c r="A24" s="47"/>
      <c r="B24" s="48"/>
      <c r="C24" s="89"/>
      <c r="D24" s="90"/>
      <c r="E24" s="106"/>
      <c r="F24" s="90"/>
      <c r="H24" s="47" t="s">
        <v>275</v>
      </c>
      <c r="I24" s="48">
        <f>(1*I6)+(3*L6)</f>
        <v>15146.198830409356</v>
      </c>
      <c r="J24" s="48">
        <f>(1*J6)+(3*M6)</f>
        <v>7017.5438596491222</v>
      </c>
      <c r="K24" s="48">
        <f>(1*K6)+(3*N6)</f>
        <v>21380.116959064326</v>
      </c>
      <c r="M24" s="47" t="s">
        <v>276</v>
      </c>
      <c r="N24" s="48">
        <f>(4*I6)+(1*L6)</f>
        <v>11052.631578947368</v>
      </c>
      <c r="O24" s="48">
        <f t="shared" ref="O24:P24" si="20">(4*J6)+(1*M6)</f>
        <v>13918.12865497076</v>
      </c>
      <c r="P24" s="48">
        <f t="shared" si="20"/>
        <v>24538.011695906433</v>
      </c>
      <c r="Q24" s="47"/>
    </row>
    <row r="25" spans="1:20">
      <c r="A25" s="47"/>
      <c r="C25" s="89"/>
      <c r="D25" s="90"/>
      <c r="E25" s="106"/>
      <c r="F25" s="90"/>
      <c r="H25" s="47" t="s">
        <v>107</v>
      </c>
      <c r="I25" s="48">
        <f>((I24*1.2)-J15)/$D$13</f>
        <v>20109.197478822913</v>
      </c>
      <c r="J25" s="48">
        <f>((J24*1.2)-K15)/$D$13</f>
        <v>6169.1222717357859</v>
      </c>
      <c r="K25" s="48">
        <f>((K24*1.2)-L15)/$D$13</f>
        <v>27749.006383234973</v>
      </c>
      <c r="M25" s="47" t="s">
        <v>107</v>
      </c>
      <c r="N25" s="48">
        <f>((N24*1.2)-O15)/$D$18</f>
        <v>15655.987795575895</v>
      </c>
      <c r="O25" s="48">
        <f t="shared" ref="O25:P25" si="21">((O24*1.2)-P15)/$D$18</f>
        <v>17501.483176540383</v>
      </c>
      <c r="P25" s="48">
        <f t="shared" si="21"/>
        <v>32200.468966296576</v>
      </c>
      <c r="Q25" s="47"/>
    </row>
    <row r="26" spans="1:20">
      <c r="A26" s="47"/>
      <c r="C26" s="89"/>
      <c r="D26" s="90"/>
      <c r="E26" s="106"/>
      <c r="F26" s="90"/>
      <c r="H26" s="47"/>
      <c r="Q26" s="47"/>
    </row>
    <row r="27" spans="1:20">
      <c r="H27" s="69"/>
      <c r="I27" s="101" t="s">
        <v>277</v>
      </c>
      <c r="J27" s="69"/>
      <c r="K27" s="69"/>
      <c r="L27" s="69"/>
      <c r="M27" s="103"/>
      <c r="N27" s="103"/>
      <c r="O27" s="103"/>
      <c r="P27" s="103"/>
      <c r="Q27" s="103"/>
    </row>
    <row r="28" spans="1:20">
      <c r="A28" s="91" t="s">
        <v>278</v>
      </c>
      <c r="I28" s="47">
        <v>-2</v>
      </c>
      <c r="J28" s="47">
        <v>-1</v>
      </c>
      <c r="K28" s="47">
        <v>0</v>
      </c>
      <c r="L28" s="47">
        <v>1</v>
      </c>
      <c r="M28" s="47">
        <v>2</v>
      </c>
      <c r="O28" s="70"/>
      <c r="P28" s="70"/>
      <c r="Q28" s="70"/>
    </row>
    <row r="29" spans="1:20">
      <c r="A29" s="47" t="s">
        <v>279</v>
      </c>
      <c r="B29" s="47" t="s">
        <v>244</v>
      </c>
      <c r="C29" s="47" t="s">
        <v>245</v>
      </c>
      <c r="H29" t="s">
        <v>101</v>
      </c>
      <c r="I29" s="71"/>
      <c r="J29" s="71">
        <v>1400</v>
      </c>
      <c r="K29" s="104">
        <f>1000+J35</f>
        <v>26091.403678277813</v>
      </c>
      <c r="L29" s="104">
        <f>1000+K35</f>
        <v>44752.493140096602</v>
      </c>
    </row>
    <row r="30" spans="1:20">
      <c r="A30" s="47" t="s">
        <v>110</v>
      </c>
      <c r="B30" s="89">
        <f>(F59*E13)+(G59*E18)</f>
        <v>26.442918891431475</v>
      </c>
      <c r="C30" s="89">
        <f>(F60*E13)+(G60*E18)</f>
        <v>12.90363590134757</v>
      </c>
      <c r="H30" t="s">
        <v>266</v>
      </c>
      <c r="I30" s="71"/>
      <c r="J30" s="70">
        <f>I36*$G$40</f>
        <v>72129.966392862756</v>
      </c>
      <c r="K30" s="70">
        <f t="shared" ref="K30" si="22">J36*$G$40</f>
        <v>72129.966392862756</v>
      </c>
      <c r="L30" s="70">
        <f>K30</f>
        <v>72129.966392862756</v>
      </c>
      <c r="M30" s="104"/>
    </row>
    <row r="31" spans="1:20">
      <c r="A31" s="47" t="s">
        <v>111</v>
      </c>
      <c r="B31" s="89">
        <f>G59*E19</f>
        <v>22.222222222222221</v>
      </c>
      <c r="C31" s="89">
        <f>G60*E19</f>
        <v>5.5555555555555554</v>
      </c>
      <c r="H31" t="s">
        <v>280</v>
      </c>
      <c r="I31" s="71"/>
      <c r="J31">
        <v>0</v>
      </c>
      <c r="K31" s="104">
        <v>0</v>
      </c>
      <c r="L31" s="104">
        <f>(J41*G40)-L30</f>
        <v>1404.9774860892794</v>
      </c>
      <c r="M31" s="71"/>
    </row>
    <row r="32" spans="1:20">
      <c r="A32" s="47" t="s">
        <v>143</v>
      </c>
      <c r="B32" s="89">
        <f>F59*E14</f>
        <v>5.2631578947368425</v>
      </c>
      <c r="C32" s="89">
        <f>F60*E14</f>
        <v>15.789473684210527</v>
      </c>
      <c r="H32" t="s">
        <v>137</v>
      </c>
      <c r="I32" s="71"/>
      <c r="J32" s="70">
        <f>(J30+J31+J29)*(1-$G$39)</f>
        <v>1470.5993278572564</v>
      </c>
      <c r="K32" s="70">
        <f t="shared" ref="K32:L32" si="23">(K30+K31+K29)*(1-$G$39)</f>
        <v>1964.4274014228131</v>
      </c>
      <c r="L32" s="70">
        <f t="shared" si="23"/>
        <v>2365.7487403809751</v>
      </c>
      <c r="M32" s="104"/>
    </row>
    <row r="33" spans="1:17">
      <c r="A33" s="47" t="s">
        <v>144</v>
      </c>
      <c r="B33" s="89">
        <f>E3</f>
        <v>2.3391812865497075</v>
      </c>
      <c r="C33" s="89">
        <f>E8</f>
        <v>3.5087719298245617</v>
      </c>
      <c r="H33" t="s">
        <v>18</v>
      </c>
      <c r="I33" s="71"/>
      <c r="J33" s="70">
        <f>J29+J30+J31-J32</f>
        <v>72059.367065005499</v>
      </c>
      <c r="K33" s="70">
        <f t="shared" ref="K33:L33" si="24">K29+K30+K31-K32</f>
        <v>96256.942669717755</v>
      </c>
      <c r="L33" s="70">
        <f t="shared" si="24"/>
        <v>115921.68827866766</v>
      </c>
      <c r="M33" s="104"/>
      <c r="N33" s="93">
        <f>((J33/2)+(K33/2)+(L33/2))*T4</f>
        <v>284237.99801339093</v>
      </c>
    </row>
    <row r="34" spans="1:17">
      <c r="A34" s="47" t="s">
        <v>246</v>
      </c>
      <c r="B34" s="89">
        <f>E4</f>
        <v>5.5555555555555554</v>
      </c>
      <c r="C34" s="89">
        <f>E9</f>
        <v>3.333333333333333</v>
      </c>
      <c r="H34" t="s">
        <v>124</v>
      </c>
      <c r="I34" s="71"/>
      <c r="J34" s="70">
        <f>M21*3</f>
        <v>46967.963386727686</v>
      </c>
      <c r="K34" s="70">
        <f t="shared" ref="K34:L34" si="25">N21*3</f>
        <v>52504.449529621153</v>
      </c>
      <c r="L34" s="70">
        <f t="shared" si="25"/>
        <v>96601.40689888972</v>
      </c>
      <c r="M34" s="71"/>
    </row>
    <row r="35" spans="1:17">
      <c r="H35" t="s">
        <v>104</v>
      </c>
      <c r="I35" s="71"/>
      <c r="J35" s="70">
        <f>J33-J34</f>
        <v>25091.403678277813</v>
      </c>
      <c r="K35" s="70">
        <f t="shared" ref="K35:L35" si="26">K33-K34</f>
        <v>43752.493140096602</v>
      </c>
      <c r="L35" s="70">
        <f t="shared" si="26"/>
        <v>19320.281379777938</v>
      </c>
      <c r="M35" s="104"/>
    </row>
    <row r="36" spans="1:17">
      <c r="H36" t="s">
        <v>105</v>
      </c>
      <c r="I36" s="104">
        <f>I40</f>
        <v>74360.790095734803</v>
      </c>
      <c r="J36" s="104">
        <f>I36</f>
        <v>74360.790095734803</v>
      </c>
      <c r="K36" s="104">
        <f>J41</f>
        <v>75809.22049376498</v>
      </c>
      <c r="L36" s="105"/>
      <c r="M36" s="71"/>
    </row>
    <row r="37" spans="1:17">
      <c r="N37" s="70"/>
    </row>
    <row r="38" spans="1:17">
      <c r="H38" s="47" t="s">
        <v>281</v>
      </c>
      <c r="I38" s="70">
        <f>3*M21+3*N21+3*O21</f>
        <v>196073.81981523856</v>
      </c>
      <c r="J38" s="47" t="s">
        <v>108</v>
      </c>
      <c r="N38" s="70"/>
      <c r="O38" s="70"/>
      <c r="P38" s="70"/>
    </row>
    <row r="39" spans="1:17">
      <c r="F39" t="s">
        <v>137</v>
      </c>
      <c r="G39">
        <v>0.98</v>
      </c>
      <c r="H39" s="47" t="s">
        <v>282</v>
      </c>
      <c r="I39" s="70">
        <f>((I38+((0.2*O21*3)))-(3400*G39))/3</f>
        <v>70687.367065005499</v>
      </c>
      <c r="J39" s="70">
        <f>O21*3</f>
        <v>96601.40689888972</v>
      </c>
    </row>
    <row r="40" spans="1:17">
      <c r="F40" t="s">
        <v>123</v>
      </c>
      <c r="G40">
        <v>0.97</v>
      </c>
      <c r="H40" s="47" t="s">
        <v>107</v>
      </c>
      <c r="I40" s="70">
        <f>(I39/$G$39)/$G$40</f>
        <v>74360.790095734803</v>
      </c>
      <c r="J40" s="70">
        <f>(J39*1.2)-((L29*G39))</f>
        <v>72064.245001372998</v>
      </c>
      <c r="K40" s="70"/>
    </row>
    <row r="41" spans="1:17">
      <c r="H41" s="47"/>
      <c r="I41" s="70"/>
      <c r="J41" s="70">
        <f>(J40/G39)/G40</f>
        <v>75809.22049376498</v>
      </c>
    </row>
    <row r="42" spans="1:17">
      <c r="H42" s="69"/>
      <c r="I42" s="69"/>
      <c r="J42" s="69"/>
      <c r="K42" s="69"/>
      <c r="L42" s="69"/>
      <c r="M42" s="103"/>
    </row>
    <row r="43" spans="1:17">
      <c r="H43" s="107" t="s">
        <v>283</v>
      </c>
      <c r="I43" s="108"/>
      <c r="J43" s="108"/>
      <c r="K43" s="108"/>
      <c r="L43" s="108"/>
      <c r="M43" s="108"/>
      <c r="N43" s="108"/>
      <c r="O43" s="108"/>
      <c r="P43" s="108"/>
      <c r="Q43" s="108"/>
    </row>
    <row r="44" spans="1:17">
      <c r="H44" s="47" t="s">
        <v>279</v>
      </c>
      <c r="I44" s="47" t="s">
        <v>284</v>
      </c>
      <c r="J44" s="47" t="s">
        <v>285</v>
      </c>
      <c r="K44" s="47" t="s">
        <v>286</v>
      </c>
      <c r="L44" s="47" t="s">
        <v>287</v>
      </c>
      <c r="M44" s="47" t="s">
        <v>288</v>
      </c>
      <c r="N44" s="47" t="s">
        <v>289</v>
      </c>
      <c r="O44" s="47"/>
    </row>
    <row r="45" spans="1:17">
      <c r="H45" s="47" t="s">
        <v>290</v>
      </c>
      <c r="I45" s="89">
        <f>B30/F22</f>
        <v>3.5562249927846126</v>
      </c>
      <c r="J45" s="47">
        <v>4</v>
      </c>
      <c r="K45" s="47"/>
      <c r="L45" s="47">
        <f>J45</f>
        <v>4</v>
      </c>
      <c r="M45" s="47"/>
      <c r="N45" s="90">
        <f>B30/J45</f>
        <v>6.6107297228578688</v>
      </c>
    </row>
    <row r="46" spans="1:17">
      <c r="H46" s="47" t="s">
        <v>291</v>
      </c>
      <c r="I46" s="89">
        <f>C30/F23</f>
        <v>2.0607511714498572</v>
      </c>
      <c r="J46" s="47">
        <v>3</v>
      </c>
      <c r="K46" s="47">
        <f>(J45+J46)-1</f>
        <v>6</v>
      </c>
      <c r="L46" s="47">
        <f t="shared" ref="L46:L54" si="27">J46</f>
        <v>3</v>
      </c>
      <c r="M46" s="47">
        <f>(L45+L46)-1</f>
        <v>6</v>
      </c>
      <c r="N46" s="90">
        <f>C30/J46</f>
        <v>4.3012119671158571</v>
      </c>
    </row>
    <row r="47" spans="1:17">
      <c r="H47" s="47" t="s">
        <v>292</v>
      </c>
      <c r="I47" s="89">
        <f>B31/F22</f>
        <v>2.9885967727824534</v>
      </c>
      <c r="J47" s="47">
        <v>3</v>
      </c>
      <c r="K47" s="47"/>
      <c r="L47" s="47">
        <f t="shared" si="27"/>
        <v>3</v>
      </c>
      <c r="M47" s="47"/>
      <c r="N47" s="90">
        <f>B31/J47</f>
        <v>7.4074074074074074</v>
      </c>
    </row>
    <row r="48" spans="1:17">
      <c r="H48" s="47" t="s">
        <v>293</v>
      </c>
      <c r="I48" s="89">
        <f>C31/F23</f>
        <v>0.88723966691979084</v>
      </c>
      <c r="J48" s="47">
        <v>1</v>
      </c>
      <c r="K48" s="47">
        <f>(J47+J48)-1</f>
        <v>3</v>
      </c>
      <c r="L48" s="47">
        <f t="shared" si="27"/>
        <v>1</v>
      </c>
      <c r="M48" s="47">
        <f>(L47+L48)-1</f>
        <v>3</v>
      </c>
      <c r="N48" s="90">
        <f>C31/J48</f>
        <v>5.5555555555555554</v>
      </c>
    </row>
    <row r="49" spans="5:14">
      <c r="H49" s="47" t="s">
        <v>294</v>
      </c>
      <c r="I49" s="89">
        <f>B32/F22</f>
        <v>0.70782555144847581</v>
      </c>
      <c r="J49" s="47">
        <v>1</v>
      </c>
      <c r="K49" s="47"/>
      <c r="L49" s="47">
        <f t="shared" si="27"/>
        <v>1</v>
      </c>
      <c r="M49" s="47"/>
      <c r="N49" s="90">
        <f>B32/J49</f>
        <v>5.2631578947368425</v>
      </c>
    </row>
    <row r="50" spans="5:14">
      <c r="H50" s="47" t="s">
        <v>295</v>
      </c>
      <c r="I50" s="89">
        <f>C32/F23</f>
        <v>2.5216285270351952</v>
      </c>
      <c r="J50" s="47">
        <v>3</v>
      </c>
      <c r="K50" s="47">
        <f>(J49+J50)-1</f>
        <v>3</v>
      </c>
      <c r="L50" s="47">
        <f t="shared" si="27"/>
        <v>3</v>
      </c>
      <c r="M50" s="47">
        <f>(L49+L50)-1</f>
        <v>3</v>
      </c>
      <c r="N50" s="90">
        <f>C32/J50</f>
        <v>5.2631578947368425</v>
      </c>
    </row>
    <row r="51" spans="5:14">
      <c r="H51" s="47" t="s">
        <v>296</v>
      </c>
      <c r="I51" s="89">
        <f>B33/F22</f>
        <v>0.31458913397710031</v>
      </c>
      <c r="J51" s="47">
        <v>1</v>
      </c>
      <c r="K51" s="47"/>
      <c r="L51" s="47">
        <f t="shared" si="27"/>
        <v>1</v>
      </c>
      <c r="M51" s="47"/>
      <c r="N51" s="90">
        <f>B33/J51</f>
        <v>2.3391812865497075</v>
      </c>
    </row>
    <row r="52" spans="5:14">
      <c r="H52" s="47" t="s">
        <v>297</v>
      </c>
      <c r="I52" s="89">
        <f>C33/F23</f>
        <v>0.56036189489671007</v>
      </c>
      <c r="J52" s="47">
        <v>1</v>
      </c>
      <c r="K52" s="47">
        <f>(J51+J52)-1</f>
        <v>1</v>
      </c>
      <c r="L52" s="47">
        <f t="shared" si="27"/>
        <v>1</v>
      </c>
      <c r="M52" s="47">
        <f>(L51+L52)-1</f>
        <v>1</v>
      </c>
      <c r="N52" s="90">
        <f>C33/J52</f>
        <v>3.5087719298245617</v>
      </c>
    </row>
    <row r="53" spans="5:14">
      <c r="H53" s="47" t="s">
        <v>298</v>
      </c>
      <c r="I53" s="89">
        <f>B34/F22</f>
        <v>0.74714919319561335</v>
      </c>
      <c r="J53" s="47">
        <v>1</v>
      </c>
      <c r="L53" s="47">
        <f t="shared" si="27"/>
        <v>1</v>
      </c>
      <c r="N53" s="90">
        <f>B34/J53</f>
        <v>5.5555555555555554</v>
      </c>
    </row>
    <row r="54" spans="5:14">
      <c r="H54" s="47" t="s">
        <v>299</v>
      </c>
      <c r="I54" s="89">
        <f>C34/F23</f>
        <v>0.53234380015187455</v>
      </c>
      <c r="J54" s="47">
        <v>1</v>
      </c>
      <c r="K54" s="47">
        <f>(J53+J54)-1</f>
        <v>1</v>
      </c>
      <c r="L54" s="47">
        <f t="shared" si="27"/>
        <v>1</v>
      </c>
      <c r="M54" s="47">
        <f>(L53+L54)-1</f>
        <v>1</v>
      </c>
      <c r="N54" s="90">
        <f>C34/J54</f>
        <v>3.333333333333333</v>
      </c>
    </row>
    <row r="55" spans="5:14">
      <c r="H55" s="47"/>
      <c r="I55" s="89"/>
      <c r="J55" s="47"/>
      <c r="K55" s="47">
        <f>SUM(K45:K54)</f>
        <v>14</v>
      </c>
      <c r="L55" s="47">
        <f>SUM(L45:L54)</f>
        <v>19</v>
      </c>
      <c r="M55" s="47"/>
      <c r="N55" s="90"/>
    </row>
    <row r="57" spans="5:14">
      <c r="E57" s="430" t="s">
        <v>300</v>
      </c>
      <c r="F57" s="430"/>
      <c r="G57" s="430"/>
      <c r="H57" s="47" t="s">
        <v>279</v>
      </c>
      <c r="I57" s="47" t="s">
        <v>110</v>
      </c>
      <c r="J57" s="47" t="s">
        <v>111</v>
      </c>
      <c r="K57" s="47" t="s">
        <v>143</v>
      </c>
      <c r="L57" s="47" t="s">
        <v>144</v>
      </c>
      <c r="M57" s="47" t="s">
        <v>246</v>
      </c>
      <c r="N57" s="47" t="s">
        <v>301</v>
      </c>
    </row>
    <row r="58" spans="5:14">
      <c r="E58" s="47"/>
      <c r="F58" s="47" t="s">
        <v>155</v>
      </c>
      <c r="G58" s="47" t="s">
        <v>302</v>
      </c>
      <c r="H58" s="47" t="s">
        <v>244</v>
      </c>
      <c r="I58" s="95">
        <f>N58*N45</f>
        <v>63091.876653240011</v>
      </c>
      <c r="J58" s="95">
        <f>N58*N47</f>
        <v>70695.256660168947</v>
      </c>
      <c r="K58" s="95">
        <f>N58*N49</f>
        <v>50230.840258541095</v>
      </c>
      <c r="L58" s="95">
        <f>N58*N51</f>
        <v>22324.817892684929</v>
      </c>
      <c r="M58" s="95">
        <f>N58*N53</f>
        <v>53021.442495126706</v>
      </c>
      <c r="N58" s="70">
        <f>SUM(I6:K6)</f>
        <v>9543.8596491228072</v>
      </c>
    </row>
    <row r="59" spans="5:14">
      <c r="E59" s="47" t="s">
        <v>244</v>
      </c>
      <c r="F59" s="47">
        <v>1</v>
      </c>
      <c r="G59" s="47">
        <v>4</v>
      </c>
      <c r="H59" s="47" t="s">
        <v>18</v>
      </c>
      <c r="I59" s="95">
        <f>C22*3</f>
        <v>60675.075000000004</v>
      </c>
      <c r="J59" s="95">
        <f>$I$59</f>
        <v>60675.075000000004</v>
      </c>
      <c r="K59" s="95">
        <f t="shared" ref="K59:M59" si="28">$I$59</f>
        <v>60675.075000000004</v>
      </c>
      <c r="L59" s="95">
        <f t="shared" si="28"/>
        <v>60675.075000000004</v>
      </c>
      <c r="M59" s="95">
        <f t="shared" si="28"/>
        <v>60675.075000000004</v>
      </c>
    </row>
    <row r="60" spans="5:14">
      <c r="E60" s="47" t="s">
        <v>245</v>
      </c>
      <c r="F60" s="47">
        <v>3</v>
      </c>
      <c r="G60" s="47">
        <v>1</v>
      </c>
      <c r="H60" s="47" t="s">
        <v>303</v>
      </c>
      <c r="I60" s="109">
        <f>I58-I59</f>
        <v>2416.801653240007</v>
      </c>
      <c r="J60" s="109">
        <f t="shared" ref="J60:M60" si="29">J58-J59</f>
        <v>10020.181660168942</v>
      </c>
      <c r="K60" s="95">
        <f t="shared" si="29"/>
        <v>-10444.234741458909</v>
      </c>
      <c r="L60" s="95">
        <f t="shared" si="29"/>
        <v>-38350.257107315076</v>
      </c>
      <c r="M60" s="95">
        <f t="shared" si="29"/>
        <v>-7653.6325048732979</v>
      </c>
    </row>
    <row r="61" spans="5:14">
      <c r="H61" s="47" t="s">
        <v>245</v>
      </c>
      <c r="I61" s="95">
        <f>N61*N46</f>
        <v>48747.068960646386</v>
      </c>
      <c r="J61" s="95">
        <f>N61*N48</f>
        <v>62962.962962962964</v>
      </c>
      <c r="K61" s="95">
        <f>N61*N50</f>
        <v>59649.122807017549</v>
      </c>
      <c r="L61" s="95">
        <f>N61*N52</f>
        <v>39766.081871345035</v>
      </c>
      <c r="M61" s="95">
        <f>N61*N54</f>
        <v>37777.777777777774</v>
      </c>
      <c r="N61" s="70">
        <f>SUM(L6:N6)</f>
        <v>11333.333333333334</v>
      </c>
    </row>
    <row r="62" spans="5:14">
      <c r="H62" s="47" t="str">
        <f t="shared" ref="H62:M62" si="30">H59</f>
        <v>Disponible</v>
      </c>
      <c r="I62">
        <f t="shared" si="30"/>
        <v>60675.075000000004</v>
      </c>
      <c r="J62">
        <f t="shared" si="30"/>
        <v>60675.075000000004</v>
      </c>
      <c r="K62">
        <f t="shared" si="30"/>
        <v>60675.075000000004</v>
      </c>
      <c r="L62">
        <f t="shared" si="30"/>
        <v>60675.075000000004</v>
      </c>
      <c r="M62">
        <f t="shared" si="30"/>
        <v>60675.075000000004</v>
      </c>
    </row>
    <row r="63" spans="5:14">
      <c r="H63" s="47" t="s">
        <v>303</v>
      </c>
      <c r="I63" s="95">
        <f>I61-I62</f>
        <v>-11928.006039353619</v>
      </c>
      <c r="J63" s="109">
        <f t="shared" ref="J63:M63" si="31">J61-J62</f>
        <v>2287.8879629629591</v>
      </c>
      <c r="K63" s="95">
        <f t="shared" si="31"/>
        <v>-1025.952192982455</v>
      </c>
      <c r="L63" s="95">
        <f t="shared" si="31"/>
        <v>-20908.993128654969</v>
      </c>
      <c r="M63" s="95">
        <f t="shared" si="31"/>
        <v>-22897.297222222231</v>
      </c>
    </row>
    <row r="66" spans="8:11">
      <c r="H66" t="s">
        <v>304</v>
      </c>
      <c r="I66" s="95">
        <f>(I60/60)</f>
        <v>40.280027554000114</v>
      </c>
      <c r="J66" s="95">
        <f>(J60/60)</f>
        <v>167.00302766948238</v>
      </c>
      <c r="K66" s="110">
        <f>(I66+J66)*(L45+L46)*$T$2</f>
        <v>6529.4162395396988</v>
      </c>
    </row>
    <row r="67" spans="8:11">
      <c r="I67" s="95">
        <v>0</v>
      </c>
      <c r="J67" s="95">
        <f>(J63/60)</f>
        <v>38.131466049382652</v>
      </c>
      <c r="K67" s="110">
        <f>(I67+J67)*(L46+L47)*$T$2</f>
        <v>1029.5495833333316</v>
      </c>
    </row>
    <row r="68" spans="8:11">
      <c r="K68" s="111">
        <f>K66+K67</f>
        <v>7558.9658228730304</v>
      </c>
    </row>
  </sheetData>
  <mergeCells count="3">
    <mergeCell ref="V8:W8"/>
    <mergeCell ref="V9:W9"/>
    <mergeCell ref="E57:G57"/>
  </mergeCells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1</vt:i4>
      </vt:variant>
    </vt:vector>
  </HeadingPairs>
  <TitlesOfParts>
    <vt:vector size="2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14-b</vt:lpstr>
      <vt:lpstr>15-a</vt:lpstr>
      <vt:lpstr>15-b</vt:lpstr>
      <vt:lpstr>16</vt:lpstr>
      <vt:lpstr>17</vt:lpstr>
      <vt:lpstr>18</vt:lpstr>
      <vt:lpstr>19</vt:lpstr>
      <vt:lpstr>20</vt:lpstr>
      <vt:lpstr>21</vt:lpstr>
      <vt:lpstr>22</vt:lpstr>
      <vt:lpstr>23</vt:lpstr>
      <vt:lpstr>24-Hungaro</vt:lpstr>
      <vt:lpstr>24-Piso</vt:lpstr>
      <vt:lpstr>'13'!Print_Area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Hernandez</dc:creator>
  <cp:lastModifiedBy>Edgar Hernandez</cp:lastModifiedBy>
  <dcterms:created xsi:type="dcterms:W3CDTF">2020-06-20T16:55:21Z</dcterms:created>
  <dcterms:modified xsi:type="dcterms:W3CDTF">2020-07-09T00:28:47Z</dcterms:modified>
</cp:coreProperties>
</file>