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nrique/Documents/UCR/Operaciones/Ejercicios de Clases/Prácticas/Nuevas/Gerencia de Operaciones/"/>
    </mc:Choice>
  </mc:AlternateContent>
  <xr:revisionPtr revIDLastSave="0" documentId="13_ncr:1_{5C73D6AD-0CAB-1446-A0F6-6DDCBAB96B8F}" xr6:coauthVersionLast="45" xr6:coauthVersionMax="45" xr10:uidLastSave="{00000000-0000-0000-0000-000000000000}"/>
  <bookViews>
    <workbookView xWindow="980" yWindow="460" windowWidth="22940" windowHeight="17340" tabRatio="1000" xr2:uid="{00000000-000D-0000-FFFF-FFFF00000000}"/>
  </bookViews>
  <sheets>
    <sheet name="Ejercicio 1" sheetId="2" r:id="rId1"/>
    <sheet name="Ejericio 2" sheetId="1" r:id="rId2"/>
    <sheet name="Ejercicio 3" sheetId="4" r:id="rId3"/>
    <sheet name="Ejercicio 4" sheetId="5" r:id="rId4"/>
    <sheet name="Ejercicio 5" sheetId="6" r:id="rId5"/>
    <sheet name="Ejercicio 6" sheetId="8" r:id="rId6"/>
    <sheet name="Ejercicio 7" sheetId="9" r:id="rId7"/>
    <sheet name="Ejercicio 8" sheetId="12" r:id="rId8"/>
    <sheet name="Ejercicio 9" sheetId="13" r:id="rId9"/>
    <sheet name="Ejercicio 10" sheetId="15" r:id="rId10"/>
    <sheet name="Ejercicio 11" sheetId="14" r:id="rId11"/>
    <sheet name="Ejercicio 12" sheetId="16" r:id="rId12"/>
    <sheet name="Ejercicio 13" sheetId="17" r:id="rId13"/>
    <sheet name="Ejercicio 14" sheetId="18" r:id="rId14"/>
  </sheets>
  <definedNames>
    <definedName name="solver_adj" localSheetId="0" hidden="1">'Ejercicio 1'!#REF!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'Ejercicio 1'!#REF!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'Ejercicio 1'!#REF!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'Ejercicio 1'!#REF!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2" l="1"/>
  <c r="E21" i="18"/>
  <c r="E22" i="18"/>
  <c r="B7" i="18"/>
  <c r="B16" i="18"/>
  <c r="B21" i="18" s="1"/>
  <c r="C7" i="18"/>
  <c r="C16" i="18" s="1"/>
  <c r="D7" i="18"/>
  <c r="D16" i="18"/>
  <c r="D21" i="18" s="1"/>
  <c r="D15" i="18"/>
  <c r="C15" i="18"/>
  <c r="B15" i="18"/>
  <c r="B17" i="18"/>
  <c r="C10" i="18"/>
  <c r="D10" i="18"/>
  <c r="E10" i="18" s="1"/>
  <c r="G10" i="18" s="1"/>
  <c r="B9" i="18"/>
  <c r="C9" i="18"/>
  <c r="D9" i="18"/>
  <c r="E9" i="18"/>
  <c r="G9" i="18" s="1"/>
  <c r="B8" i="18"/>
  <c r="E8" i="18" s="1"/>
  <c r="G8" i="18" s="1"/>
  <c r="C8" i="18"/>
  <c r="D8" i="18"/>
  <c r="E7" i="18"/>
  <c r="G7" i="18"/>
  <c r="B6" i="18"/>
  <c r="C6" i="18"/>
  <c r="E6" i="18" s="1"/>
  <c r="G6" i="18" s="1"/>
  <c r="D6" i="18"/>
  <c r="B5" i="18"/>
  <c r="C5" i="18"/>
  <c r="D5" i="18"/>
  <c r="C4" i="18"/>
  <c r="E4" i="18" s="1"/>
  <c r="G4" i="18" s="1"/>
  <c r="B3" i="18"/>
  <c r="E3" i="18" s="1"/>
  <c r="G3" i="18" s="1"/>
  <c r="C3" i="18"/>
  <c r="D3" i="18"/>
  <c r="C11" i="17"/>
  <c r="E2" i="17"/>
  <c r="E3" i="17"/>
  <c r="E4" i="17"/>
  <c r="E8" i="17" s="1"/>
  <c r="C13" i="17" s="1"/>
  <c r="E5" i="17"/>
  <c r="E6" i="17"/>
  <c r="E7" i="17"/>
  <c r="I24" i="16"/>
  <c r="I4" i="16"/>
  <c r="I5" i="16" s="1"/>
  <c r="L26" i="16"/>
  <c r="K12" i="16"/>
  <c r="B3" i="16"/>
  <c r="H6" i="16"/>
  <c r="H11" i="16" s="1"/>
  <c r="J12" i="16" s="1"/>
  <c r="C3" i="16"/>
  <c r="I6" i="16" s="1"/>
  <c r="I11" i="16" s="1"/>
  <c r="D3" i="16"/>
  <c r="J6" i="16"/>
  <c r="J11" i="16" s="1"/>
  <c r="H4" i="16"/>
  <c r="H5" i="16" s="1"/>
  <c r="J4" i="16"/>
  <c r="J5" i="16"/>
  <c r="J7" i="16" s="1"/>
  <c r="B6" i="16"/>
  <c r="C6" i="16"/>
  <c r="E6" i="16" s="1"/>
  <c r="D6" i="16"/>
  <c r="B5" i="16"/>
  <c r="C5" i="16"/>
  <c r="D5" i="16"/>
  <c r="E5" i="16"/>
  <c r="B4" i="16"/>
  <c r="C4" i="16"/>
  <c r="E4" i="16" s="1"/>
  <c r="D4" i="16"/>
  <c r="B27" i="15"/>
  <c r="E19" i="15" s="1"/>
  <c r="B23" i="15"/>
  <c r="B24" i="15"/>
  <c r="B21" i="15" s="1"/>
  <c r="C19" i="15"/>
  <c r="B25" i="15"/>
  <c r="D19" i="15"/>
  <c r="I40" i="15"/>
  <c r="H26" i="15"/>
  <c r="H22" i="15"/>
  <c r="I18" i="15" s="1"/>
  <c r="H23" i="15"/>
  <c r="H20" i="15" s="1"/>
  <c r="I15" i="15" s="1"/>
  <c r="I20" i="15"/>
  <c r="J15" i="15" s="1"/>
  <c r="J16" i="15" s="1"/>
  <c r="H24" i="15"/>
  <c r="J20" i="15"/>
  <c r="K15" i="15" s="1"/>
  <c r="K16" i="15" s="1"/>
  <c r="F26" i="14"/>
  <c r="F28" i="14" s="1"/>
  <c r="C16" i="14"/>
  <c r="C22" i="14" s="1"/>
  <c r="F8" i="14"/>
  <c r="F7" i="14"/>
  <c r="I3" i="13"/>
  <c r="J3" i="13" s="1"/>
  <c r="I4" i="13"/>
  <c r="J4" i="13" s="1"/>
  <c r="I5" i="13"/>
  <c r="J5" i="13" s="1"/>
  <c r="B32" i="12"/>
  <c r="I30" i="12"/>
  <c r="H29" i="12"/>
  <c r="B27" i="12"/>
  <c r="G12" i="12"/>
  <c r="G14" i="12" s="1"/>
  <c r="H9" i="12" s="1"/>
  <c r="H12" i="12" s="1"/>
  <c r="H14" i="12" s="1"/>
  <c r="G13" i="12"/>
  <c r="G17" i="12"/>
  <c r="G22" i="12" s="1"/>
  <c r="G20" i="12"/>
  <c r="H13" i="12"/>
  <c r="I13" i="12"/>
  <c r="B13" i="12"/>
  <c r="B20" i="12"/>
  <c r="B18" i="12" s="1"/>
  <c r="C13" i="12"/>
  <c r="C20" i="12"/>
  <c r="D13" i="12"/>
  <c r="D20" i="12"/>
  <c r="H21" i="12"/>
  <c r="J20" i="12"/>
  <c r="J18" i="12"/>
  <c r="C11" i="9"/>
  <c r="E2" i="9"/>
  <c r="E3" i="9"/>
  <c r="E4" i="9"/>
  <c r="E5" i="9"/>
  <c r="E6" i="9"/>
  <c r="E8" i="9" s="1"/>
  <c r="C13" i="9" s="1"/>
  <c r="C14" i="9" s="1"/>
  <c r="E7" i="9"/>
  <c r="C2" i="8"/>
  <c r="D2" i="8"/>
  <c r="E2" i="8" s="1"/>
  <c r="B21" i="8"/>
  <c r="B15" i="8"/>
  <c r="B20" i="8"/>
  <c r="B14" i="8"/>
  <c r="B19" i="8"/>
  <c r="B13" i="8"/>
  <c r="B18" i="8"/>
  <c r="B12" i="8"/>
  <c r="C12" i="8"/>
  <c r="D12" i="8" s="1"/>
  <c r="C13" i="8"/>
  <c r="D13" i="8" s="1"/>
  <c r="C14" i="8"/>
  <c r="D14" i="8" s="1"/>
  <c r="C15" i="8"/>
  <c r="D15" i="8" s="1"/>
  <c r="D16" i="8" s="1"/>
  <c r="B1" i="6"/>
  <c r="D34" i="6" s="1"/>
  <c r="D35" i="6"/>
  <c r="B7" i="6"/>
  <c r="B16" i="6" s="1"/>
  <c r="C7" i="6"/>
  <c r="C16" i="6" s="1"/>
  <c r="B15" i="6"/>
  <c r="C15" i="6"/>
  <c r="F34" i="6"/>
  <c r="D23" i="6"/>
  <c r="D24" i="6" s="1"/>
  <c r="F21" i="6"/>
  <c r="D9" i="6"/>
  <c r="E9" i="6"/>
  <c r="F9" i="6"/>
  <c r="C8" i="6"/>
  <c r="D8" i="6" s="1"/>
  <c r="F8" i="6" s="1"/>
  <c r="E8" i="6"/>
  <c r="D7" i="6"/>
  <c r="F7" i="6" s="1"/>
  <c r="E7" i="6"/>
  <c r="C6" i="6"/>
  <c r="D6" i="6" s="1"/>
  <c r="F6" i="6" s="1"/>
  <c r="E6" i="6"/>
  <c r="F11" i="5"/>
  <c r="E25" i="5" s="1"/>
  <c r="E26" i="5" s="1"/>
  <c r="B20" i="5"/>
  <c r="B25" i="5"/>
  <c r="D26" i="5" s="1"/>
  <c r="C20" i="5"/>
  <c r="C25" i="5" s="1"/>
  <c r="D20" i="5"/>
  <c r="D25" i="5" s="1"/>
  <c r="D19" i="5"/>
  <c r="D21" i="5"/>
  <c r="C19" i="5"/>
  <c r="C21" i="5" s="1"/>
  <c r="B19" i="5"/>
  <c r="B21" i="5" s="1"/>
  <c r="B13" i="5"/>
  <c r="C13" i="5"/>
  <c r="D13" i="5"/>
  <c r="E13" i="5"/>
  <c r="G13" i="5" s="1"/>
  <c r="F13" i="5"/>
  <c r="B12" i="5"/>
  <c r="E12" i="5" s="1"/>
  <c r="G12" i="5" s="1"/>
  <c r="C12" i="5"/>
  <c r="D12" i="5"/>
  <c r="F12" i="5"/>
  <c r="B11" i="5"/>
  <c r="C11" i="5"/>
  <c r="D11" i="5"/>
  <c r="E11" i="5" s="1"/>
  <c r="G11" i="5" s="1"/>
  <c r="B10" i="5"/>
  <c r="E10" i="5" s="1"/>
  <c r="C10" i="5"/>
  <c r="D10" i="5"/>
  <c r="F10" i="5"/>
  <c r="G10" i="5"/>
  <c r="B9" i="5"/>
  <c r="E9" i="5" s="1"/>
  <c r="G9" i="5" s="1"/>
  <c r="C9" i="5"/>
  <c r="D9" i="5"/>
  <c r="F9" i="5"/>
  <c r="B8" i="5"/>
  <c r="E8" i="5" s="1"/>
  <c r="G8" i="5" s="1"/>
  <c r="C8" i="5"/>
  <c r="D8" i="5"/>
  <c r="F8" i="5"/>
  <c r="B7" i="5"/>
  <c r="C7" i="5"/>
  <c r="D7" i="5"/>
  <c r="E7" i="5"/>
  <c r="G7" i="5" s="1"/>
  <c r="F7" i="5"/>
  <c r="B6" i="5"/>
  <c r="E6" i="5" s="1"/>
  <c r="C6" i="5"/>
  <c r="D6" i="5"/>
  <c r="F6" i="5"/>
  <c r="G6" i="5"/>
  <c r="B5" i="5"/>
  <c r="E5" i="5" s="1"/>
  <c r="G5" i="5" s="1"/>
  <c r="C5" i="5"/>
  <c r="D5" i="5"/>
  <c r="F5" i="5"/>
  <c r="B4" i="5"/>
  <c r="C4" i="5"/>
  <c r="E4" i="5" s="1"/>
  <c r="G4" i="5" s="1"/>
  <c r="D4" i="5"/>
  <c r="F4" i="5"/>
  <c r="B27" i="4"/>
  <c r="B23" i="4"/>
  <c r="B24" i="4" s="1"/>
  <c r="B21" i="4"/>
  <c r="C15" i="4" s="1"/>
  <c r="C19" i="4"/>
  <c r="B25" i="4"/>
  <c r="C35" i="4"/>
  <c r="C36" i="4" s="1"/>
  <c r="B42" i="4"/>
  <c r="D35" i="4"/>
  <c r="D36" i="4"/>
  <c r="I40" i="4"/>
  <c r="E35" i="4"/>
  <c r="E36" i="4"/>
  <c r="H26" i="4"/>
  <c r="I15" i="4"/>
  <c r="I16" i="4" s="1"/>
  <c r="H22" i="4"/>
  <c r="J15" i="4"/>
  <c r="J16" i="4"/>
  <c r="H24" i="4"/>
  <c r="J18" i="4"/>
  <c r="E19" i="4"/>
  <c r="K15" i="4"/>
  <c r="K16" i="4"/>
  <c r="K18" i="4"/>
  <c r="M4" i="1"/>
  <c r="K4" i="1"/>
  <c r="L4" i="1" s="1"/>
  <c r="K5" i="1"/>
  <c r="K6" i="1"/>
  <c r="L6" i="1" s="1"/>
  <c r="M6" i="1" s="1"/>
  <c r="K3" i="1"/>
  <c r="L3" i="1" s="1"/>
  <c r="M3" i="1" s="1"/>
  <c r="I4" i="1"/>
  <c r="J4" i="1" s="1"/>
  <c r="I5" i="1"/>
  <c r="J5" i="1" s="1"/>
  <c r="I6" i="1"/>
  <c r="J6" i="1" s="1"/>
  <c r="I3" i="1"/>
  <c r="J3" i="1" s="1"/>
  <c r="J7" i="1" s="1"/>
  <c r="H4" i="1"/>
  <c r="H5" i="1"/>
  <c r="H6" i="1"/>
  <c r="H3" i="1"/>
  <c r="C24" i="2"/>
  <c r="C15" i="2"/>
  <c r="C16" i="2"/>
  <c r="C18" i="2" s="1"/>
  <c r="C28" i="2"/>
  <c r="C30" i="2" s="1"/>
  <c r="C32" i="2" s="1"/>
  <c r="D15" i="2"/>
  <c r="D16" i="2"/>
  <c r="C29" i="2"/>
  <c r="D17" i="2"/>
  <c r="D18" i="2"/>
  <c r="C17" i="2"/>
  <c r="E9" i="2"/>
  <c r="G9" i="2"/>
  <c r="E8" i="2"/>
  <c r="G8" i="2" s="1"/>
  <c r="E7" i="2"/>
  <c r="G7" i="2"/>
  <c r="K18" i="15" l="1"/>
  <c r="C14" i="17"/>
  <c r="D14" i="17" s="1"/>
  <c r="D13" i="17"/>
  <c r="C21" i="18"/>
  <c r="C17" i="18"/>
  <c r="C38" i="4"/>
  <c r="B43" i="4"/>
  <c r="L5" i="1"/>
  <c r="M5" i="1" s="1"/>
  <c r="C15" i="15"/>
  <c r="B42" i="15"/>
  <c r="J13" i="16"/>
  <c r="D22" i="18"/>
  <c r="E5" i="18"/>
  <c r="G5" i="18" s="1"/>
  <c r="C21" i="8"/>
  <c r="D21" i="8" s="1"/>
  <c r="C19" i="8"/>
  <c r="D19" i="8" s="1"/>
  <c r="C20" i="8"/>
  <c r="D20" i="8" s="1"/>
  <c r="C18" i="8"/>
  <c r="D18" i="8" s="1"/>
  <c r="J6" i="13"/>
  <c r="L24" i="16"/>
  <c r="L25" i="16" s="1"/>
  <c r="L27" i="16" s="1"/>
  <c r="I7" i="16"/>
  <c r="D23" i="18"/>
  <c r="C17" i="4"/>
  <c r="C16" i="4"/>
  <c r="C18" i="4"/>
  <c r="C20" i="4" s="1"/>
  <c r="D14" i="4" s="1"/>
  <c r="D27" i="5"/>
  <c r="I9" i="12"/>
  <c r="I12" i="12" s="1"/>
  <c r="I14" i="12" s="1"/>
  <c r="I17" i="12" s="1"/>
  <c r="I22" i="12" s="1"/>
  <c r="H17" i="12"/>
  <c r="H22" i="12" s="1"/>
  <c r="I23" i="12" s="1"/>
  <c r="D17" i="18"/>
  <c r="D19" i="4"/>
  <c r="C22" i="6"/>
  <c r="D28" i="6" s="1"/>
  <c r="F20" i="6" s="1"/>
  <c r="F22" i="6" s="1"/>
  <c r="C17" i="6"/>
  <c r="C33" i="6"/>
  <c r="B28" i="12"/>
  <c r="B10" i="12"/>
  <c r="I18" i="4"/>
  <c r="H23" i="4"/>
  <c r="B33" i="6"/>
  <c r="B22" i="6"/>
  <c r="B17" i="6"/>
  <c r="I16" i="15"/>
  <c r="I17" i="15"/>
  <c r="I19" i="15" s="1"/>
  <c r="J14" i="15" s="1"/>
  <c r="J17" i="15" s="1"/>
  <c r="J19" i="15" s="1"/>
  <c r="K14" i="15" s="1"/>
  <c r="K17" i="15" s="1"/>
  <c r="K19" i="15" s="1"/>
  <c r="H7" i="16"/>
  <c r="I17" i="4"/>
  <c r="I19" i="4" s="1"/>
  <c r="J14" i="4" s="1"/>
  <c r="C37" i="4"/>
  <c r="C39" i="4" s="1"/>
  <c r="D34" i="4" s="1"/>
  <c r="D37" i="4" s="1"/>
  <c r="J18" i="15"/>
  <c r="E3" i="16"/>
  <c r="C29" i="5" l="1"/>
  <c r="D29" i="5"/>
  <c r="B29" i="5"/>
  <c r="C24" i="6"/>
  <c r="C25" i="6" s="1"/>
  <c r="I15" i="16"/>
  <c r="L16" i="16" s="1"/>
  <c r="I16" i="16"/>
  <c r="L17" i="16" s="1"/>
  <c r="I17" i="16"/>
  <c r="L18" i="16" s="1"/>
  <c r="C35" i="6"/>
  <c r="C36" i="6" s="1"/>
  <c r="C38" i="15"/>
  <c r="B43" i="15"/>
  <c r="B40" i="15" s="1"/>
  <c r="C35" i="15" s="1"/>
  <c r="H27" i="15"/>
  <c r="H25" i="4"/>
  <c r="J17" i="4"/>
  <c r="J19" i="4" s="1"/>
  <c r="K14" i="4" s="1"/>
  <c r="H25" i="15"/>
  <c r="C17" i="15"/>
  <c r="C18" i="15" s="1"/>
  <c r="C20" i="15" s="1"/>
  <c r="D14" i="15" s="1"/>
  <c r="C16" i="15"/>
  <c r="C24" i="18"/>
  <c r="C25" i="18"/>
  <c r="C26" i="18"/>
  <c r="D10" i="12"/>
  <c r="D25" i="12"/>
  <c r="E25" i="12" s="1"/>
  <c r="B12" i="12"/>
  <c r="B14" i="12" s="1"/>
  <c r="C10" i="12"/>
  <c r="B26" i="4"/>
  <c r="C21" i="4" s="1"/>
  <c r="B26" i="15" l="1"/>
  <c r="C21" i="15" s="1"/>
  <c r="G24" i="18"/>
  <c r="G25" i="18"/>
  <c r="C39" i="6"/>
  <c r="C38" i="6"/>
  <c r="D15" i="4"/>
  <c r="B44" i="4"/>
  <c r="C36" i="5"/>
  <c r="D38" i="5" s="1"/>
  <c r="C32" i="5"/>
  <c r="C33" i="5"/>
  <c r="C37" i="5"/>
  <c r="C34" i="5"/>
  <c r="C38" i="5"/>
  <c r="B17" i="12"/>
  <c r="B22" i="12" s="1"/>
  <c r="C9" i="12"/>
  <c r="L19" i="16"/>
  <c r="L21" i="16" s="1"/>
  <c r="H27" i="4"/>
  <c r="K17" i="4"/>
  <c r="K19" i="4" s="1"/>
  <c r="C27" i="6"/>
  <c r="C26" i="6"/>
  <c r="C36" i="15"/>
  <c r="C37" i="15"/>
  <c r="C39" i="15" s="1"/>
  <c r="D34" i="15" s="1"/>
  <c r="B45" i="4" l="1"/>
  <c r="D38" i="4"/>
  <c r="D39" i="4" s="1"/>
  <c r="E34" i="4" s="1"/>
  <c r="E37" i="4" s="1"/>
  <c r="C11" i="12"/>
  <c r="C19" i="12" s="1"/>
  <c r="D16" i="4"/>
  <c r="D18" i="4"/>
  <c r="D20" i="4" s="1"/>
  <c r="E14" i="4" s="1"/>
  <c r="D17" i="4"/>
  <c r="G26" i="18"/>
  <c r="G28" i="18" s="1"/>
  <c r="D34" i="5"/>
  <c r="D39" i="5" s="1"/>
  <c r="D41" i="5" s="1"/>
  <c r="F33" i="6"/>
  <c r="F35" i="6" s="1"/>
  <c r="D15" i="15"/>
  <c r="B44" i="15"/>
  <c r="B28" i="4" l="1"/>
  <c r="D21" i="4" s="1"/>
  <c r="D38" i="15"/>
  <c r="B45" i="15"/>
  <c r="C40" i="15" s="1"/>
  <c r="D35" i="15" s="1"/>
  <c r="D16" i="15"/>
  <c r="D17" i="15"/>
  <c r="D18" i="15" s="1"/>
  <c r="D20" i="15" s="1"/>
  <c r="E14" i="15" s="1"/>
  <c r="C12" i="12"/>
  <c r="C14" i="12" s="1"/>
  <c r="B28" i="15" l="1"/>
  <c r="D21" i="15" s="1"/>
  <c r="D36" i="15"/>
  <c r="D37" i="15" s="1"/>
  <c r="D39" i="15" s="1"/>
  <c r="E34" i="15" s="1"/>
  <c r="D9" i="12"/>
  <c r="D12" i="12" s="1"/>
  <c r="D14" i="12" s="1"/>
  <c r="D17" i="12" s="1"/>
  <c r="D22" i="12" s="1"/>
  <c r="C17" i="12"/>
  <c r="C22" i="12" s="1"/>
  <c r="B46" i="4"/>
  <c r="E15" i="4"/>
  <c r="E16" i="4" l="1"/>
  <c r="E17" i="4"/>
  <c r="E18" i="4"/>
  <c r="E20" i="4" s="1"/>
  <c r="D23" i="12"/>
  <c r="B46" i="15"/>
  <c r="E15" i="15"/>
  <c r="E38" i="4"/>
  <c r="E39" i="4" s="1"/>
  <c r="B47" i="4"/>
  <c r="E38" i="15" l="1"/>
  <c r="B47" i="15"/>
  <c r="D40" i="15" s="1"/>
  <c r="E35" i="15" s="1"/>
  <c r="E16" i="15"/>
  <c r="E17" i="15"/>
  <c r="E18" i="15" s="1"/>
  <c r="E20" i="15" s="1"/>
  <c r="E36" i="15" l="1"/>
  <c r="E37" i="15"/>
  <c r="E39" i="15" s="1"/>
</calcChain>
</file>

<file path=xl/sharedStrings.xml><?xml version="1.0" encoding="utf-8"?>
<sst xmlns="http://schemas.openxmlformats.org/spreadsheetml/2006/main" count="502" uniqueCount="286">
  <si>
    <t>Solución con Teoría de Restricciones</t>
  </si>
  <si>
    <t>Solución con Programación Lineal</t>
  </si>
  <si>
    <t>Productos</t>
  </si>
  <si>
    <t>X1 = unidades de M a producir</t>
  </si>
  <si>
    <t>Máquinas</t>
  </si>
  <si>
    <t>M</t>
  </si>
  <si>
    <t>N</t>
  </si>
  <si>
    <t>Carga</t>
  </si>
  <si>
    <t>T disponible</t>
  </si>
  <si>
    <t>% de Carga</t>
  </si>
  <si>
    <t>X2 = unidades de N a producir</t>
  </si>
  <si>
    <t>A</t>
  </si>
  <si>
    <t>B</t>
  </si>
  <si>
    <t>Cuello de Botella</t>
  </si>
  <si>
    <t>FO Max Z = 90X1 + 120X2</t>
  </si>
  <si>
    <t>C</t>
  </si>
  <si>
    <t>Sujeto a :</t>
  </si>
  <si>
    <t>Disponible</t>
  </si>
  <si>
    <t>20X1 + 0X2</t>
  </si>
  <si>
    <t>≤</t>
  </si>
  <si>
    <t>A) La limitación de esta planta la máquina B ya que su capacidad es menor a la demanda.</t>
  </si>
  <si>
    <t>15X1 + 30X2</t>
  </si>
  <si>
    <t>15X1 + 15 X2</t>
  </si>
  <si>
    <t>Xi</t>
  </si>
  <si>
    <t>≥</t>
  </si>
  <si>
    <t>Precio Venta</t>
  </si>
  <si>
    <t>Costo Materiales</t>
  </si>
  <si>
    <t>Margen de UT</t>
  </si>
  <si>
    <t>Tcb</t>
  </si>
  <si>
    <t>Throughput</t>
  </si>
  <si>
    <t>B y C) Fabricar todo lo que se pueda del producto con el mayor throughput y del otro lo que alcanze en el CB</t>
  </si>
  <si>
    <t>Calculo mezcla de producción</t>
  </si>
  <si>
    <t>Producto</t>
  </si>
  <si>
    <t>Cantidad a fabricar</t>
  </si>
  <si>
    <t>Estado de Resultados</t>
  </si>
  <si>
    <t>Ut bruta</t>
  </si>
  <si>
    <t>Gasto de Op</t>
  </si>
  <si>
    <t>UAII</t>
  </si>
  <si>
    <t>Ciclo en Minutos</t>
  </si>
  <si>
    <t>Elemento</t>
  </si>
  <si>
    <t>Desempeño</t>
  </si>
  <si>
    <t>Preparar los reportes diarios</t>
  </si>
  <si>
    <t>Resultados de las fotocopias</t>
  </si>
  <si>
    <t>Etiquetar y empacar los reportes</t>
  </si>
  <si>
    <t>Distribuir los reportes</t>
  </si>
  <si>
    <t>Tc</t>
  </si>
  <si>
    <t>Tn</t>
  </si>
  <si>
    <t>Tstd</t>
  </si>
  <si>
    <t>Concesión</t>
  </si>
  <si>
    <t>Nivel de confianza</t>
  </si>
  <si>
    <t>Exactitud</t>
  </si>
  <si>
    <t>Desv std</t>
  </si>
  <si>
    <t>n</t>
  </si>
  <si>
    <t>R/ Se necesitan 5 ciclos más.</t>
  </si>
  <si>
    <t>Periodo</t>
  </si>
  <si>
    <t>Demanda</t>
  </si>
  <si>
    <t>Inv Inicial</t>
  </si>
  <si>
    <t>Plan de Producción</t>
  </si>
  <si>
    <t>Despacho</t>
  </si>
  <si>
    <t>Inv Final</t>
  </si>
  <si>
    <t>Planilla</t>
  </si>
  <si>
    <t>Enero</t>
  </si>
  <si>
    <t>Febrero</t>
  </si>
  <si>
    <t>Marzo</t>
  </si>
  <si>
    <t>Inv de Seguridad</t>
  </si>
  <si>
    <t>AQL</t>
  </si>
  <si>
    <t>PNCT-S</t>
  </si>
  <si>
    <t>Múltiplo</t>
  </si>
  <si>
    <t>PNCT-U</t>
  </si>
  <si>
    <t>Merma en T</t>
  </si>
  <si>
    <t>Componente T</t>
  </si>
  <si>
    <t>Componente S</t>
  </si>
  <si>
    <t>Plan Producción</t>
  </si>
  <si>
    <t>Plan de Compras</t>
  </si>
  <si>
    <t>PNCT</t>
  </si>
  <si>
    <t>Merma</t>
  </si>
  <si>
    <t>PNM</t>
  </si>
  <si>
    <t>F pedido</t>
  </si>
  <si>
    <t xml:space="preserve"> --</t>
  </si>
  <si>
    <t>PNM1 - 3A</t>
  </si>
  <si>
    <t>PNM1 - 2A+4B</t>
  </si>
  <si>
    <t>Fp0</t>
  </si>
  <si>
    <t>PNM2 - 3A</t>
  </si>
  <si>
    <t>PNM2 - 2A+4B</t>
  </si>
  <si>
    <t>Fp1</t>
  </si>
  <si>
    <t>PNM3 - 3A</t>
  </si>
  <si>
    <t>PNM3 - 2A+4B</t>
  </si>
  <si>
    <t>Fp2</t>
  </si>
  <si>
    <t>Componente U</t>
  </si>
  <si>
    <t>PNM0 - 5T</t>
  </si>
  <si>
    <t>Fp-1</t>
  </si>
  <si>
    <t>PNM1 - 5T</t>
  </si>
  <si>
    <t>Fp-0</t>
  </si>
  <si>
    <t>PNM2 - 5T</t>
  </si>
  <si>
    <t>X</t>
    <phoneticPr fontId="0" type="noConversion"/>
  </si>
  <si>
    <t>Y</t>
    <phoneticPr fontId="0" type="noConversion"/>
  </si>
  <si>
    <t>Z</t>
    <phoneticPr fontId="0" type="noConversion"/>
  </si>
  <si>
    <t>Carga</t>
    <phoneticPr fontId="0" type="noConversion"/>
  </si>
  <si>
    <t>Disponible</t>
    <phoneticPr fontId="0" type="noConversion"/>
  </si>
  <si>
    <t>% Carga</t>
    <phoneticPr fontId="0" type="noConversion"/>
  </si>
  <si>
    <t>A1</t>
    <phoneticPr fontId="0" type="noConversion"/>
  </si>
  <si>
    <t>A2</t>
    <phoneticPr fontId="0" type="noConversion"/>
  </si>
  <si>
    <t>A3</t>
    <phoneticPr fontId="0" type="noConversion"/>
  </si>
  <si>
    <t>B1</t>
    <phoneticPr fontId="0" type="noConversion"/>
  </si>
  <si>
    <t>B2</t>
    <phoneticPr fontId="0" type="noConversion"/>
  </si>
  <si>
    <t>B3</t>
    <phoneticPr fontId="0" type="noConversion"/>
  </si>
  <si>
    <t>B4</t>
    <phoneticPr fontId="0" type="noConversion"/>
  </si>
  <si>
    <t>X</t>
  </si>
  <si>
    <t>Y</t>
  </si>
  <si>
    <t>Z</t>
  </si>
  <si>
    <t>PV</t>
  </si>
  <si>
    <t>CMP</t>
  </si>
  <si>
    <t>UB</t>
  </si>
  <si>
    <t>Throughtput</t>
  </si>
  <si>
    <t>Mezcla</t>
  </si>
  <si>
    <t>5X</t>
  </si>
  <si>
    <t>2Y</t>
  </si>
  <si>
    <t>1Z</t>
  </si>
  <si>
    <t>CD</t>
  </si>
  <si>
    <t>Unidades</t>
  </si>
  <si>
    <t>Ingresos</t>
  </si>
  <si>
    <t>Costos</t>
  </si>
  <si>
    <t>G Operación</t>
  </si>
  <si>
    <t>Capacidad disponible</t>
    <phoneticPr fontId="0" type="noConversion"/>
  </si>
  <si>
    <t>Gastos de operación</t>
    <phoneticPr fontId="0" type="noConversion"/>
  </si>
  <si>
    <t>Demanda</t>
    <phoneticPr fontId="0" type="noConversion"/>
  </si>
  <si>
    <t>Máquinas</t>
    <phoneticPr fontId="0" type="noConversion"/>
  </si>
  <si>
    <t>P</t>
    <phoneticPr fontId="0" type="noConversion"/>
  </si>
  <si>
    <t>Q</t>
    <phoneticPr fontId="0" type="noConversion"/>
  </si>
  <si>
    <t>M1</t>
    <phoneticPr fontId="0" type="noConversion"/>
  </si>
  <si>
    <t>M2</t>
    <phoneticPr fontId="0" type="noConversion"/>
  </si>
  <si>
    <t>M3</t>
    <phoneticPr fontId="0" type="noConversion"/>
  </si>
  <si>
    <t>M4</t>
    <phoneticPr fontId="0" type="noConversion"/>
  </si>
  <si>
    <t>Producto</t>
    <phoneticPr fontId="0" type="noConversion"/>
  </si>
  <si>
    <t>Precio</t>
    <phoneticPr fontId="0" type="noConversion"/>
  </si>
  <si>
    <t>CMP</t>
    <phoneticPr fontId="0" type="noConversion"/>
  </si>
  <si>
    <t>M contribución</t>
    <phoneticPr fontId="0" type="noConversion"/>
  </si>
  <si>
    <t>T cuello de botella</t>
    <phoneticPr fontId="0" type="noConversion"/>
  </si>
  <si>
    <t>Throughput</t>
    <phoneticPr fontId="0" type="noConversion"/>
  </si>
  <si>
    <t>Con Margen de Contribución</t>
    <phoneticPr fontId="0" type="noConversion"/>
  </si>
  <si>
    <t>Estado de Resultados</t>
    <phoneticPr fontId="0" type="noConversion"/>
  </si>
  <si>
    <t>U bruta</t>
    <phoneticPr fontId="0" type="noConversion"/>
  </si>
  <si>
    <t>Gastos Op</t>
    <phoneticPr fontId="0" type="noConversion"/>
  </si>
  <si>
    <t>UAII</t>
    <phoneticPr fontId="0" type="noConversion"/>
  </si>
  <si>
    <t>P =</t>
    <phoneticPr fontId="0" type="noConversion"/>
  </si>
  <si>
    <t>Mezcla final</t>
    <phoneticPr fontId="0" type="noConversion"/>
  </si>
  <si>
    <t>Q =</t>
    <phoneticPr fontId="0" type="noConversion"/>
  </si>
  <si>
    <t>Con Throughput</t>
    <phoneticPr fontId="0" type="noConversion"/>
  </si>
  <si>
    <t>Factor de Conseción</t>
    <phoneticPr fontId="0" type="noConversion"/>
  </si>
  <si>
    <t>Nivel de confianza</t>
    <phoneticPr fontId="0" type="noConversion"/>
  </si>
  <si>
    <t>Exactitud</t>
    <phoneticPr fontId="0" type="noConversion"/>
  </si>
  <si>
    <t>Tasa de Desempeño</t>
  </si>
  <si>
    <t>Asir y colocar el costal</t>
  </si>
  <si>
    <t>Llenar el costal</t>
  </si>
  <si>
    <t>112*</t>
  </si>
  <si>
    <t>Sellar el costal</t>
  </si>
  <si>
    <t>Colocar el costal en la banda transportadora</t>
  </si>
  <si>
    <t>35**</t>
  </si>
  <si>
    <t>Tc</t>
    <phoneticPr fontId="0" type="noConversion"/>
  </si>
  <si>
    <t>Tn</t>
    <phoneticPr fontId="0" type="noConversion"/>
  </si>
  <si>
    <t>Tstd</t>
    <phoneticPr fontId="0" type="noConversion"/>
  </si>
  <si>
    <t>Muestras</t>
    <phoneticPr fontId="0" type="noConversion"/>
  </si>
  <si>
    <t>σ</t>
    <phoneticPr fontId="0" type="noConversion"/>
  </si>
  <si>
    <t>n</t>
    <phoneticPr fontId="0" type="noConversion"/>
  </si>
  <si>
    <t>Día</t>
  </si>
  <si>
    <t>Número de veces que el empleado está ocupado</t>
  </si>
  <si>
    <t>Número de veces que el empleado está ocioso</t>
  </si>
  <si>
    <t>Número total de observaciones</t>
  </si>
  <si>
    <t>% de tiempo Ocioso</t>
  </si>
  <si>
    <t>Lunes</t>
  </si>
  <si>
    <t>Martes</t>
  </si>
  <si>
    <t>Miércoles</t>
  </si>
  <si>
    <t>Jueves</t>
  </si>
  <si>
    <t>Viernes</t>
  </si>
  <si>
    <t>Sábado</t>
  </si>
  <si>
    <t>Factor de Concesión =</t>
  </si>
  <si>
    <t>Se fabricó un total de =</t>
  </si>
  <si>
    <t>Tiempo total del estudio =</t>
  </si>
  <si>
    <t>Evaluación del desempeño =</t>
  </si>
  <si>
    <t>Tiempo normal =</t>
  </si>
  <si>
    <t>Tiempo estándar =</t>
  </si>
  <si>
    <t>UNIVERSIDAD DE COSTA RICA</t>
  </si>
  <si>
    <t>FACULTAD DE CIENCIAS ECONÓMICAS</t>
  </si>
  <si>
    <t>ESCUELA DE ADMINISTRACIÓN DE NEGOCIOS</t>
  </si>
  <si>
    <t>Producto A</t>
    <phoneticPr fontId="0" type="noConversion"/>
  </si>
  <si>
    <t>Mes</t>
  </si>
  <si>
    <t>Inventario Inicial</t>
  </si>
  <si>
    <t>Aumento transitorio</t>
    <phoneticPr fontId="0" type="noConversion"/>
  </si>
  <si>
    <t>Inventario Final</t>
  </si>
  <si>
    <t>Mantenimiento del inventario</t>
  </si>
  <si>
    <t>Contratación - Despido</t>
  </si>
  <si>
    <t>Tiempo extra</t>
  </si>
  <si>
    <t>Pedidos no Servidos</t>
  </si>
  <si>
    <t>Planilla actual</t>
  </si>
  <si>
    <t>Planilla nueva</t>
  </si>
  <si>
    <t>Producción por empleado</t>
  </si>
  <si>
    <t>Plan de producción promedio</t>
    <phoneticPr fontId="0" type="noConversion"/>
  </si>
  <si>
    <t>Capacidad + tiempo extra</t>
  </si>
  <si>
    <t>Costo de conservación</t>
    <phoneticPr fontId="0" type="noConversion"/>
  </si>
  <si>
    <t>Costo despido-contratación</t>
    <phoneticPr fontId="0" type="noConversion"/>
  </si>
  <si>
    <t>Costo tiempo normal</t>
    <phoneticPr fontId="0" type="noConversion"/>
  </si>
  <si>
    <t>Costo tiempo extra</t>
    <phoneticPr fontId="0" type="noConversion"/>
  </si>
  <si>
    <t>Costo pedidos no servidos</t>
    <phoneticPr fontId="0" type="noConversion"/>
  </si>
  <si>
    <t>AQL-X</t>
  </si>
  <si>
    <t>PNCT-W</t>
  </si>
  <si>
    <t>MERMA</t>
  </si>
  <si>
    <t>Componente Y</t>
  </si>
  <si>
    <t>Componente X</t>
  </si>
  <si>
    <t>Componente W</t>
  </si>
  <si>
    <t>PNM0 - 3Y</t>
  </si>
  <si>
    <t>MPS y  CRP Global con Nivelación con Horas Extra</t>
  </si>
  <si>
    <t>MPS y  CRP Global con Persecución con Horas Extra</t>
  </si>
  <si>
    <t>Costo Total con Inventario final</t>
  </si>
  <si>
    <t>Minutos por Ciclo</t>
  </si>
  <si>
    <t>Tiempo Normal</t>
  </si>
  <si>
    <t>Tiempo Estándar</t>
  </si>
  <si>
    <t>Factor de Concesión</t>
  </si>
  <si>
    <t>Cuello de Botella=M2</t>
  </si>
  <si>
    <t>MC</t>
  </si>
  <si>
    <t>TCB</t>
  </si>
  <si>
    <t>TPT</t>
  </si>
  <si>
    <t>P</t>
  </si>
  <si>
    <t>Q</t>
  </si>
  <si>
    <t>Hacer el máximo de P.</t>
  </si>
  <si>
    <t>P=100 unidades</t>
  </si>
  <si>
    <t>Tiempo sobrante:</t>
  </si>
  <si>
    <t>minutos</t>
  </si>
  <si>
    <t>Unidades de Q por fabricar:</t>
  </si>
  <si>
    <t>Mezcla Final</t>
  </si>
  <si>
    <t>Utilidad Máxima</t>
  </si>
  <si>
    <t>Gastos</t>
  </si>
  <si>
    <t>Utilidad</t>
  </si>
  <si>
    <t>PNM1 - 1A+3B</t>
  </si>
  <si>
    <t>PNM1 -2 A+B</t>
  </si>
  <si>
    <t>Q</t>
    <phoneticPr fontId="0" type="noConversion"/>
  </si>
  <si>
    <t>W</t>
    <phoneticPr fontId="0" type="noConversion"/>
  </si>
  <si>
    <t>Z</t>
    <phoneticPr fontId="0" type="noConversion"/>
  </si>
  <si>
    <t>% Carga</t>
    <phoneticPr fontId="0" type="noConversion"/>
  </si>
  <si>
    <t>M1</t>
    <phoneticPr fontId="0" type="noConversion"/>
  </si>
  <si>
    <t>P VENTA</t>
    <phoneticPr fontId="0" type="noConversion"/>
  </si>
  <si>
    <t>M2</t>
    <phoneticPr fontId="0" type="noConversion"/>
  </si>
  <si>
    <t>CMP</t>
    <phoneticPr fontId="0" type="noConversion"/>
  </si>
  <si>
    <t>M3</t>
    <phoneticPr fontId="0" type="noConversion"/>
  </si>
  <si>
    <t>MC</t>
    <phoneticPr fontId="0" type="noConversion"/>
  </si>
  <si>
    <t>M4</t>
    <phoneticPr fontId="0" type="noConversion"/>
  </si>
  <si>
    <t>TCb</t>
    <phoneticPr fontId="0" type="noConversion"/>
  </si>
  <si>
    <t>Throughput</t>
    <phoneticPr fontId="0" type="noConversion"/>
  </si>
  <si>
    <t>M1</t>
  </si>
  <si>
    <t>M2</t>
  </si>
  <si>
    <t>M3</t>
  </si>
  <si>
    <t>M4</t>
  </si>
  <si>
    <t>--</t>
  </si>
  <si>
    <t>a)</t>
  </si>
  <si>
    <t>Disponible</t>
    <phoneticPr fontId="0" type="noConversion"/>
  </si>
  <si>
    <t>W</t>
  </si>
  <si>
    <t>X =</t>
    <phoneticPr fontId="0" type="noConversion"/>
  </si>
  <si>
    <t>M</t>
    <phoneticPr fontId="0" type="noConversion"/>
  </si>
  <si>
    <t>N</t>
    <phoneticPr fontId="0" type="noConversion"/>
  </si>
  <si>
    <t>Ingresos</t>
    <phoneticPr fontId="0" type="noConversion"/>
  </si>
  <si>
    <t>U Bruta</t>
    <phoneticPr fontId="0" type="noConversion"/>
  </si>
  <si>
    <t>G operación</t>
    <phoneticPr fontId="0" type="noConversion"/>
  </si>
  <si>
    <t>UAII</t>
    <phoneticPr fontId="0" type="noConversion"/>
  </si>
  <si>
    <t>b)</t>
  </si>
  <si>
    <t>G operación</t>
  </si>
  <si>
    <t>Máquina</t>
  </si>
  <si>
    <t>D</t>
  </si>
  <si>
    <t>E</t>
  </si>
  <si>
    <t>Carga Mensual</t>
  </si>
  <si>
    <t>% Carga</t>
  </si>
  <si>
    <t>m1</t>
  </si>
  <si>
    <t>m2</t>
  </si>
  <si>
    <t>m3</t>
  </si>
  <si>
    <t>m4</t>
  </si>
  <si>
    <t>m5</t>
  </si>
  <si>
    <t>m6</t>
  </si>
  <si>
    <t>m7</t>
  </si>
  <si>
    <t>m8</t>
  </si>
  <si>
    <t>Precio</t>
  </si>
  <si>
    <t>U Bruta</t>
  </si>
  <si>
    <t>Troughput</t>
  </si>
  <si>
    <t>Ventas</t>
  </si>
  <si>
    <t>U bruta</t>
  </si>
  <si>
    <t>G. Operaciones</t>
  </si>
  <si>
    <t>Recorte por demanda</t>
  </si>
  <si>
    <t>X1</t>
  </si>
  <si>
    <t>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</si>
</sst>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"/>
    <numFmt numFmtId="165" formatCode="0.000"/>
    <numFmt numFmtId="166" formatCode="&quot;$&quot;#,##0.00"/>
    <numFmt numFmtId="168" formatCode="&quot;C&quot;#,##0_);[Red]\(&quot;C&quot;#,##0\)"/>
    <numFmt numFmtId="169" formatCode="[$$-409]#,##0"/>
    <numFmt numFmtId="170" formatCode="[$$-409]#,##0.00"/>
    <numFmt numFmtId="171" formatCode="0.0%"/>
    <numFmt numFmtId="172" formatCode="[$$-409]#,##0.0"/>
    <numFmt numFmtId="173" formatCode="_-* #,##0.00\ _€_-;\-* #,##0.00\ _€_-;_-* &quot;-&quot;??\ _€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scheme val="minor"/>
    </font>
    <font>
      <sz val="12"/>
      <color theme="1"/>
      <name val="Calibri"/>
      <family val="2"/>
    </font>
    <font>
      <sz val="11"/>
      <color theme="1"/>
      <name val="Times New Roman"/>
    </font>
    <font>
      <b/>
      <sz val="11"/>
      <color theme="1"/>
      <name val="Times New Roman"/>
    </font>
    <font>
      <sz val="10"/>
      <name val="Verdana"/>
    </font>
    <font>
      <b/>
      <sz val="10"/>
      <name val="Verdana"/>
    </font>
    <font>
      <sz val="10"/>
      <name val="Arial"/>
    </font>
    <font>
      <b/>
      <sz val="10"/>
      <color indexed="10"/>
      <name val="Arial"/>
      <family val="2"/>
    </font>
    <font>
      <b/>
      <sz val="10"/>
      <name val="Arial"/>
    </font>
    <font>
      <b/>
      <sz val="12"/>
      <name val="Times New Roman"/>
    </font>
    <font>
      <sz val="10"/>
      <color indexed="12"/>
      <name val="Arial"/>
      <family val="2"/>
    </font>
    <font>
      <sz val="12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Down="1">
      <left/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/>
    <xf numFmtId="173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0" fontId="2" fillId="2" borderId="5" xfId="0" applyFont="1" applyFill="1" applyBorder="1"/>
    <xf numFmtId="0" fontId="4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5" fillId="0" borderId="0" xfId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7" fillId="0" borderId="0" xfId="2"/>
    <xf numFmtId="166" fontId="7" fillId="0" borderId="0" xfId="2" applyNumberFormat="1"/>
    <xf numFmtId="0" fontId="8" fillId="0" borderId="0" xfId="2" applyFont="1" applyAlignment="1">
      <alignment horizontal="center"/>
    </xf>
    <xf numFmtId="1" fontId="7" fillId="0" borderId="0" xfId="2" applyNumberFormat="1"/>
    <xf numFmtId="10" fontId="7" fillId="0" borderId="0" xfId="2" applyNumberFormat="1"/>
    <xf numFmtId="0" fontId="7" fillId="3" borderId="0" xfId="2" applyFill="1"/>
    <xf numFmtId="0" fontId="7" fillId="0" borderId="0" xfId="2" applyAlignment="1">
      <alignment horizontal="right"/>
    </xf>
    <xf numFmtId="0" fontId="7" fillId="0" borderId="0" xfId="2" applyAlignment="1">
      <alignment horizontal="center"/>
    </xf>
    <xf numFmtId="2" fontId="7" fillId="0" borderId="0" xfId="2" applyNumberFormat="1" applyAlignment="1">
      <alignment horizontal="center"/>
    </xf>
    <xf numFmtId="168" fontId="7" fillId="4" borderId="0" xfId="2" applyNumberFormat="1" applyFill="1" applyAlignment="1">
      <alignment horizontal="center"/>
    </xf>
    <xf numFmtId="0" fontId="7" fillId="4" borderId="0" xfId="2" applyFill="1" applyAlignment="1">
      <alignment horizontal="center"/>
    </xf>
    <xf numFmtId="2" fontId="7" fillId="4" borderId="0" xfId="2" applyNumberFormat="1" applyFill="1" applyAlignment="1">
      <alignment horizontal="center"/>
    </xf>
    <xf numFmtId="168" fontId="7" fillId="0" borderId="0" xfId="2" applyNumberFormat="1" applyAlignment="1">
      <alignment horizontal="center"/>
    </xf>
    <xf numFmtId="0" fontId="7" fillId="0" borderId="0" xfId="2" applyFill="1" applyAlignment="1">
      <alignment horizontal="center"/>
    </xf>
    <xf numFmtId="1" fontId="7" fillId="0" borderId="0" xfId="2" applyNumberFormat="1" applyAlignment="1">
      <alignment horizontal="center"/>
    </xf>
    <xf numFmtId="4" fontId="7" fillId="0" borderId="0" xfId="2" applyNumberFormat="1"/>
    <xf numFmtId="0" fontId="9" fillId="0" borderId="0" xfId="3"/>
    <xf numFmtId="1" fontId="9" fillId="0" borderId="0" xfId="3" applyNumberFormat="1"/>
    <xf numFmtId="169" fontId="9" fillId="0" borderId="0" xfId="3" applyNumberFormat="1"/>
    <xf numFmtId="0" fontId="9" fillId="0" borderId="0" xfId="3" applyAlignment="1">
      <alignment horizontal="center"/>
    </xf>
    <xf numFmtId="1" fontId="9" fillId="0" borderId="0" xfId="3" applyNumberFormat="1" applyAlignment="1">
      <alignment horizontal="center"/>
    </xf>
    <xf numFmtId="2" fontId="9" fillId="0" borderId="0" xfId="3" applyNumberFormat="1" applyAlignment="1">
      <alignment horizontal="center"/>
    </xf>
    <xf numFmtId="1" fontId="9" fillId="0" borderId="11" xfId="3" applyNumberFormat="1" applyBorder="1" applyAlignment="1">
      <alignment horizontal="center"/>
    </xf>
    <xf numFmtId="1" fontId="9" fillId="0" borderId="0" xfId="3" applyNumberFormat="1" applyBorder="1" applyAlignment="1">
      <alignment horizontal="center"/>
    </xf>
    <xf numFmtId="9" fontId="9" fillId="0" borderId="0" xfId="3" applyNumberFormat="1" applyAlignment="1">
      <alignment horizontal="center"/>
    </xf>
    <xf numFmtId="9" fontId="9" fillId="0" borderId="0" xfId="3" applyNumberFormat="1"/>
    <xf numFmtId="2" fontId="9" fillId="0" borderId="0" xfId="3" applyNumberFormat="1"/>
    <xf numFmtId="0" fontId="0" fillId="0" borderId="0" xfId="0" applyAlignment="1">
      <alignment horizontal="center" wrapText="1"/>
    </xf>
    <xf numFmtId="9" fontId="1" fillId="0" borderId="0" xfId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0" fillId="0" borderId="0" xfId="0" applyFont="1"/>
    <xf numFmtId="0" fontId="11" fillId="0" borderId="0" xfId="0" applyFont="1"/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3" fillId="5" borderId="7" xfId="0" applyFont="1" applyFill="1" applyBorder="1"/>
    <xf numFmtId="0" fontId="13" fillId="5" borderId="7" xfId="0" applyFont="1" applyFill="1" applyBorder="1" applyAlignment="1">
      <alignment horizontal="center"/>
    </xf>
    <xf numFmtId="170" fontId="0" fillId="0" borderId="7" xfId="0" applyNumberFormat="1" applyBorder="1" applyAlignment="1">
      <alignment horizontal="center"/>
    </xf>
    <xf numFmtId="170" fontId="0" fillId="0" borderId="0" xfId="0" applyNumberFormat="1"/>
    <xf numFmtId="170" fontId="0" fillId="0" borderId="0" xfId="0" applyNumberFormat="1" applyBorder="1" applyAlignment="1">
      <alignment horizontal="center"/>
    </xf>
    <xf numFmtId="0" fontId="0" fillId="0" borderId="0" xfId="0" applyFill="1" applyBorder="1"/>
    <xf numFmtId="171" fontId="1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0" fontId="0" fillId="0" borderId="0" xfId="0" applyNumberFormat="1"/>
    <xf numFmtId="0" fontId="0" fillId="3" borderId="0" xfId="0" applyFill="1"/>
    <xf numFmtId="1" fontId="0" fillId="0" borderId="0" xfId="0" applyNumberFormat="1"/>
    <xf numFmtId="0" fontId="0" fillId="0" borderId="0" xfId="0" applyAlignment="1">
      <alignment horizontal="right"/>
    </xf>
    <xf numFmtId="165" fontId="0" fillId="0" borderId="7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9" fontId="7" fillId="0" borderId="0" xfId="2" applyNumberFormat="1" applyAlignment="1">
      <alignment horizontal="center"/>
    </xf>
    <xf numFmtId="170" fontId="7" fillId="0" borderId="0" xfId="2" applyNumberFormat="1" applyAlignment="1">
      <alignment horizontal="center"/>
    </xf>
    <xf numFmtId="0" fontId="14" fillId="0" borderId="0" xfId="2" applyFont="1" applyFill="1" applyBorder="1" applyAlignment="1">
      <alignment horizontal="center" vertical="top" wrapText="1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9" fillId="0" borderId="0" xfId="3" applyNumberFormat="1" applyAlignment="1">
      <alignment horizontal="center"/>
    </xf>
    <xf numFmtId="0" fontId="9" fillId="2" borderId="0" xfId="3" applyFill="1" applyAlignment="1">
      <alignment horizontal="center"/>
    </xf>
    <xf numFmtId="10" fontId="9" fillId="2" borderId="0" xfId="3" applyNumberFormat="1" applyFill="1" applyAlignment="1">
      <alignment horizontal="center"/>
    </xf>
    <xf numFmtId="0" fontId="9" fillId="0" borderId="7" xfId="3" applyBorder="1" applyAlignment="1">
      <alignment horizontal="left"/>
    </xf>
    <xf numFmtId="4" fontId="9" fillId="0" borderId="7" xfId="3" applyNumberFormat="1" applyBorder="1" applyAlignment="1">
      <alignment horizontal="right"/>
    </xf>
    <xf numFmtId="170" fontId="9" fillId="0" borderId="7" xfId="3" applyNumberFormat="1" applyBorder="1" applyAlignment="1">
      <alignment horizontal="right"/>
    </xf>
    <xf numFmtId="0" fontId="0" fillId="0" borderId="12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9" fillId="0" borderId="0" xfId="3" applyAlignment="1">
      <alignment horizontal="center"/>
    </xf>
    <xf numFmtId="0" fontId="0" fillId="0" borderId="0" xfId="0" applyAlignment="1">
      <alignment horizontal="center"/>
    </xf>
    <xf numFmtId="0" fontId="9" fillId="0" borderId="7" xfId="3" applyBorder="1" applyAlignment="1">
      <alignment horizontal="center"/>
    </xf>
  </cellXfs>
  <cellStyles count="11">
    <cellStyle name="Comma 2" xfId="4" xr:uid="{00000000-0005-0000-0000-000000000000}"/>
    <cellStyle name="Followed Hyperlink" xfId="6" builtinId="9" hidden="1"/>
    <cellStyle name="Followed Hyperlink" xfId="8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 xr:uid="{00000000-0005-0000-0000-000008000000}"/>
    <cellStyle name="Normal 3" xfId="3" xr:uid="{00000000-0005-0000-0000-000009000000}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3"/>
  <sheetViews>
    <sheetView tabSelected="1" workbookViewId="0">
      <selection activeCell="C26" sqref="C26"/>
    </sheetView>
  </sheetViews>
  <sheetFormatPr baseColWidth="10" defaultRowHeight="16"/>
  <cols>
    <col min="1" max="1" width="4.1640625" customWidth="1"/>
    <col min="2" max="2" width="15" customWidth="1"/>
    <col min="8" max="8" width="21.33203125" customWidth="1"/>
    <col min="13" max="13" width="3.6640625" customWidth="1"/>
    <col min="14" max="14" width="6.6640625" customWidth="1"/>
    <col min="15" max="15" width="20.33203125" customWidth="1"/>
  </cols>
  <sheetData>
    <row r="1" spans="2:15">
      <c r="B1" s="103" t="s">
        <v>0</v>
      </c>
      <c r="C1" s="104"/>
      <c r="D1" s="104"/>
      <c r="E1" s="104"/>
      <c r="F1" s="104"/>
      <c r="G1" s="104"/>
      <c r="H1" s="105"/>
      <c r="K1" s="103" t="s">
        <v>1</v>
      </c>
      <c r="L1" s="104"/>
      <c r="M1" s="104"/>
      <c r="N1" s="104"/>
      <c r="O1" s="105"/>
    </row>
    <row r="2" spans="2:15">
      <c r="B2" s="106"/>
      <c r="C2" s="107"/>
      <c r="D2" s="107"/>
      <c r="E2" s="107"/>
      <c r="F2" s="107"/>
      <c r="G2" s="107"/>
      <c r="H2" s="108"/>
      <c r="K2" s="106"/>
      <c r="L2" s="107"/>
      <c r="M2" s="107"/>
      <c r="N2" s="107"/>
      <c r="O2" s="108"/>
    </row>
    <row r="3" spans="2:15">
      <c r="B3" s="106"/>
      <c r="C3" s="107"/>
      <c r="D3" s="107"/>
      <c r="E3" s="107"/>
      <c r="F3" s="107"/>
      <c r="G3" s="107"/>
      <c r="H3" s="108"/>
      <c r="K3" s="106"/>
      <c r="L3" s="107"/>
      <c r="M3" s="107"/>
      <c r="N3" s="107"/>
      <c r="O3" s="108"/>
    </row>
    <row r="4" spans="2:15">
      <c r="B4" s="1"/>
      <c r="C4" s="109" t="s">
        <v>2</v>
      </c>
      <c r="D4" s="109"/>
      <c r="E4" s="2"/>
      <c r="F4" s="2"/>
      <c r="G4" s="2"/>
      <c r="H4" s="3"/>
      <c r="K4" s="1"/>
      <c r="L4" s="2"/>
      <c r="M4" s="2"/>
      <c r="N4" s="2"/>
      <c r="O4" s="3"/>
    </row>
    <row r="5" spans="2:15">
      <c r="B5" s="1"/>
      <c r="C5" s="4">
        <v>100</v>
      </c>
      <c r="D5" s="4">
        <v>50</v>
      </c>
      <c r="E5" s="2"/>
      <c r="F5" s="2"/>
      <c r="G5" s="2"/>
      <c r="H5" s="3"/>
      <c r="K5" s="1" t="s">
        <v>3</v>
      </c>
      <c r="L5" s="2"/>
      <c r="M5" s="2"/>
      <c r="N5" s="2"/>
      <c r="O5" s="3"/>
    </row>
    <row r="6" spans="2:15">
      <c r="B6" s="5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3"/>
      <c r="K6" s="1" t="s">
        <v>10</v>
      </c>
      <c r="L6" s="2"/>
      <c r="M6" s="2"/>
      <c r="N6" s="2"/>
      <c r="O6" s="3"/>
    </row>
    <row r="7" spans="2:15">
      <c r="B7" s="5" t="s">
        <v>11</v>
      </c>
      <c r="C7" s="4">
        <v>20</v>
      </c>
      <c r="D7" s="4">
        <v>0</v>
      </c>
      <c r="E7" s="4">
        <f>+(C7*$C$5)+(D7*$D$5)</f>
        <v>2000</v>
      </c>
      <c r="F7" s="4">
        <v>2400</v>
      </c>
      <c r="G7" s="6">
        <f>+E7/F7</f>
        <v>0.83333333333333337</v>
      </c>
      <c r="H7" s="3"/>
      <c r="K7" s="1"/>
      <c r="L7" s="2"/>
      <c r="M7" s="2"/>
      <c r="N7" s="2"/>
      <c r="O7" s="3"/>
    </row>
    <row r="8" spans="2:15">
      <c r="B8" s="7" t="s">
        <v>12</v>
      </c>
      <c r="C8" s="8">
        <v>15</v>
      </c>
      <c r="D8" s="8">
        <v>30</v>
      </c>
      <c r="E8" s="8">
        <f>+(C8*$C$5)+(D8*$D$5)</f>
        <v>3000</v>
      </c>
      <c r="F8" s="8">
        <v>2400</v>
      </c>
      <c r="G8" s="9">
        <f t="shared" ref="G8:G9" si="0">+E8/F8</f>
        <v>1.25</v>
      </c>
      <c r="H8" s="10" t="s">
        <v>13</v>
      </c>
      <c r="K8" s="1" t="s">
        <v>14</v>
      </c>
      <c r="L8" s="2"/>
      <c r="M8" s="2"/>
      <c r="N8" s="2"/>
      <c r="O8" s="3"/>
    </row>
    <row r="9" spans="2:15">
      <c r="B9" s="5" t="s">
        <v>15</v>
      </c>
      <c r="C9" s="4">
        <v>15</v>
      </c>
      <c r="D9" s="4">
        <v>15</v>
      </c>
      <c r="E9" s="4">
        <f>+(C9*$C$5)+(D9*$D$5)</f>
        <v>2250</v>
      </c>
      <c r="F9" s="4">
        <v>2400</v>
      </c>
      <c r="G9" s="6">
        <f t="shared" si="0"/>
        <v>0.9375</v>
      </c>
      <c r="H9" s="3"/>
      <c r="K9" s="1" t="s">
        <v>16</v>
      </c>
      <c r="L9" s="2"/>
      <c r="M9" s="2"/>
      <c r="N9" s="2"/>
      <c r="O9" s="3"/>
    </row>
    <row r="10" spans="2:15">
      <c r="B10" s="1"/>
      <c r="C10" s="2"/>
      <c r="D10" s="2"/>
      <c r="E10" s="2"/>
      <c r="F10" s="2"/>
      <c r="G10" s="2"/>
      <c r="H10" s="3"/>
      <c r="K10" s="1"/>
      <c r="L10" s="2" t="s">
        <v>18</v>
      </c>
      <c r="M10" s="11" t="s">
        <v>19</v>
      </c>
      <c r="N10" s="4">
        <v>2400</v>
      </c>
      <c r="O10" s="3"/>
    </row>
    <row r="11" spans="2:15">
      <c r="B11" s="12" t="s">
        <v>20</v>
      </c>
      <c r="C11" s="2"/>
      <c r="D11" s="2"/>
      <c r="E11" s="2"/>
      <c r="F11" s="2"/>
      <c r="G11" s="2"/>
      <c r="H11" s="3"/>
      <c r="K11" s="1"/>
      <c r="L11" s="2" t="s">
        <v>21</v>
      </c>
      <c r="M11" s="11" t="s">
        <v>19</v>
      </c>
      <c r="N11" s="4">
        <v>2400</v>
      </c>
      <c r="O11" s="3"/>
    </row>
    <row r="12" spans="2:15">
      <c r="B12" s="1"/>
      <c r="C12" s="2"/>
      <c r="D12" s="2"/>
      <c r="E12" s="2"/>
      <c r="F12" s="2"/>
      <c r="G12" s="2"/>
      <c r="H12" s="3"/>
      <c r="K12" s="1"/>
      <c r="L12" s="2" t="s">
        <v>22</v>
      </c>
      <c r="M12" s="11" t="s">
        <v>19</v>
      </c>
      <c r="N12" s="4">
        <v>2400</v>
      </c>
      <c r="O12" s="3"/>
    </row>
    <row r="13" spans="2:15">
      <c r="B13" s="5"/>
      <c r="C13" s="4" t="s">
        <v>5</v>
      </c>
      <c r="D13" s="4" t="s">
        <v>6</v>
      </c>
      <c r="E13" s="2"/>
      <c r="F13" s="2"/>
      <c r="G13" s="2"/>
      <c r="H13" s="3"/>
      <c r="K13" s="1"/>
      <c r="L13" s="76" t="s">
        <v>284</v>
      </c>
      <c r="M13" s="11" t="s">
        <v>19</v>
      </c>
      <c r="N13" s="100">
        <v>100</v>
      </c>
      <c r="O13" s="3"/>
    </row>
    <row r="14" spans="2:15">
      <c r="B14" s="12" t="s">
        <v>25</v>
      </c>
      <c r="C14" s="4">
        <v>190</v>
      </c>
      <c r="D14" s="4">
        <v>200</v>
      </c>
      <c r="E14" s="2"/>
      <c r="F14" s="2"/>
      <c r="G14" s="2"/>
      <c r="H14" s="3"/>
      <c r="K14" s="1"/>
      <c r="L14" s="76" t="s">
        <v>285</v>
      </c>
      <c r="M14" s="11" t="s">
        <v>19</v>
      </c>
      <c r="N14" s="100">
        <v>50</v>
      </c>
      <c r="O14" s="3"/>
    </row>
    <row r="15" spans="2:15">
      <c r="B15" s="12" t="s">
        <v>26</v>
      </c>
      <c r="C15" s="4">
        <f>60+40</f>
        <v>100</v>
      </c>
      <c r="D15" s="4">
        <f>40+40</f>
        <v>80</v>
      </c>
      <c r="E15" s="2"/>
      <c r="F15" s="2"/>
      <c r="G15" s="2"/>
      <c r="H15" s="3"/>
      <c r="K15" s="1"/>
      <c r="L15" s="2" t="s">
        <v>23</v>
      </c>
      <c r="M15" s="11" t="s">
        <v>24</v>
      </c>
      <c r="N15" s="4">
        <v>0</v>
      </c>
      <c r="O15" s="3"/>
    </row>
    <row r="16" spans="2:15">
      <c r="B16" s="5" t="s">
        <v>27</v>
      </c>
      <c r="C16" s="4">
        <f>+C14-C15</f>
        <v>90</v>
      </c>
      <c r="D16" s="4">
        <f>+D14-D15</f>
        <v>120</v>
      </c>
      <c r="E16" s="2"/>
      <c r="F16" s="2"/>
      <c r="G16" s="2"/>
      <c r="H16" s="3"/>
      <c r="K16" s="1"/>
      <c r="O16" s="3"/>
    </row>
    <row r="17" spans="2:15">
      <c r="B17" s="5" t="s">
        <v>28</v>
      </c>
      <c r="C17" s="4">
        <f>+C8</f>
        <v>15</v>
      </c>
      <c r="D17" s="4">
        <f>+D8</f>
        <v>30</v>
      </c>
      <c r="E17" s="2"/>
      <c r="F17" s="2"/>
      <c r="G17" s="2"/>
      <c r="H17" s="3"/>
      <c r="K17" s="1"/>
      <c r="L17" s="2"/>
      <c r="M17" s="2"/>
      <c r="N17" s="2"/>
      <c r="O17" s="3"/>
    </row>
    <row r="18" spans="2:15">
      <c r="B18" s="5" t="s">
        <v>29</v>
      </c>
      <c r="C18" s="4">
        <f>+C16/C17</f>
        <v>6</v>
      </c>
      <c r="D18" s="4">
        <f>+D16/D17</f>
        <v>4</v>
      </c>
      <c r="E18" s="2"/>
      <c r="F18" s="2"/>
      <c r="G18" s="2"/>
      <c r="H18" s="3"/>
      <c r="K18" s="1"/>
      <c r="L18" s="2"/>
      <c r="M18" s="2"/>
      <c r="N18" s="2"/>
      <c r="O18" s="3"/>
    </row>
    <row r="19" spans="2:15">
      <c r="B19" s="5"/>
      <c r="C19" s="4"/>
      <c r="D19" s="4"/>
      <c r="E19" s="2"/>
      <c r="F19" s="2"/>
      <c r="G19" s="2"/>
      <c r="H19" s="3"/>
      <c r="K19" s="1"/>
      <c r="L19" s="2"/>
      <c r="M19" s="2"/>
      <c r="N19" s="2"/>
      <c r="O19" s="3"/>
    </row>
    <row r="20" spans="2:15">
      <c r="B20" s="12" t="s">
        <v>30</v>
      </c>
      <c r="C20" s="2"/>
      <c r="D20" s="2"/>
      <c r="E20" s="2"/>
      <c r="F20" s="2"/>
      <c r="G20" s="2"/>
      <c r="H20" s="3"/>
      <c r="K20" s="1"/>
      <c r="L20" s="2"/>
      <c r="M20" s="2"/>
      <c r="N20" s="2"/>
      <c r="O20" s="3"/>
    </row>
    <row r="21" spans="2:15">
      <c r="B21" s="12"/>
      <c r="C21" s="2"/>
      <c r="D21" s="2"/>
      <c r="E21" s="2"/>
      <c r="F21" s="2"/>
      <c r="G21" s="2"/>
      <c r="H21" s="3"/>
      <c r="K21" s="1"/>
      <c r="L21" s="2"/>
      <c r="M21" s="2"/>
      <c r="N21" s="2"/>
      <c r="O21" s="3"/>
    </row>
    <row r="22" spans="2:15">
      <c r="B22" s="110" t="s">
        <v>31</v>
      </c>
      <c r="C22" s="109"/>
      <c r="D22" s="2"/>
      <c r="E22" s="2"/>
      <c r="F22" s="2"/>
      <c r="G22" s="2"/>
      <c r="H22" s="3"/>
      <c r="K22" s="1"/>
      <c r="L22" s="2"/>
      <c r="M22" s="2"/>
      <c r="N22" s="2"/>
      <c r="O22" s="3"/>
    </row>
    <row r="23" spans="2:15" ht="34">
      <c r="B23" s="13" t="s">
        <v>32</v>
      </c>
      <c r="C23" s="14" t="s">
        <v>33</v>
      </c>
      <c r="D23" s="2"/>
      <c r="E23" s="2"/>
      <c r="F23" s="2"/>
      <c r="G23" s="2"/>
      <c r="H23" s="3"/>
      <c r="K23" s="1"/>
      <c r="L23" s="2"/>
      <c r="M23" s="2"/>
      <c r="N23" s="2"/>
      <c r="O23" s="3"/>
    </row>
    <row r="24" spans="2:15">
      <c r="B24" s="5" t="s">
        <v>5</v>
      </c>
      <c r="C24" s="99">
        <f>+F7/C7</f>
        <v>120</v>
      </c>
      <c r="D24" s="2" t="s">
        <v>283</v>
      </c>
      <c r="E24" s="2"/>
      <c r="F24" s="2">
        <v>100</v>
      </c>
      <c r="G24" s="2"/>
      <c r="H24" s="3"/>
      <c r="K24" s="1"/>
      <c r="L24" s="2"/>
      <c r="M24" s="2"/>
      <c r="N24" s="2"/>
      <c r="O24" s="3"/>
    </row>
    <row r="25" spans="2:15">
      <c r="B25" s="5" t="s">
        <v>6</v>
      </c>
      <c r="C25" s="4">
        <f>+(F8-(F24*C8))/D8</f>
        <v>30</v>
      </c>
      <c r="D25" s="2"/>
      <c r="E25" s="2"/>
      <c r="F25" s="2"/>
      <c r="G25" s="2"/>
      <c r="H25" s="3"/>
      <c r="K25" s="1"/>
      <c r="L25" s="2"/>
      <c r="M25" s="2"/>
      <c r="N25" s="2"/>
      <c r="O25" s="3"/>
    </row>
    <row r="26" spans="2:15">
      <c r="B26" s="1"/>
      <c r="C26" s="2"/>
      <c r="D26" s="2"/>
      <c r="E26" s="2"/>
      <c r="F26" s="2"/>
      <c r="G26" s="2"/>
      <c r="H26" s="3"/>
      <c r="K26" s="1"/>
      <c r="L26" s="2"/>
      <c r="M26" s="2"/>
      <c r="N26" s="2"/>
      <c r="O26" s="3"/>
    </row>
    <row r="27" spans="2:15">
      <c r="B27" s="101" t="s">
        <v>34</v>
      </c>
      <c r="C27" s="102"/>
      <c r="D27" s="2"/>
      <c r="E27" s="2"/>
      <c r="F27" s="2"/>
      <c r="G27" s="2"/>
      <c r="H27" s="3"/>
      <c r="K27" s="1"/>
      <c r="L27" s="2"/>
      <c r="M27" s="2"/>
      <c r="N27" s="2"/>
      <c r="O27" s="3"/>
    </row>
    <row r="28" spans="2:15">
      <c r="B28" s="15" t="s">
        <v>5</v>
      </c>
      <c r="C28" s="16">
        <f>+C24*C16</f>
        <v>10800</v>
      </c>
      <c r="D28" s="2"/>
      <c r="E28" s="2"/>
      <c r="F28" s="2"/>
      <c r="G28" s="2"/>
      <c r="H28" s="3"/>
      <c r="K28" s="1"/>
      <c r="L28" s="2"/>
      <c r="M28" s="2"/>
      <c r="N28" s="2"/>
      <c r="O28" s="3"/>
    </row>
    <row r="29" spans="2:15">
      <c r="B29" s="15" t="s">
        <v>6</v>
      </c>
      <c r="C29" s="16">
        <f>+C25*D16</f>
        <v>3600</v>
      </c>
      <c r="D29" s="2"/>
      <c r="E29" s="2"/>
      <c r="F29" s="2"/>
      <c r="G29" s="2"/>
      <c r="H29" s="3"/>
      <c r="K29" s="1"/>
      <c r="L29" s="2"/>
      <c r="M29" s="2"/>
      <c r="N29" s="2"/>
      <c r="O29" s="3"/>
    </row>
    <row r="30" spans="2:15">
      <c r="B30" s="15" t="s">
        <v>35</v>
      </c>
      <c r="C30" s="16">
        <f>SUM(C28:C29)</f>
        <v>14400</v>
      </c>
      <c r="D30" s="2"/>
      <c r="E30" s="2"/>
      <c r="F30" s="2"/>
      <c r="G30" s="2"/>
      <c r="H30" s="3"/>
      <c r="K30" s="1"/>
      <c r="L30" s="2"/>
      <c r="M30" s="2"/>
      <c r="N30" s="2"/>
      <c r="O30" s="3"/>
    </row>
    <row r="31" spans="2:15">
      <c r="B31" s="15" t="s">
        <v>36</v>
      </c>
      <c r="C31" s="16">
        <v>12000</v>
      </c>
      <c r="D31" s="2"/>
      <c r="E31" s="2"/>
      <c r="F31" s="2"/>
      <c r="G31" s="2"/>
      <c r="H31" s="3"/>
      <c r="K31" s="1"/>
      <c r="L31" s="2"/>
      <c r="M31" s="2"/>
      <c r="N31" s="2"/>
      <c r="O31" s="3"/>
    </row>
    <row r="32" spans="2:15">
      <c r="B32" s="15" t="s">
        <v>37</v>
      </c>
      <c r="C32" s="16">
        <f>+C30-C31</f>
        <v>2400</v>
      </c>
      <c r="D32" s="2"/>
      <c r="E32" s="2"/>
      <c r="F32" s="2"/>
      <c r="G32" s="2"/>
      <c r="H32" s="3"/>
      <c r="K32" s="1"/>
      <c r="L32" s="2"/>
      <c r="M32" s="2"/>
      <c r="N32" s="2"/>
      <c r="O32" s="3"/>
    </row>
    <row r="33" spans="2:15" ht="17" thickBot="1">
      <c r="B33" s="17"/>
      <c r="C33" s="18"/>
      <c r="D33" s="18"/>
      <c r="E33" s="18"/>
      <c r="F33" s="18"/>
      <c r="G33" s="18"/>
      <c r="H33" s="19"/>
      <c r="K33" s="17"/>
      <c r="L33" s="18"/>
      <c r="M33" s="18"/>
      <c r="N33" s="18"/>
      <c r="O33" s="19"/>
    </row>
  </sheetData>
  <mergeCells count="5">
    <mergeCell ref="B27:C27"/>
    <mergeCell ref="B1:H3"/>
    <mergeCell ref="K1:O3"/>
    <mergeCell ref="C4:D4"/>
    <mergeCell ref="B22:C2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7"/>
  <sheetViews>
    <sheetView topLeftCell="A5" workbookViewId="0">
      <selection activeCell="I28" sqref="I28"/>
    </sheetView>
  </sheetViews>
  <sheetFormatPr baseColWidth="10" defaultRowHeight="16"/>
  <cols>
    <col min="1" max="1" width="19" customWidth="1"/>
    <col min="7" max="7" width="18.6640625" customWidth="1"/>
  </cols>
  <sheetData>
    <row r="1" spans="1:11">
      <c r="B1" t="s">
        <v>61</v>
      </c>
      <c r="C1" t="s">
        <v>62</v>
      </c>
      <c r="D1" t="s">
        <v>63</v>
      </c>
    </row>
    <row r="2" spans="1:11">
      <c r="A2" t="s">
        <v>11</v>
      </c>
      <c r="B2">
        <v>1000</v>
      </c>
      <c r="C2">
        <v>1500</v>
      </c>
      <c r="D2">
        <v>500</v>
      </c>
    </row>
    <row r="3" spans="1:11">
      <c r="A3" t="s">
        <v>12</v>
      </c>
      <c r="B3">
        <v>2000</v>
      </c>
      <c r="C3">
        <v>1000</v>
      </c>
      <c r="D3">
        <v>1000</v>
      </c>
    </row>
    <row r="5" spans="1:11">
      <c r="A5" t="s">
        <v>64</v>
      </c>
      <c r="B5" s="81">
        <v>0.05</v>
      </c>
    </row>
    <row r="6" spans="1:11">
      <c r="A6" t="s">
        <v>65</v>
      </c>
      <c r="B6" s="81">
        <v>0</v>
      </c>
    </row>
    <row r="7" spans="1:11">
      <c r="A7" t="s">
        <v>203</v>
      </c>
      <c r="B7" s="81">
        <v>0</v>
      </c>
    </row>
    <row r="8" spans="1:11">
      <c r="A8" t="s">
        <v>204</v>
      </c>
      <c r="B8" s="81">
        <v>0.02</v>
      </c>
    </row>
    <row r="9" spans="1:11">
      <c r="A9" t="s">
        <v>205</v>
      </c>
      <c r="B9" s="81">
        <v>0</v>
      </c>
    </row>
    <row r="10" spans="1:11">
      <c r="B10" s="81"/>
    </row>
    <row r="11" spans="1:11">
      <c r="A11" s="82" t="s">
        <v>206</v>
      </c>
      <c r="G11" s="82" t="s">
        <v>207</v>
      </c>
      <c r="H11" s="82"/>
    </row>
    <row r="13" spans="1:11">
      <c r="A13" s="82" t="s">
        <v>54</v>
      </c>
      <c r="B13" s="82">
        <v>0</v>
      </c>
      <c r="C13" s="82">
        <v>1</v>
      </c>
      <c r="D13" s="82">
        <v>2</v>
      </c>
      <c r="E13" s="82">
        <v>3</v>
      </c>
      <c r="F13" s="82"/>
      <c r="G13" s="82" t="s">
        <v>54</v>
      </c>
      <c r="H13" s="82">
        <v>0</v>
      </c>
      <c r="I13" s="82">
        <v>1</v>
      </c>
      <c r="J13" s="82">
        <v>2</v>
      </c>
      <c r="K13" s="82">
        <v>3</v>
      </c>
    </row>
    <row r="14" spans="1:11">
      <c r="A14" t="s">
        <v>56</v>
      </c>
      <c r="C14">
        <v>0</v>
      </c>
      <c r="D14" s="83">
        <f>C20</f>
        <v>200</v>
      </c>
      <c r="E14" s="83">
        <f>D20</f>
        <v>200</v>
      </c>
      <c r="G14" t="s">
        <v>56</v>
      </c>
      <c r="I14">
        <v>0</v>
      </c>
      <c r="J14" s="83">
        <f>I19</f>
        <v>350</v>
      </c>
      <c r="K14" s="83">
        <f>J19</f>
        <v>250</v>
      </c>
    </row>
    <row r="15" spans="1:11">
      <c r="A15" t="s">
        <v>72</v>
      </c>
      <c r="C15" s="83">
        <f>B21</f>
        <v>4200</v>
      </c>
      <c r="D15" s="83">
        <f>C21</f>
        <v>4000</v>
      </c>
      <c r="E15" s="83">
        <f>D21</f>
        <v>1900</v>
      </c>
      <c r="G15" t="s">
        <v>73</v>
      </c>
      <c r="I15" s="83">
        <f>H20</f>
        <v>7350</v>
      </c>
      <c r="J15" s="83">
        <f>I20</f>
        <v>4400</v>
      </c>
      <c r="K15" s="83">
        <f>J20</f>
        <v>3450</v>
      </c>
    </row>
    <row r="16" spans="1:11">
      <c r="A16" t="s">
        <v>65</v>
      </c>
      <c r="C16" s="83">
        <f>C15*$B$6</f>
        <v>0</v>
      </c>
      <c r="D16" s="83">
        <f>D15*$B$6</f>
        <v>0</v>
      </c>
      <c r="E16" s="83">
        <f>E15*$B$6</f>
        <v>0</v>
      </c>
      <c r="G16" t="s">
        <v>74</v>
      </c>
      <c r="I16" s="83">
        <f>I15*$B$7</f>
        <v>0</v>
      </c>
      <c r="J16" s="83">
        <f>J15*$B$7</f>
        <v>0</v>
      </c>
      <c r="K16" s="83">
        <f>K15*$B$7</f>
        <v>0</v>
      </c>
    </row>
    <row r="17" spans="1:11">
      <c r="A17" t="s">
        <v>75</v>
      </c>
      <c r="C17" s="83">
        <f>(C14*$B$9)+((C15*(1-$B$6)*$B$9))</f>
        <v>0</v>
      </c>
      <c r="D17" s="83">
        <f>(D14*$B$9)+((D15*(1-$B$6)*$B$9))</f>
        <v>0</v>
      </c>
      <c r="E17" s="83">
        <f>(E14*$B$9)+((E15*(1-$B$6)*$B$9))</f>
        <v>0</v>
      </c>
      <c r="G17" t="s">
        <v>17</v>
      </c>
      <c r="I17" s="83">
        <f>I14+I15-I16</f>
        <v>7350</v>
      </c>
      <c r="J17" s="83">
        <f>J14+J15-J16</f>
        <v>4750</v>
      </c>
      <c r="K17" s="83">
        <f>K14+K15-K16</f>
        <v>3700</v>
      </c>
    </row>
    <row r="18" spans="1:11">
      <c r="A18" t="s">
        <v>17</v>
      </c>
      <c r="C18" s="83">
        <f>C14+C15-C17-C16</f>
        <v>4200</v>
      </c>
      <c r="D18" s="83">
        <f>D14+D15-D17-D16</f>
        <v>4200</v>
      </c>
      <c r="E18" s="83">
        <f>E14+E15-E17-E16</f>
        <v>2100</v>
      </c>
      <c r="G18" t="s">
        <v>76</v>
      </c>
      <c r="I18">
        <f>H22</f>
        <v>7000</v>
      </c>
      <c r="J18">
        <f>H24</f>
        <v>4500</v>
      </c>
      <c r="K18">
        <f>H26</f>
        <v>3500</v>
      </c>
    </row>
    <row r="19" spans="1:11">
      <c r="A19" t="s">
        <v>76</v>
      </c>
      <c r="C19" s="83">
        <f>B23</f>
        <v>4000</v>
      </c>
      <c r="D19" s="83">
        <f>B25</f>
        <v>4000</v>
      </c>
      <c r="E19" s="83">
        <f>B27</f>
        <v>2000</v>
      </c>
      <c r="G19" t="s">
        <v>59</v>
      </c>
      <c r="I19" s="83">
        <f>I17-I18</f>
        <v>350</v>
      </c>
      <c r="J19" s="83">
        <f>J17-J18</f>
        <v>250</v>
      </c>
      <c r="K19" s="83">
        <f>K17-K18</f>
        <v>200</v>
      </c>
    </row>
    <row r="20" spans="1:11">
      <c r="A20" t="s">
        <v>59</v>
      </c>
      <c r="C20" s="83">
        <f>C18-C19</f>
        <v>200</v>
      </c>
      <c r="D20" s="83">
        <f>D18-D19</f>
        <v>200</v>
      </c>
      <c r="E20" s="83">
        <f>E18-E19</f>
        <v>100</v>
      </c>
      <c r="G20" t="s">
        <v>77</v>
      </c>
      <c r="H20" s="83">
        <f>H23</f>
        <v>7350</v>
      </c>
      <c r="I20" s="83">
        <f>I25</f>
        <v>4400</v>
      </c>
      <c r="J20" s="83">
        <f>I27</f>
        <v>3450</v>
      </c>
      <c r="K20" s="84" t="s">
        <v>78</v>
      </c>
    </row>
    <row r="21" spans="1:11">
      <c r="A21" t="s">
        <v>77</v>
      </c>
      <c r="B21" s="83">
        <f>B24</f>
        <v>4200</v>
      </c>
      <c r="C21" s="83">
        <f>B26</f>
        <v>4000</v>
      </c>
      <c r="D21" s="83">
        <f>B28</f>
        <v>1900</v>
      </c>
      <c r="E21" s="84" t="s">
        <v>78</v>
      </c>
    </row>
    <row r="22" spans="1:11">
      <c r="G22" t="s">
        <v>232</v>
      </c>
      <c r="H22">
        <f>(B2*1)+(B3*3)</f>
        <v>7000</v>
      </c>
    </row>
    <row r="23" spans="1:11">
      <c r="A23" t="s">
        <v>233</v>
      </c>
      <c r="B23">
        <f>(2*B2)+(1*B3)</f>
        <v>4000</v>
      </c>
      <c r="G23" t="s">
        <v>81</v>
      </c>
      <c r="H23" s="83">
        <f>(((H22*1.05)-I14))</f>
        <v>7350</v>
      </c>
    </row>
    <row r="24" spans="1:11">
      <c r="A24" t="s">
        <v>81</v>
      </c>
      <c r="B24" s="83">
        <f>((((B23*1.05)-(C14*1))))</f>
        <v>4200</v>
      </c>
      <c r="H24">
        <f>(C2*1)+(C3*3)</f>
        <v>4500</v>
      </c>
    </row>
    <row r="25" spans="1:11">
      <c r="B25">
        <f>(2*C2)+(1*C3)</f>
        <v>4000</v>
      </c>
      <c r="G25" t="s">
        <v>84</v>
      </c>
      <c r="H25" s="83">
        <f>(((H24*1.05)-J14))</f>
        <v>4375</v>
      </c>
      <c r="I25">
        <v>4400</v>
      </c>
    </row>
    <row r="26" spans="1:11">
      <c r="A26" t="s">
        <v>84</v>
      </c>
      <c r="B26" s="83">
        <f>((((B25*1.05)-(D14*1))))</f>
        <v>4000</v>
      </c>
      <c r="H26">
        <f>(D2*1)+(D3*3)</f>
        <v>3500</v>
      </c>
    </row>
    <row r="27" spans="1:11">
      <c r="B27">
        <f>(2*D2)+(1*D3)</f>
        <v>2000</v>
      </c>
      <c r="G27" t="s">
        <v>87</v>
      </c>
      <c r="H27" s="83">
        <f>(((H26*1.05)-K14))</f>
        <v>3425</v>
      </c>
      <c r="I27">
        <v>3450</v>
      </c>
    </row>
    <row r="28" spans="1:11">
      <c r="A28" t="s">
        <v>87</v>
      </c>
      <c r="B28" s="83">
        <f>((((B27*1.05)-(E14*1))))</f>
        <v>1900</v>
      </c>
    </row>
    <row r="31" spans="1:11">
      <c r="A31" s="82" t="s">
        <v>208</v>
      </c>
    </row>
    <row r="33" spans="1:9">
      <c r="A33" s="82" t="s">
        <v>54</v>
      </c>
      <c r="B33" s="82">
        <v>-1</v>
      </c>
      <c r="C33" s="82">
        <v>0</v>
      </c>
      <c r="D33" s="82">
        <v>1</v>
      </c>
      <c r="E33" s="82">
        <v>2</v>
      </c>
    </row>
    <row r="34" spans="1:9">
      <c r="A34" t="s">
        <v>56</v>
      </c>
      <c r="C34">
        <v>0</v>
      </c>
      <c r="D34" s="83">
        <f>C39</f>
        <v>630</v>
      </c>
      <c r="E34" s="83">
        <f>D39</f>
        <v>600</v>
      </c>
    </row>
    <row r="35" spans="1:9">
      <c r="A35" t="s">
        <v>73</v>
      </c>
      <c r="C35" s="83">
        <f>B40</f>
        <v>13500</v>
      </c>
      <c r="D35" s="83">
        <f>C40</f>
        <v>12214.285714285714</v>
      </c>
      <c r="E35" s="83">
        <f>D40</f>
        <v>5494.8979591836733</v>
      </c>
    </row>
    <row r="36" spans="1:9">
      <c r="A36" t="s">
        <v>74</v>
      </c>
      <c r="C36" s="83">
        <f>C35*$B$8</f>
        <v>270</v>
      </c>
      <c r="D36" s="83">
        <f>D35*$B$8</f>
        <v>244.28571428571428</v>
      </c>
      <c r="E36" s="83">
        <f>E35*$B$8</f>
        <v>109.89795918367346</v>
      </c>
    </row>
    <row r="37" spans="1:9">
      <c r="A37" t="s">
        <v>17</v>
      </c>
      <c r="C37" s="83">
        <f>C34+C35-C36</f>
        <v>13230</v>
      </c>
      <c r="D37" s="83">
        <f>D34+D35-D36</f>
        <v>12600</v>
      </c>
      <c r="E37" s="83">
        <f>E34+E35-E36</f>
        <v>5985</v>
      </c>
    </row>
    <row r="38" spans="1:9">
      <c r="A38" t="s">
        <v>76</v>
      </c>
      <c r="C38" s="83">
        <f>B42</f>
        <v>12600</v>
      </c>
      <c r="D38" s="83">
        <f>B44</f>
        <v>12000</v>
      </c>
      <c r="E38" s="83">
        <f>B46</f>
        <v>5700</v>
      </c>
    </row>
    <row r="39" spans="1:9">
      <c r="A39" t="s">
        <v>59</v>
      </c>
      <c r="C39" s="83">
        <f>C37-C38</f>
        <v>630</v>
      </c>
      <c r="D39" s="83">
        <f>D37-D38</f>
        <v>600</v>
      </c>
      <c r="E39" s="83">
        <f>E37-E38</f>
        <v>285</v>
      </c>
    </row>
    <row r="40" spans="1:9">
      <c r="A40" t="s">
        <v>77</v>
      </c>
      <c r="B40" s="83">
        <f>B43</f>
        <v>13500</v>
      </c>
      <c r="C40" s="83">
        <f>B45</f>
        <v>12214.285714285714</v>
      </c>
      <c r="D40" s="83">
        <f>B47</f>
        <v>5494.8979591836733</v>
      </c>
      <c r="E40" s="84" t="s">
        <v>78</v>
      </c>
      <c r="I40">
        <f>25-9</f>
        <v>16</v>
      </c>
    </row>
    <row r="42" spans="1:9">
      <c r="A42" t="s">
        <v>209</v>
      </c>
      <c r="B42" s="83">
        <f>B21*3</f>
        <v>12600</v>
      </c>
    </row>
    <row r="43" spans="1:9">
      <c r="A43" t="s">
        <v>90</v>
      </c>
      <c r="B43" s="83">
        <f>(((B42*1.05)-C34))/(1-$B$8)</f>
        <v>13500</v>
      </c>
    </row>
    <row r="44" spans="1:9">
      <c r="B44" s="83">
        <f>C21*3</f>
        <v>12000</v>
      </c>
    </row>
    <row r="45" spans="1:9">
      <c r="A45" t="s">
        <v>92</v>
      </c>
      <c r="B45" s="83">
        <f>(((B44*1.05)-D34))/(1-$B$8)</f>
        <v>12214.285714285714</v>
      </c>
    </row>
    <row r="46" spans="1:9">
      <c r="B46" s="83">
        <f>D21*3</f>
        <v>5700</v>
      </c>
    </row>
    <row r="47" spans="1:9">
      <c r="A47" t="s">
        <v>84</v>
      </c>
      <c r="B47" s="83">
        <f>(((B46*1.05)-E34))/(1-$B$8)</f>
        <v>5494.8979591836733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4:F28"/>
  <sheetViews>
    <sheetView workbookViewId="0">
      <selection activeCell="F29" sqref="F29"/>
    </sheetView>
  </sheetViews>
  <sheetFormatPr baseColWidth="10" defaultRowHeight="16"/>
  <sheetData>
    <row r="4" spans="3:6">
      <c r="C4" t="s">
        <v>217</v>
      </c>
    </row>
    <row r="6" spans="3:6">
      <c r="D6" t="s">
        <v>218</v>
      </c>
      <c r="E6" t="s">
        <v>219</v>
      </c>
      <c r="F6" t="s">
        <v>220</v>
      </c>
    </row>
    <row r="7" spans="3:6">
      <c r="C7" t="s">
        <v>221</v>
      </c>
      <c r="D7">
        <v>45</v>
      </c>
      <c r="E7">
        <v>15</v>
      </c>
      <c r="F7">
        <f>D7/E7</f>
        <v>3</v>
      </c>
    </row>
    <row r="8" spans="3:6">
      <c r="C8" t="s">
        <v>222</v>
      </c>
      <c r="D8">
        <v>60</v>
      </c>
      <c r="E8">
        <v>30</v>
      </c>
      <c r="F8">
        <f>D8/E8</f>
        <v>2</v>
      </c>
    </row>
    <row r="10" spans="3:6">
      <c r="C10" t="s">
        <v>223</v>
      </c>
    </row>
    <row r="12" spans="3:6">
      <c r="C12" t="s">
        <v>224</v>
      </c>
    </row>
    <row r="14" spans="3:6">
      <c r="C14" t="s">
        <v>225</v>
      </c>
    </row>
    <row r="16" spans="3:6">
      <c r="C16">
        <f>2400-(100*15)</f>
        <v>900</v>
      </c>
      <c r="D16" t="s">
        <v>226</v>
      </c>
    </row>
    <row r="19" spans="3:6">
      <c r="C19" t="s">
        <v>227</v>
      </c>
    </row>
    <row r="22" spans="3:6">
      <c r="C22">
        <f>C16/E8</f>
        <v>30</v>
      </c>
    </row>
    <row r="25" spans="3:6">
      <c r="C25" t="s">
        <v>228</v>
      </c>
      <c r="E25" t="s">
        <v>229</v>
      </c>
    </row>
    <row r="26" spans="3:6">
      <c r="C26">
        <v>100</v>
      </c>
      <c r="D26" t="s">
        <v>221</v>
      </c>
      <c r="E26" t="s">
        <v>120</v>
      </c>
      <c r="F26">
        <f>C26*D7+C27*D8</f>
        <v>6300</v>
      </c>
    </row>
    <row r="27" spans="3:6">
      <c r="C27">
        <v>30</v>
      </c>
      <c r="D27" t="s">
        <v>222</v>
      </c>
      <c r="E27" t="s">
        <v>230</v>
      </c>
      <c r="F27">
        <v>6000</v>
      </c>
    </row>
    <row r="28" spans="3:6">
      <c r="E28" t="s">
        <v>231</v>
      </c>
      <c r="F28">
        <f>F26-F27</f>
        <v>300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3"/>
  <sheetViews>
    <sheetView workbookViewId="0">
      <selection activeCell="E4" sqref="E4"/>
    </sheetView>
  </sheetViews>
  <sheetFormatPr baseColWidth="10" defaultRowHeight="13"/>
  <cols>
    <col min="1" max="1" width="11.6640625" style="34" customWidth="1"/>
    <col min="2" max="2" width="7.83203125" style="34" customWidth="1"/>
    <col min="3" max="4" width="7.1640625" style="34" customWidth="1"/>
    <col min="5" max="5" width="8.6640625" style="34" customWidth="1"/>
    <col min="6" max="6" width="7.1640625" style="34" customWidth="1"/>
    <col min="7" max="7" width="11.33203125" style="34" customWidth="1"/>
    <col min="8" max="8" width="7.1640625" style="34" customWidth="1"/>
    <col min="9" max="9" width="8.83203125" style="34" customWidth="1"/>
    <col min="10" max="10" width="7.1640625" style="34" customWidth="1"/>
    <col min="11" max="11" width="10.83203125" style="34" customWidth="1"/>
    <col min="12" max="12" width="11" style="34" bestFit="1" customWidth="1"/>
    <col min="13" max="13" width="7.1640625" style="34" customWidth="1"/>
    <col min="14" max="15" width="8.5" style="34" bestFit="1" customWidth="1"/>
    <col min="16" max="16" width="7" style="34" customWidth="1"/>
    <col min="17" max="17" width="20.5" style="34" customWidth="1"/>
    <col min="18" max="18" width="14" style="34" customWidth="1"/>
    <col min="19" max="16384" width="10.83203125" style="34"/>
  </cols>
  <sheetData>
    <row r="1" spans="1:14">
      <c r="A1" s="41"/>
      <c r="B1" s="41"/>
      <c r="C1" s="41"/>
      <c r="D1" s="41"/>
    </row>
    <row r="2" spans="1:14">
      <c r="A2" s="41"/>
      <c r="B2" s="41" t="s">
        <v>234</v>
      </c>
      <c r="C2" s="41" t="s">
        <v>235</v>
      </c>
      <c r="D2" s="41" t="s">
        <v>236</v>
      </c>
      <c r="E2" s="41" t="s">
        <v>237</v>
      </c>
      <c r="F2" s="41"/>
      <c r="H2" s="41" t="s">
        <v>234</v>
      </c>
      <c r="I2" s="41" t="s">
        <v>235</v>
      </c>
      <c r="J2" s="41" t="s">
        <v>236</v>
      </c>
    </row>
    <row r="3" spans="1:14">
      <c r="A3" s="44" t="s">
        <v>238</v>
      </c>
      <c r="B3" s="44">
        <f>($B$12*$B16)+($B$13*$C16)</f>
        <v>52</v>
      </c>
      <c r="C3" s="44">
        <f>($B$12*$B17)+($B$13*$C17)</f>
        <v>37</v>
      </c>
      <c r="D3" s="44">
        <f>($B$12*$B18)+($B$13*$C18)</f>
        <v>39</v>
      </c>
      <c r="E3" s="44">
        <f>SUM(B3:D3)</f>
        <v>128</v>
      </c>
      <c r="F3" s="41"/>
      <c r="G3" s="34" t="s">
        <v>239</v>
      </c>
      <c r="H3" s="88">
        <v>450</v>
      </c>
      <c r="I3" s="88">
        <v>410</v>
      </c>
      <c r="J3" s="88">
        <v>350</v>
      </c>
    </row>
    <row r="4" spans="1:14">
      <c r="A4" s="41" t="s">
        <v>240</v>
      </c>
      <c r="B4" s="41">
        <f>($C$12*$B16)+($C$13*$C16)</f>
        <v>41</v>
      </c>
      <c r="C4" s="41">
        <f>($C$12*$B17)+($C$13*$C17)</f>
        <v>31</v>
      </c>
      <c r="D4" s="41">
        <f>($C$12*$B18)+($C$13*$C18)</f>
        <v>32</v>
      </c>
      <c r="E4" s="41">
        <f t="shared" ref="E4:E6" si="0">SUM(B4:D4)</f>
        <v>104</v>
      </c>
      <c r="F4" s="41"/>
      <c r="G4" s="34" t="s">
        <v>241</v>
      </c>
      <c r="H4" s="88">
        <f>(B16*B20)+(C16*B21)</f>
        <v>110</v>
      </c>
      <c r="I4" s="88">
        <f>(B17*B20)+(C17*B21)</f>
        <v>60</v>
      </c>
      <c r="J4" s="88">
        <f>(B18*B20)+(C18*B21)</f>
        <v>70</v>
      </c>
    </row>
    <row r="5" spans="1:14">
      <c r="A5" s="41" t="s">
        <v>242</v>
      </c>
      <c r="B5" s="41">
        <f>($D$13*$C16)</f>
        <v>50</v>
      </c>
      <c r="C5" s="41">
        <f>($D$13*$C17)</f>
        <v>10</v>
      </c>
      <c r="D5" s="41">
        <f>($D$13*$C18)</f>
        <v>20</v>
      </c>
      <c r="E5" s="41">
        <f t="shared" si="0"/>
        <v>80</v>
      </c>
      <c r="F5" s="41"/>
      <c r="G5" s="34" t="s">
        <v>243</v>
      </c>
      <c r="H5" s="88">
        <f>H3-H4</f>
        <v>340</v>
      </c>
      <c r="I5" s="88">
        <f t="shared" ref="I5:J5" si="1">I3-I4</f>
        <v>350</v>
      </c>
      <c r="J5" s="88">
        <f t="shared" si="1"/>
        <v>280</v>
      </c>
    </row>
    <row r="6" spans="1:14">
      <c r="A6" s="41" t="s">
        <v>244</v>
      </c>
      <c r="B6" s="41">
        <f>E9</f>
        <v>15</v>
      </c>
      <c r="C6" s="41">
        <f>E11</f>
        <v>40</v>
      </c>
      <c r="D6" s="41">
        <f>E10</f>
        <v>20</v>
      </c>
      <c r="E6" s="41">
        <f t="shared" si="0"/>
        <v>75</v>
      </c>
      <c r="F6" s="41"/>
      <c r="G6" s="34" t="s">
        <v>245</v>
      </c>
      <c r="H6" s="41">
        <f>B3</f>
        <v>52</v>
      </c>
      <c r="I6" s="41">
        <f t="shared" ref="I6:J6" si="2">C3</f>
        <v>37</v>
      </c>
      <c r="J6" s="41">
        <f t="shared" si="2"/>
        <v>39</v>
      </c>
    </row>
    <row r="7" spans="1:14">
      <c r="A7" s="41"/>
      <c r="B7" s="41"/>
      <c r="C7" s="41"/>
      <c r="D7" s="41"/>
      <c r="E7" s="41"/>
      <c r="F7" s="41"/>
      <c r="G7" s="34" t="s">
        <v>246</v>
      </c>
      <c r="H7" s="89">
        <f>H5/H6</f>
        <v>6.5384615384615383</v>
      </c>
      <c r="I7" s="89">
        <f t="shared" ref="I7:J7" si="3">I5/I6</f>
        <v>9.4594594594594597</v>
      </c>
      <c r="J7" s="89">
        <f t="shared" si="3"/>
        <v>7.1794871794871797</v>
      </c>
    </row>
    <row r="8" spans="1:14">
      <c r="A8" s="41"/>
      <c r="B8" s="41" t="s">
        <v>247</v>
      </c>
      <c r="C8" s="41" t="s">
        <v>248</v>
      </c>
      <c r="D8" s="41" t="s">
        <v>249</v>
      </c>
      <c r="E8" s="41" t="s">
        <v>250</v>
      </c>
    </row>
    <row r="9" spans="1:14">
      <c r="A9" s="41" t="s">
        <v>222</v>
      </c>
      <c r="B9" s="41" t="s">
        <v>251</v>
      </c>
      <c r="C9" s="41" t="s">
        <v>251</v>
      </c>
      <c r="D9" s="41" t="s">
        <v>251</v>
      </c>
      <c r="E9" s="41">
        <v>15</v>
      </c>
      <c r="G9" s="36" t="s">
        <v>252</v>
      </c>
      <c r="H9" s="41" t="s">
        <v>234</v>
      </c>
      <c r="I9" s="41" t="s">
        <v>235</v>
      </c>
      <c r="J9" s="41" t="s">
        <v>236</v>
      </c>
    </row>
    <row r="10" spans="1:14">
      <c r="A10" s="41" t="s">
        <v>109</v>
      </c>
      <c r="B10" s="41" t="s">
        <v>251</v>
      </c>
      <c r="C10" s="41" t="s">
        <v>251</v>
      </c>
      <c r="D10" s="41" t="s">
        <v>251</v>
      </c>
      <c r="E10" s="41">
        <v>20</v>
      </c>
      <c r="H10" s="41">
        <v>1</v>
      </c>
      <c r="I10" s="41">
        <v>3</v>
      </c>
      <c r="J10" s="41">
        <v>2</v>
      </c>
      <c r="K10" s="41" t="s">
        <v>253</v>
      </c>
      <c r="L10" s="41"/>
      <c r="M10" s="41"/>
      <c r="N10" s="41"/>
    </row>
    <row r="11" spans="1:14">
      <c r="A11" s="41" t="s">
        <v>254</v>
      </c>
      <c r="B11" s="41" t="s">
        <v>251</v>
      </c>
      <c r="C11" s="41" t="s">
        <v>251</v>
      </c>
      <c r="D11" s="41" t="s">
        <v>251</v>
      </c>
      <c r="E11" s="41">
        <v>40</v>
      </c>
      <c r="H11" s="41">
        <f>H6</f>
        <v>52</v>
      </c>
      <c r="I11" s="41">
        <f t="shared" ref="I11:J11" si="4">I6</f>
        <v>37</v>
      </c>
      <c r="J11" s="41">
        <f t="shared" si="4"/>
        <v>39</v>
      </c>
      <c r="K11" s="41">
        <v>10000</v>
      </c>
      <c r="L11" s="41"/>
      <c r="M11" s="41"/>
      <c r="N11" s="41"/>
    </row>
    <row r="12" spans="1:14">
      <c r="A12" s="41" t="s">
        <v>5</v>
      </c>
      <c r="B12" s="41">
        <v>7</v>
      </c>
      <c r="C12" s="41">
        <v>6</v>
      </c>
      <c r="D12" s="41" t="s">
        <v>78</v>
      </c>
      <c r="E12" s="41" t="s">
        <v>251</v>
      </c>
      <c r="H12" s="41"/>
      <c r="I12" s="41"/>
      <c r="J12" s="41">
        <f>(H11*H10)+(I11*I10)+(J11*J10)</f>
        <v>241</v>
      </c>
      <c r="K12" s="41">
        <f>K11</f>
        <v>10000</v>
      </c>
      <c r="L12" s="41"/>
      <c r="M12" s="41"/>
      <c r="N12" s="41"/>
    </row>
    <row r="13" spans="1:14">
      <c r="A13" s="41" t="s">
        <v>6</v>
      </c>
      <c r="B13" s="41">
        <v>9</v>
      </c>
      <c r="C13" s="41">
        <v>7</v>
      </c>
      <c r="D13" s="41">
        <v>10</v>
      </c>
      <c r="E13" s="41" t="s">
        <v>251</v>
      </c>
      <c r="H13" s="41"/>
      <c r="I13" s="41" t="s">
        <v>255</v>
      </c>
      <c r="J13" s="48">
        <f>K12/J12</f>
        <v>41.49377593360996</v>
      </c>
      <c r="K13" s="41"/>
      <c r="L13" s="41"/>
      <c r="M13" s="41"/>
      <c r="N13" s="41"/>
    </row>
    <row r="14" spans="1:14">
      <c r="H14" s="41"/>
      <c r="I14" s="41"/>
      <c r="J14" s="41"/>
      <c r="K14" s="41"/>
      <c r="L14" s="41"/>
      <c r="M14" s="41"/>
      <c r="N14" s="41"/>
    </row>
    <row r="15" spans="1:14" ht="16">
      <c r="A15" s="90"/>
      <c r="B15" s="41" t="s">
        <v>256</v>
      </c>
      <c r="C15" s="41" t="s">
        <v>257</v>
      </c>
      <c r="H15" s="41" t="s">
        <v>234</v>
      </c>
      <c r="I15" s="48">
        <f>J13*H10</f>
        <v>41.49377593360996</v>
      </c>
      <c r="J15" s="41"/>
      <c r="K15" s="41"/>
      <c r="L15" s="41" t="s">
        <v>258</v>
      </c>
      <c r="M15" s="41"/>
      <c r="N15" s="41"/>
    </row>
    <row r="16" spans="1:14" ht="17">
      <c r="A16" s="90" t="s">
        <v>234</v>
      </c>
      <c r="B16" s="41">
        <v>1</v>
      </c>
      <c r="C16" s="41">
        <v>5</v>
      </c>
      <c r="H16" s="41" t="s">
        <v>235</v>
      </c>
      <c r="I16" s="48">
        <f>J13*I10</f>
        <v>124.48132780082989</v>
      </c>
      <c r="J16" s="41"/>
      <c r="K16" s="41" t="s">
        <v>234</v>
      </c>
      <c r="L16" s="89">
        <f>I15*H5</f>
        <v>14107.883817427386</v>
      </c>
      <c r="M16" s="41"/>
      <c r="N16" s="41"/>
    </row>
    <row r="17" spans="1:14" ht="17">
      <c r="A17" s="90" t="s">
        <v>235</v>
      </c>
      <c r="B17" s="41">
        <v>4</v>
      </c>
      <c r="C17" s="41">
        <v>1</v>
      </c>
      <c r="H17" s="41" t="s">
        <v>236</v>
      </c>
      <c r="I17" s="48">
        <f>J13*J10</f>
        <v>82.987551867219921</v>
      </c>
      <c r="J17" s="41"/>
      <c r="K17" s="41" t="s">
        <v>235</v>
      </c>
      <c r="L17" s="89">
        <f>I16*I5</f>
        <v>43568.464730290463</v>
      </c>
      <c r="M17" s="41"/>
      <c r="N17" s="41"/>
    </row>
    <row r="18" spans="1:14" ht="17">
      <c r="A18" s="90" t="s">
        <v>236</v>
      </c>
      <c r="B18" s="41">
        <v>3</v>
      </c>
      <c r="C18" s="41">
        <v>2</v>
      </c>
      <c r="H18" s="41"/>
      <c r="I18" s="41"/>
      <c r="J18" s="41"/>
      <c r="K18" s="41" t="s">
        <v>236</v>
      </c>
      <c r="L18" s="89">
        <f>I17*J5</f>
        <v>23236.514522821577</v>
      </c>
      <c r="M18" s="41"/>
      <c r="N18" s="41"/>
    </row>
    <row r="19" spans="1:14">
      <c r="J19" s="41"/>
      <c r="K19" s="41" t="s">
        <v>259</v>
      </c>
      <c r="L19" s="89">
        <f>SUM(L16:L18)</f>
        <v>80912.863070539432</v>
      </c>
      <c r="M19" s="41"/>
      <c r="N19" s="41"/>
    </row>
    <row r="20" spans="1:14" ht="17">
      <c r="A20" s="90" t="s">
        <v>256</v>
      </c>
      <c r="B20" s="88">
        <v>10</v>
      </c>
      <c r="J20" s="41"/>
      <c r="K20" s="41" t="s">
        <v>260</v>
      </c>
      <c r="L20" s="89">
        <v>50000</v>
      </c>
      <c r="M20" s="41"/>
      <c r="N20" s="41"/>
    </row>
    <row r="21" spans="1:14" ht="17">
      <c r="A21" s="90" t="s">
        <v>257</v>
      </c>
      <c r="B21" s="88">
        <v>20</v>
      </c>
      <c r="J21" s="41"/>
      <c r="K21" s="41" t="s">
        <v>261</v>
      </c>
      <c r="L21" s="89">
        <f>L19-L20</f>
        <v>30912.863070539432</v>
      </c>
      <c r="M21" s="41"/>
      <c r="N21" s="41"/>
    </row>
    <row r="22" spans="1:14">
      <c r="J22" s="41"/>
      <c r="K22" s="41"/>
      <c r="L22" s="41"/>
      <c r="M22" s="41"/>
      <c r="N22" s="41"/>
    </row>
    <row r="23" spans="1:14">
      <c r="J23" s="41"/>
      <c r="K23" s="41"/>
      <c r="L23" s="41"/>
      <c r="M23" s="41"/>
      <c r="N23" s="41"/>
    </row>
    <row r="24" spans="1:14">
      <c r="G24" s="36" t="s">
        <v>262</v>
      </c>
      <c r="H24" s="41" t="s">
        <v>254</v>
      </c>
      <c r="I24" s="41">
        <f>K11/E11</f>
        <v>250</v>
      </c>
      <c r="J24" s="41"/>
      <c r="K24" s="41" t="s">
        <v>254</v>
      </c>
      <c r="L24" s="88">
        <f>I24*I5</f>
        <v>87500</v>
      </c>
      <c r="M24" s="41"/>
      <c r="N24" s="41"/>
    </row>
    <row r="25" spans="1:14">
      <c r="H25" s="41"/>
      <c r="I25" s="41"/>
      <c r="J25" s="41"/>
      <c r="K25" s="41" t="s">
        <v>120</v>
      </c>
      <c r="L25" s="88">
        <f>L24</f>
        <v>87500</v>
      </c>
      <c r="M25" s="41"/>
      <c r="N25" s="41"/>
    </row>
    <row r="26" spans="1:14">
      <c r="H26" s="41"/>
      <c r="I26" s="41"/>
      <c r="J26" s="41"/>
      <c r="K26" s="41" t="s">
        <v>263</v>
      </c>
      <c r="L26" s="89">
        <f>L20</f>
        <v>50000</v>
      </c>
      <c r="M26" s="41"/>
      <c r="N26" s="41"/>
    </row>
    <row r="27" spans="1:14">
      <c r="H27" s="41"/>
      <c r="I27" s="41"/>
      <c r="J27" s="41"/>
      <c r="K27" s="41" t="s">
        <v>37</v>
      </c>
      <c r="L27" s="89">
        <f>L25-L26</f>
        <v>37500</v>
      </c>
      <c r="M27" s="41"/>
      <c r="N27" s="41"/>
    </row>
    <row r="28" spans="1:14">
      <c r="H28" s="41"/>
      <c r="I28" s="41"/>
      <c r="J28" s="41"/>
      <c r="K28" s="41"/>
      <c r="L28" s="41"/>
      <c r="M28" s="41"/>
      <c r="N28" s="41"/>
    </row>
    <row r="29" spans="1:14">
      <c r="H29" s="41"/>
      <c r="I29" s="41"/>
      <c r="J29" s="41"/>
      <c r="K29" s="41"/>
      <c r="L29" s="41"/>
      <c r="M29" s="41"/>
      <c r="N29" s="41"/>
    </row>
    <row r="30" spans="1:14">
      <c r="H30" s="41"/>
      <c r="I30" s="41"/>
      <c r="J30" s="41"/>
      <c r="K30" s="41"/>
      <c r="L30" s="41"/>
      <c r="M30" s="41"/>
      <c r="N30" s="41"/>
    </row>
    <row r="31" spans="1:14">
      <c r="H31" s="41"/>
      <c r="I31" s="41"/>
      <c r="J31" s="41"/>
      <c r="K31" s="41"/>
      <c r="L31" s="41"/>
      <c r="M31" s="41"/>
      <c r="N31" s="41"/>
    </row>
    <row r="32" spans="1:14">
      <c r="H32" s="41"/>
      <c r="I32" s="41"/>
      <c r="J32" s="41"/>
      <c r="K32" s="41"/>
      <c r="L32" s="41"/>
      <c r="M32" s="41"/>
      <c r="N32" s="41"/>
    </row>
    <row r="33" spans="8:14">
      <c r="H33" s="41"/>
      <c r="I33" s="41"/>
      <c r="J33" s="41"/>
      <c r="K33" s="41"/>
      <c r="L33" s="41"/>
      <c r="M33" s="41"/>
      <c r="N33" s="4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4"/>
  <sheetViews>
    <sheetView zoomScale="125" zoomScaleNormal="125" zoomScalePageLayoutView="125" workbookViewId="0">
      <selection activeCell="H13" sqref="H13"/>
    </sheetView>
  </sheetViews>
  <sheetFormatPr baseColWidth="10" defaultRowHeight="16"/>
  <cols>
    <col min="2" max="2" width="28.5" bestFit="1" customWidth="1"/>
    <col min="3" max="3" width="21.33203125" customWidth="1"/>
    <col min="4" max="4" width="18.5" customWidth="1"/>
  </cols>
  <sheetData>
    <row r="1" spans="1:5" ht="51">
      <c r="A1" t="s">
        <v>164</v>
      </c>
      <c r="B1" s="61" t="s">
        <v>165</v>
      </c>
      <c r="C1" s="61" t="s">
        <v>166</v>
      </c>
      <c r="D1" s="61" t="s">
        <v>167</v>
      </c>
      <c r="E1" s="61" t="s">
        <v>168</v>
      </c>
    </row>
    <row r="2" spans="1:5">
      <c r="A2" t="s">
        <v>169</v>
      </c>
      <c r="B2" s="25">
        <v>8</v>
      </c>
      <c r="C2" s="25">
        <v>2</v>
      </c>
      <c r="D2" s="25">
        <v>10</v>
      </c>
      <c r="E2" s="26">
        <f t="shared" ref="E2:E7" si="0">C2/D2</f>
        <v>0.2</v>
      </c>
    </row>
    <row r="3" spans="1:5">
      <c r="A3" t="s">
        <v>170</v>
      </c>
      <c r="B3" s="25">
        <v>7</v>
      </c>
      <c r="C3" s="25">
        <v>1</v>
      </c>
      <c r="D3" s="25">
        <v>8</v>
      </c>
      <c r="E3" s="26">
        <f t="shared" si="0"/>
        <v>0.125</v>
      </c>
    </row>
    <row r="4" spans="1:5">
      <c r="A4" t="s">
        <v>171</v>
      </c>
      <c r="B4" s="25">
        <v>9</v>
      </c>
      <c r="C4" s="25">
        <v>3</v>
      </c>
      <c r="D4" s="25">
        <v>12</v>
      </c>
      <c r="E4" s="26">
        <f t="shared" si="0"/>
        <v>0.25</v>
      </c>
    </row>
    <row r="5" spans="1:5">
      <c r="A5" t="s">
        <v>172</v>
      </c>
      <c r="B5" s="25">
        <v>7</v>
      </c>
      <c r="C5" s="25">
        <v>3</v>
      </c>
      <c r="D5" s="25">
        <v>10</v>
      </c>
      <c r="E5" s="26">
        <f t="shared" si="0"/>
        <v>0.3</v>
      </c>
    </row>
    <row r="6" spans="1:5">
      <c r="A6" t="s">
        <v>173</v>
      </c>
      <c r="B6" s="25">
        <v>8</v>
      </c>
      <c r="C6" s="25">
        <v>2</v>
      </c>
      <c r="D6" s="25">
        <v>10</v>
      </c>
      <c r="E6" s="26">
        <f t="shared" si="0"/>
        <v>0.2</v>
      </c>
    </row>
    <row r="7" spans="1:5">
      <c r="A7" t="s">
        <v>174</v>
      </c>
      <c r="B7" s="25">
        <v>6</v>
      </c>
      <c r="C7" s="25">
        <v>4</v>
      </c>
      <c r="D7" s="25">
        <v>10</v>
      </c>
      <c r="E7" s="26">
        <f t="shared" si="0"/>
        <v>0.4</v>
      </c>
    </row>
    <row r="8" spans="1:5">
      <c r="E8" s="26">
        <f>AVERAGE(E2:E7)</f>
        <v>0.24583333333333335</v>
      </c>
    </row>
    <row r="9" spans="1:5">
      <c r="B9" t="s">
        <v>175</v>
      </c>
      <c r="C9" s="62">
        <v>0.12</v>
      </c>
    </row>
    <row r="10" spans="1:5">
      <c r="B10" t="s">
        <v>176</v>
      </c>
      <c r="C10" s="25">
        <v>1300</v>
      </c>
    </row>
    <row r="11" spans="1:5">
      <c r="B11" t="s">
        <v>177</v>
      </c>
      <c r="C11" s="25">
        <f>6*8*60</f>
        <v>2880</v>
      </c>
    </row>
    <row r="12" spans="1:5">
      <c r="B12" t="s">
        <v>178</v>
      </c>
      <c r="C12" s="62">
        <v>0.9</v>
      </c>
    </row>
    <row r="13" spans="1:5">
      <c r="B13" s="33" t="s">
        <v>179</v>
      </c>
      <c r="C13" s="91">
        <f>(C11*(1-E8)*C12)/C10</f>
        <v>1.5036923076923077</v>
      </c>
      <c r="D13" s="92">
        <f>C13/60</f>
        <v>2.5061538461538461E-2</v>
      </c>
    </row>
    <row r="14" spans="1:5">
      <c r="B14" s="33" t="s">
        <v>180</v>
      </c>
      <c r="C14" s="91">
        <f>C13/(1-C9)</f>
        <v>1.7087412587412587</v>
      </c>
      <c r="D14" s="92">
        <f>C14/60</f>
        <v>2.847902097902098E-2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9"/>
  <sheetViews>
    <sheetView zoomScale="125" zoomScaleNormal="125" zoomScalePageLayoutView="125" workbookViewId="0">
      <selection activeCell="D2" sqref="D2"/>
    </sheetView>
  </sheetViews>
  <sheetFormatPr baseColWidth="10" defaultRowHeight="13"/>
  <cols>
    <col min="1" max="1" width="9.33203125" style="50" customWidth="1"/>
    <col min="2" max="2" width="7.5" style="50" customWidth="1"/>
    <col min="3" max="3" width="8" style="50" customWidth="1"/>
    <col min="4" max="4" width="7.83203125" style="50" customWidth="1"/>
    <col min="5" max="5" width="12.6640625" style="50" bestFit="1" customWidth="1"/>
    <col min="6" max="6" width="13" style="50" bestFit="1" customWidth="1"/>
    <col min="7" max="16384" width="10.83203125" style="50"/>
  </cols>
  <sheetData>
    <row r="1" spans="1:7">
      <c r="A1" s="53" t="s">
        <v>55</v>
      </c>
      <c r="B1" s="53">
        <v>300</v>
      </c>
      <c r="C1" s="53">
        <v>300</v>
      </c>
      <c r="D1" s="53">
        <v>400</v>
      </c>
      <c r="E1" s="53"/>
      <c r="F1" s="53"/>
      <c r="G1" s="53"/>
    </row>
    <row r="2" spans="1:7">
      <c r="A2" s="53" t="s">
        <v>264</v>
      </c>
      <c r="B2" s="53" t="s">
        <v>15</v>
      </c>
      <c r="C2" s="53" t="s">
        <v>265</v>
      </c>
      <c r="D2" s="53" t="s">
        <v>266</v>
      </c>
      <c r="E2" s="53" t="s">
        <v>267</v>
      </c>
      <c r="F2" s="53" t="s">
        <v>17</v>
      </c>
      <c r="G2" s="53" t="s">
        <v>268</v>
      </c>
    </row>
    <row r="3" spans="1:7">
      <c r="A3" s="53" t="s">
        <v>269</v>
      </c>
      <c r="B3" s="53">
        <f>(3*5)+(2*5)</f>
        <v>25</v>
      </c>
      <c r="C3" s="53">
        <f>(1+1)*5</f>
        <v>10</v>
      </c>
      <c r="D3" s="53">
        <f>(2*5)+(2*5)</f>
        <v>20</v>
      </c>
      <c r="E3" s="53">
        <f>($B$1*B3)+($C$1*C3)+($D$1*D3)</f>
        <v>18500</v>
      </c>
      <c r="F3" s="53">
        <v>34000</v>
      </c>
      <c r="G3" s="93">
        <f>E3/F3</f>
        <v>0.54411764705882348</v>
      </c>
    </row>
    <row r="4" spans="1:7">
      <c r="A4" s="53" t="s">
        <v>270</v>
      </c>
      <c r="B4" s="53">
        <v>6</v>
      </c>
      <c r="C4" s="53">
        <f>4*6</f>
        <v>24</v>
      </c>
      <c r="D4" s="53">
        <v>6</v>
      </c>
      <c r="E4" s="53">
        <f t="shared" ref="E4:E10" si="0">($B$1*B4)+($C$1*C4)+($D$1*D4)</f>
        <v>11400</v>
      </c>
      <c r="F4" s="53">
        <v>34000</v>
      </c>
      <c r="G4" s="93">
        <f t="shared" ref="G4:G10" si="1">E4/F4</f>
        <v>0.3352941176470588</v>
      </c>
    </row>
    <row r="5" spans="1:7">
      <c r="A5" s="53" t="s">
        <v>271</v>
      </c>
      <c r="B5" s="53">
        <f>(3+2+2)*4</f>
        <v>28</v>
      </c>
      <c r="C5" s="53">
        <f>(1+1+1)*4</f>
        <v>12</v>
      </c>
      <c r="D5" s="53">
        <f>(2+2+4)*4</f>
        <v>32</v>
      </c>
      <c r="E5" s="53">
        <f t="shared" si="0"/>
        <v>24800</v>
      </c>
      <c r="F5" s="53">
        <v>34000</v>
      </c>
      <c r="G5" s="93">
        <f t="shared" si="1"/>
        <v>0.72941176470588232</v>
      </c>
    </row>
    <row r="6" spans="1:7">
      <c r="A6" s="53" t="s">
        <v>272</v>
      </c>
      <c r="B6" s="53">
        <f>(3+2)*10</f>
        <v>50</v>
      </c>
      <c r="C6" s="53">
        <f>(1+1)*10</f>
        <v>20</v>
      </c>
      <c r="D6" s="53">
        <f>(2+2)*10</f>
        <v>40</v>
      </c>
      <c r="E6" s="53">
        <f t="shared" si="0"/>
        <v>37000</v>
      </c>
      <c r="F6" s="53">
        <v>34000</v>
      </c>
      <c r="G6" s="93">
        <f t="shared" si="1"/>
        <v>1.088235294117647</v>
      </c>
    </row>
    <row r="7" spans="1:7">
      <c r="A7" s="94" t="s">
        <v>273</v>
      </c>
      <c r="B7" s="94">
        <f>(3+2+1)*10</f>
        <v>60</v>
      </c>
      <c r="C7" s="94">
        <f>(1+1+4)*10</f>
        <v>60</v>
      </c>
      <c r="D7" s="94">
        <f>(2+2+1)*10</f>
        <v>50</v>
      </c>
      <c r="E7" s="94">
        <f t="shared" si="0"/>
        <v>56000</v>
      </c>
      <c r="F7" s="94">
        <v>34000</v>
      </c>
      <c r="G7" s="95">
        <f t="shared" si="1"/>
        <v>1.6470588235294117</v>
      </c>
    </row>
    <row r="8" spans="1:7">
      <c r="A8" s="53" t="s">
        <v>274</v>
      </c>
      <c r="B8" s="53">
        <f>2*10</f>
        <v>20</v>
      </c>
      <c r="C8" s="53">
        <f>1*10</f>
        <v>10</v>
      </c>
      <c r="D8" s="53">
        <f>4*10</f>
        <v>40</v>
      </c>
      <c r="E8" s="53">
        <f t="shared" si="0"/>
        <v>25000</v>
      </c>
      <c r="F8" s="53">
        <v>34000</v>
      </c>
      <c r="G8" s="93">
        <f t="shared" si="1"/>
        <v>0.73529411764705888</v>
      </c>
    </row>
    <row r="9" spans="1:7">
      <c r="A9" s="53" t="s">
        <v>275</v>
      </c>
      <c r="B9" s="53">
        <f>2</f>
        <v>2</v>
      </c>
      <c r="C9" s="53">
        <f>2</f>
        <v>2</v>
      </c>
      <c r="D9" s="53">
        <f>2</f>
        <v>2</v>
      </c>
      <c r="E9" s="53">
        <f t="shared" si="0"/>
        <v>2000</v>
      </c>
      <c r="F9" s="53">
        <v>34000</v>
      </c>
      <c r="G9" s="93">
        <f t="shared" si="1"/>
        <v>5.8823529411764705E-2</v>
      </c>
    </row>
    <row r="10" spans="1:7">
      <c r="A10" s="53" t="s">
        <v>276</v>
      </c>
      <c r="B10" s="53">
        <v>20</v>
      </c>
      <c r="C10" s="53">
        <f>20</f>
        <v>20</v>
      </c>
      <c r="D10" s="53">
        <f>20</f>
        <v>20</v>
      </c>
      <c r="E10" s="53">
        <f t="shared" si="0"/>
        <v>20000</v>
      </c>
      <c r="F10" s="53">
        <v>34000</v>
      </c>
      <c r="G10" s="93">
        <f t="shared" si="1"/>
        <v>0.58823529411764708</v>
      </c>
    </row>
    <row r="11" spans="1:7">
      <c r="A11" s="53"/>
      <c r="B11" s="53"/>
      <c r="C11" s="53"/>
      <c r="D11" s="53"/>
      <c r="E11" s="53"/>
      <c r="F11" s="53"/>
      <c r="G11" s="53"/>
    </row>
    <row r="12" spans="1:7">
      <c r="A12" s="53"/>
      <c r="B12" s="53" t="s">
        <v>15</v>
      </c>
      <c r="C12" s="53" t="s">
        <v>265</v>
      </c>
      <c r="D12" s="53" t="s">
        <v>266</v>
      </c>
      <c r="E12" s="53"/>
      <c r="F12" s="53"/>
      <c r="G12" s="53"/>
    </row>
    <row r="13" spans="1:7">
      <c r="A13" s="53" t="s">
        <v>277</v>
      </c>
      <c r="B13" s="53">
        <v>600</v>
      </c>
      <c r="C13" s="53">
        <v>800</v>
      </c>
      <c r="D13" s="53">
        <v>600</v>
      </c>
      <c r="E13" s="53"/>
      <c r="F13" s="53"/>
      <c r="G13" s="53"/>
    </row>
    <row r="14" spans="1:7">
      <c r="A14" s="53" t="s">
        <v>111</v>
      </c>
      <c r="B14" s="53">
        <v>200</v>
      </c>
      <c r="C14" s="53">
        <v>450</v>
      </c>
      <c r="D14" s="53">
        <v>220</v>
      </c>
      <c r="E14" s="53"/>
      <c r="F14" s="53"/>
      <c r="G14" s="53"/>
    </row>
    <row r="15" spans="1:7">
      <c r="A15" s="53" t="s">
        <v>278</v>
      </c>
      <c r="B15" s="53">
        <f>B13-B14</f>
        <v>400</v>
      </c>
      <c r="C15" s="53">
        <f>C13-C14</f>
        <v>350</v>
      </c>
      <c r="D15" s="53">
        <f>D13-D14</f>
        <v>380</v>
      </c>
      <c r="E15" s="53"/>
      <c r="F15" s="53"/>
      <c r="G15" s="53"/>
    </row>
    <row r="16" spans="1:7">
      <c r="A16" s="53" t="s">
        <v>28</v>
      </c>
      <c r="B16" s="53">
        <f>B7</f>
        <v>60</v>
      </c>
      <c r="C16" s="53">
        <f>C7</f>
        <v>60</v>
      </c>
      <c r="D16" s="53">
        <f>D7</f>
        <v>50</v>
      </c>
      <c r="E16" s="53"/>
      <c r="F16" s="53"/>
      <c r="G16" s="53"/>
    </row>
    <row r="17" spans="1:7">
      <c r="A17" s="53" t="s">
        <v>279</v>
      </c>
      <c r="B17" s="55">
        <f>B15/B16</f>
        <v>6.666666666666667</v>
      </c>
      <c r="C17" s="55">
        <f>C15/C16</f>
        <v>5.833333333333333</v>
      </c>
      <c r="D17" s="55">
        <f>D15/D16</f>
        <v>7.6</v>
      </c>
      <c r="E17" s="53"/>
      <c r="F17" s="53"/>
      <c r="G17" s="53"/>
    </row>
    <row r="18" spans="1:7">
      <c r="A18" s="53"/>
      <c r="B18" s="53"/>
      <c r="C18" s="53"/>
      <c r="D18" s="53"/>
      <c r="E18" s="53"/>
      <c r="F18" s="53"/>
      <c r="G18" s="53"/>
    </row>
    <row r="19" spans="1:7">
      <c r="A19" s="53" t="s">
        <v>114</v>
      </c>
      <c r="B19" s="53">
        <v>3</v>
      </c>
      <c r="C19" s="53">
        <v>1</v>
      </c>
      <c r="D19" s="53">
        <v>6</v>
      </c>
      <c r="E19" s="53"/>
      <c r="F19" s="53"/>
      <c r="G19" s="53"/>
    </row>
    <row r="20" spans="1:7">
      <c r="A20" s="53"/>
      <c r="B20" s="53" t="s">
        <v>15</v>
      </c>
      <c r="C20" s="53" t="s">
        <v>265</v>
      </c>
      <c r="D20" s="53" t="s">
        <v>266</v>
      </c>
      <c r="E20" s="53"/>
      <c r="F20" s="53"/>
      <c r="G20" s="53"/>
    </row>
    <row r="21" spans="1:7">
      <c r="A21" s="53"/>
      <c r="B21" s="53">
        <f>B16</f>
        <v>60</v>
      </c>
      <c r="C21" s="53">
        <f>C16</f>
        <v>60</v>
      </c>
      <c r="D21" s="53">
        <f>D16</f>
        <v>50</v>
      </c>
      <c r="E21" s="53">
        <f>F3</f>
        <v>34000</v>
      </c>
      <c r="F21" s="53"/>
      <c r="G21" s="53"/>
    </row>
    <row r="22" spans="1:7">
      <c r="A22" s="53"/>
      <c r="B22" s="53"/>
      <c r="C22" s="53"/>
      <c r="D22" s="53">
        <f>(B19*B21)+(C19*C21)+(D19*D21)</f>
        <v>540</v>
      </c>
      <c r="E22" s="53">
        <f>E21</f>
        <v>34000</v>
      </c>
      <c r="F22" s="53"/>
      <c r="G22" s="53"/>
    </row>
    <row r="23" spans="1:7">
      <c r="A23" s="53"/>
      <c r="B23" s="53"/>
      <c r="C23" s="53"/>
      <c r="D23" s="54">
        <f>E22/D22</f>
        <v>62.962962962962962</v>
      </c>
      <c r="E23" s="53"/>
      <c r="F23" s="114" t="s">
        <v>34</v>
      </c>
      <c r="G23" s="114"/>
    </row>
    <row r="24" spans="1:7">
      <c r="A24" s="53"/>
      <c r="B24" s="53" t="s">
        <v>15</v>
      </c>
      <c r="C24" s="54">
        <f>D23*B19</f>
        <v>188.88888888888889</v>
      </c>
      <c r="D24" s="53"/>
      <c r="E24" s="53"/>
      <c r="F24" s="96" t="s">
        <v>280</v>
      </c>
      <c r="G24" s="97">
        <f>($C$24*B13)+($C$25*C13)+($C$26*D13)</f>
        <v>390370.37037037034</v>
      </c>
    </row>
    <row r="25" spans="1:7">
      <c r="A25" s="53"/>
      <c r="B25" s="53" t="s">
        <v>265</v>
      </c>
      <c r="C25" s="54">
        <f>D23*C19</f>
        <v>62.962962962962962</v>
      </c>
      <c r="D25" s="53"/>
      <c r="E25" s="53"/>
      <c r="F25" s="96" t="s">
        <v>111</v>
      </c>
      <c r="G25" s="97">
        <f>($C$24*B14)+($C$25*C14)+($C$26*D14)</f>
        <v>149222.22222222222</v>
      </c>
    </row>
    <row r="26" spans="1:7">
      <c r="A26" s="53"/>
      <c r="B26" s="53" t="s">
        <v>266</v>
      </c>
      <c r="C26" s="54">
        <f>D23*D19</f>
        <v>377.77777777777777</v>
      </c>
      <c r="D26" s="53"/>
      <c r="E26" s="53"/>
      <c r="F26" s="96" t="s">
        <v>281</v>
      </c>
      <c r="G26" s="97">
        <f>G24-G25</f>
        <v>241148.14814814812</v>
      </c>
    </row>
    <row r="27" spans="1:7">
      <c r="A27" s="53"/>
      <c r="B27" s="53"/>
      <c r="C27" s="53"/>
      <c r="D27" s="53"/>
      <c r="E27" s="53"/>
      <c r="F27" s="96" t="s">
        <v>282</v>
      </c>
      <c r="G27" s="97">
        <v>100000</v>
      </c>
    </row>
    <row r="28" spans="1:7">
      <c r="A28" s="53"/>
      <c r="B28" s="53"/>
      <c r="C28" s="53"/>
      <c r="D28" s="53"/>
      <c r="E28" s="53"/>
      <c r="F28" s="96" t="s">
        <v>37</v>
      </c>
      <c r="G28" s="98">
        <f>G26-G27</f>
        <v>141148.14814814812</v>
      </c>
    </row>
    <row r="29" spans="1:7">
      <c r="A29" s="53"/>
      <c r="B29" s="53"/>
      <c r="C29" s="53"/>
      <c r="D29" s="53"/>
      <c r="E29" s="53"/>
      <c r="F29" s="53"/>
      <c r="G29" s="53"/>
    </row>
  </sheetData>
  <mergeCells count="1">
    <mergeCell ref="F23:G2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workbookViewId="0">
      <selection activeCell="G12" sqref="G12"/>
    </sheetView>
  </sheetViews>
  <sheetFormatPr baseColWidth="10" defaultRowHeight="16"/>
  <cols>
    <col min="1" max="1" width="26.33203125" customWidth="1"/>
    <col min="10" max="10" width="9.33203125" customWidth="1"/>
    <col min="12" max="12" width="9.6640625" customWidth="1"/>
  </cols>
  <sheetData>
    <row r="1" spans="1:13">
      <c r="A1" s="20"/>
      <c r="B1" s="111" t="s">
        <v>38</v>
      </c>
      <c r="C1" s="111"/>
      <c r="D1" s="111"/>
      <c r="E1" s="111"/>
      <c r="F1" s="111"/>
      <c r="G1" s="20"/>
    </row>
    <row r="2" spans="1:13">
      <c r="A2" s="21" t="s">
        <v>39</v>
      </c>
      <c r="B2" s="21">
        <v>1</v>
      </c>
      <c r="C2" s="21">
        <v>2</v>
      </c>
      <c r="D2" s="21">
        <v>3</v>
      </c>
      <c r="E2" s="21">
        <v>4</v>
      </c>
      <c r="F2" s="21">
        <v>5</v>
      </c>
      <c r="G2" s="21" t="s">
        <v>40</v>
      </c>
      <c r="H2" s="32" t="s">
        <v>45</v>
      </c>
      <c r="I2" s="32" t="s">
        <v>46</v>
      </c>
      <c r="J2" s="24" t="s">
        <v>47</v>
      </c>
      <c r="K2" s="24" t="s">
        <v>51</v>
      </c>
      <c r="L2" s="24" t="s">
        <v>52</v>
      </c>
      <c r="M2" s="24" t="s">
        <v>52</v>
      </c>
    </row>
    <row r="3" spans="1:13">
      <c r="A3" s="20" t="s">
        <v>41</v>
      </c>
      <c r="B3" s="22">
        <v>35</v>
      </c>
      <c r="C3" s="22">
        <v>40</v>
      </c>
      <c r="D3" s="22">
        <v>33</v>
      </c>
      <c r="E3" s="22">
        <v>42</v>
      </c>
      <c r="F3" s="22">
        <v>39</v>
      </c>
      <c r="G3" s="23">
        <v>1.2</v>
      </c>
      <c r="H3" s="26">
        <f>AVERAGE(B3:F3)</f>
        <v>37.799999999999997</v>
      </c>
      <c r="I3" s="25">
        <f>+H3*G3</f>
        <v>45.359999999999992</v>
      </c>
      <c r="J3" s="26">
        <f>+I3/(1-$B$8)</f>
        <v>53.364705882352936</v>
      </c>
      <c r="K3" s="26">
        <f>_xlfn.STDEV.S(B3:F3)</f>
        <v>3.7013511046643495</v>
      </c>
      <c r="L3" s="31">
        <f>+POWER(((1.96*K3)/($B$10*H3)),2)</f>
        <v>14.733607681755831</v>
      </c>
      <c r="M3" s="31">
        <f>ROUNDUP(L3,0)</f>
        <v>15</v>
      </c>
    </row>
    <row r="4" spans="1:13">
      <c r="A4" s="20" t="s">
        <v>42</v>
      </c>
      <c r="B4" s="22">
        <v>12</v>
      </c>
      <c r="C4" s="22">
        <v>10</v>
      </c>
      <c r="D4" s="22">
        <v>16</v>
      </c>
      <c r="E4" s="22">
        <v>15</v>
      </c>
      <c r="F4" s="22">
        <v>13</v>
      </c>
      <c r="G4" s="23">
        <v>1.1000000000000001</v>
      </c>
      <c r="H4" s="26">
        <f t="shared" ref="H4:H6" si="0">AVERAGE(B4:F4)</f>
        <v>13.2</v>
      </c>
      <c r="I4" s="25">
        <f t="shared" ref="I4:I6" si="1">+H4*G4</f>
        <v>14.52</v>
      </c>
      <c r="J4" s="26">
        <f t="shared" ref="J4:J6" si="2">+I4/(1-$B$8)</f>
        <v>17.08235294117647</v>
      </c>
      <c r="K4" s="26">
        <f t="shared" ref="K4:K6" si="3">_xlfn.STDEV.S(B4:F4)</f>
        <v>2.3874672772626622</v>
      </c>
      <c r="L4" s="31">
        <f t="shared" ref="L4:L6" si="4">+POWER(((1.96*K4)/($B$10*H4)),2)</f>
        <v>50.26887052341587</v>
      </c>
      <c r="M4" s="31">
        <f t="shared" ref="M4:M6" si="5">ROUNDUP(L4,0)</f>
        <v>51</v>
      </c>
    </row>
    <row r="5" spans="1:13">
      <c r="A5" s="20" t="s">
        <v>43</v>
      </c>
      <c r="B5" s="22">
        <v>3</v>
      </c>
      <c r="C5" s="22">
        <v>3</v>
      </c>
      <c r="D5" s="22">
        <v>5</v>
      </c>
      <c r="E5" s="22">
        <v>5</v>
      </c>
      <c r="F5" s="22">
        <v>4</v>
      </c>
      <c r="G5" s="23">
        <v>0.9</v>
      </c>
      <c r="H5" s="26">
        <f t="shared" si="0"/>
        <v>4</v>
      </c>
      <c r="I5" s="25">
        <f t="shared" si="1"/>
        <v>3.6</v>
      </c>
      <c r="J5" s="26">
        <f t="shared" si="2"/>
        <v>4.2352941176470589</v>
      </c>
      <c r="K5" s="26">
        <f t="shared" si="3"/>
        <v>1</v>
      </c>
      <c r="L5" s="31">
        <f t="shared" si="4"/>
        <v>96.039999999999978</v>
      </c>
      <c r="M5" s="31">
        <f t="shared" si="5"/>
        <v>97</v>
      </c>
    </row>
    <row r="6" spans="1:13">
      <c r="A6" s="20" t="s">
        <v>44</v>
      </c>
      <c r="B6" s="22">
        <v>15</v>
      </c>
      <c r="C6" s="22">
        <v>18</v>
      </c>
      <c r="D6" s="22">
        <v>21</v>
      </c>
      <c r="E6" s="22">
        <v>17</v>
      </c>
      <c r="F6" s="22">
        <v>15</v>
      </c>
      <c r="G6" s="23">
        <v>0.85</v>
      </c>
      <c r="H6" s="26">
        <f t="shared" si="0"/>
        <v>17.2</v>
      </c>
      <c r="I6" s="25">
        <f t="shared" si="1"/>
        <v>14.62</v>
      </c>
      <c r="J6" s="26">
        <f t="shared" si="2"/>
        <v>17.2</v>
      </c>
      <c r="K6" s="26">
        <f t="shared" si="3"/>
        <v>2.4899799195977441</v>
      </c>
      <c r="L6" s="31">
        <f t="shared" si="4"/>
        <v>32.203785830178418</v>
      </c>
      <c r="M6" s="31">
        <f t="shared" si="5"/>
        <v>33</v>
      </c>
    </row>
    <row r="7" spans="1:13">
      <c r="J7" s="26">
        <f>SUM(J3:J6)</f>
        <v>91.882352941176464</v>
      </c>
    </row>
    <row r="8" spans="1:13">
      <c r="A8" s="27" t="s">
        <v>48</v>
      </c>
      <c r="B8" s="29">
        <v>0.15</v>
      </c>
      <c r="K8" s="33" t="s">
        <v>53</v>
      </c>
    </row>
    <row r="9" spans="1:13">
      <c r="A9" s="27" t="s">
        <v>49</v>
      </c>
      <c r="B9" s="28">
        <v>0.95</v>
      </c>
    </row>
    <row r="10" spans="1:13">
      <c r="A10" s="27" t="s">
        <v>50</v>
      </c>
      <c r="B10" s="28">
        <v>0.05</v>
      </c>
      <c r="L10" s="31"/>
    </row>
    <row r="57" spans="1:1">
      <c r="A57">
        <v>0</v>
      </c>
    </row>
  </sheetData>
  <mergeCells count="1">
    <mergeCell ref="B1:F1"/>
  </mergeCells>
  <pageMargins left="0.75" right="0.75" top="1" bottom="1" header="0.5" footer="0.5"/>
  <ignoredErrors>
    <ignoredError sqref="H3:H6 K3:K6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workbookViewId="0">
      <selection activeCell="O27" sqref="O27"/>
    </sheetView>
  </sheetViews>
  <sheetFormatPr baseColWidth="10" defaultRowHeight="13"/>
  <cols>
    <col min="1" max="1" width="15.6640625" style="34" bestFit="1" customWidth="1"/>
    <col min="2" max="6" width="10.83203125" style="34"/>
    <col min="7" max="7" width="17.1640625" style="34" bestFit="1" customWidth="1"/>
    <col min="8" max="16384" width="10.83203125" style="34"/>
  </cols>
  <sheetData>
    <row r="1" spans="1:11">
      <c r="B1" s="34" t="s">
        <v>61</v>
      </c>
      <c r="C1" s="34" t="s">
        <v>62</v>
      </c>
      <c r="D1" s="34" t="s">
        <v>63</v>
      </c>
    </row>
    <row r="2" spans="1:11">
      <c r="A2" s="34" t="s">
        <v>11</v>
      </c>
      <c r="B2" s="34">
        <v>10500</v>
      </c>
      <c r="C2" s="34">
        <v>13500</v>
      </c>
      <c r="D2" s="34">
        <v>15000</v>
      </c>
    </row>
    <row r="3" spans="1:11">
      <c r="A3" s="34" t="s">
        <v>12</v>
      </c>
      <c r="B3" s="34">
        <v>6000</v>
      </c>
      <c r="C3" s="34">
        <v>8000</v>
      </c>
      <c r="D3" s="34">
        <v>10000</v>
      </c>
    </row>
    <row r="5" spans="1:11">
      <c r="A5" s="34" t="s">
        <v>64</v>
      </c>
      <c r="B5" s="38">
        <v>0.1</v>
      </c>
    </row>
    <row r="6" spans="1:11">
      <c r="A6" s="34" t="s">
        <v>65</v>
      </c>
      <c r="B6" s="38">
        <v>0.04</v>
      </c>
    </row>
    <row r="7" spans="1:11">
      <c r="A7" s="34" t="s">
        <v>66</v>
      </c>
      <c r="B7" s="38">
        <v>0.05</v>
      </c>
      <c r="C7" s="34" t="s">
        <v>67</v>
      </c>
      <c r="D7" s="34">
        <v>500</v>
      </c>
    </row>
    <row r="8" spans="1:11">
      <c r="A8" s="34" t="s">
        <v>68</v>
      </c>
      <c r="B8" s="38">
        <v>7.0000000000000007E-2</v>
      </c>
      <c r="C8" s="34" t="s">
        <v>67</v>
      </c>
      <c r="D8" s="34">
        <v>100</v>
      </c>
    </row>
    <row r="9" spans="1:11">
      <c r="A9" s="34" t="s">
        <v>69</v>
      </c>
      <c r="B9" s="38">
        <v>0.02</v>
      </c>
    </row>
    <row r="10" spans="1:11">
      <c r="B10" s="38"/>
    </row>
    <row r="11" spans="1:11">
      <c r="A11" s="39" t="s">
        <v>70</v>
      </c>
      <c r="G11" s="39" t="s">
        <v>71</v>
      </c>
    </row>
    <row r="13" spans="1:11">
      <c r="A13" s="39" t="s">
        <v>54</v>
      </c>
      <c r="B13" s="39">
        <v>0</v>
      </c>
      <c r="C13" s="39">
        <v>1</v>
      </c>
      <c r="D13" s="39">
        <v>2</v>
      </c>
      <c r="E13" s="39">
        <v>3</v>
      </c>
      <c r="F13" s="39"/>
      <c r="G13" s="39" t="s">
        <v>54</v>
      </c>
      <c r="H13" s="39">
        <v>0</v>
      </c>
      <c r="I13" s="39">
        <v>1</v>
      </c>
      <c r="J13" s="39">
        <v>2</v>
      </c>
      <c r="K13" s="39">
        <v>3</v>
      </c>
    </row>
    <row r="14" spans="1:11">
      <c r="A14" s="34" t="s">
        <v>56</v>
      </c>
      <c r="C14" s="34">
        <v>1000</v>
      </c>
      <c r="D14" s="37">
        <f>C20</f>
        <v>4500.0000000000146</v>
      </c>
      <c r="E14" s="37">
        <f>D20</f>
        <v>5900</v>
      </c>
      <c r="G14" s="34" t="s">
        <v>56</v>
      </c>
      <c r="I14" s="34">
        <v>4000</v>
      </c>
      <c r="J14" s="37">
        <f>I19</f>
        <v>3375</v>
      </c>
      <c r="K14" s="37">
        <f>J19</f>
        <v>4200</v>
      </c>
    </row>
    <row r="15" spans="1:11">
      <c r="A15" s="34" t="s">
        <v>72</v>
      </c>
      <c r="C15" s="37">
        <f>B21</f>
        <v>51573.129251700695</v>
      </c>
      <c r="D15" s="37">
        <f>C21</f>
        <v>64296.343537414956</v>
      </c>
      <c r="E15" s="37">
        <f>D21</f>
        <v>75699.404761904778</v>
      </c>
      <c r="G15" s="34" t="s">
        <v>73</v>
      </c>
      <c r="I15" s="37">
        <f>H20</f>
        <v>32500</v>
      </c>
      <c r="J15" s="37">
        <f>I20</f>
        <v>43500</v>
      </c>
      <c r="K15" s="37">
        <f>J20</f>
        <v>48000</v>
      </c>
    </row>
    <row r="16" spans="1:11">
      <c r="A16" s="34" t="s">
        <v>65</v>
      </c>
      <c r="C16" s="37">
        <f>C15*$B$6</f>
        <v>2062.9251700680279</v>
      </c>
      <c r="D16" s="37">
        <f>D15*$B$6</f>
        <v>2571.8537414965981</v>
      </c>
      <c r="E16" s="37">
        <f>E15*$B$6</f>
        <v>3027.9761904761913</v>
      </c>
      <c r="G16" s="34" t="s">
        <v>74</v>
      </c>
      <c r="I16" s="37">
        <f>I15*$B$7</f>
        <v>1625</v>
      </c>
      <c r="J16" s="37">
        <f>J15*$B$7</f>
        <v>2175</v>
      </c>
      <c r="K16" s="37">
        <f>K15*$B$7</f>
        <v>2400</v>
      </c>
    </row>
    <row r="17" spans="1:11">
      <c r="A17" s="34" t="s">
        <v>75</v>
      </c>
      <c r="C17" s="37">
        <f>(C14*$B$9)+((C15*(1-$B$6)*$B$9))</f>
        <v>1010.2040816326532</v>
      </c>
      <c r="D17" s="37">
        <f>(D14*$B$9)+((D15*(1-$B$6)*$B$9))</f>
        <v>1324.4897959183675</v>
      </c>
      <c r="E17" s="37">
        <f>(E14*$B$9)+((E15*(1-$B$6)*$B$9))</f>
        <v>1571.4285714285716</v>
      </c>
      <c r="G17" s="34" t="s">
        <v>17</v>
      </c>
      <c r="I17" s="37">
        <f>I14+I15-I16</f>
        <v>34875</v>
      </c>
      <c r="J17" s="37">
        <f>J14+J15-J16</f>
        <v>44700</v>
      </c>
      <c r="K17" s="37">
        <f>K14+K15-K16</f>
        <v>49800</v>
      </c>
    </row>
    <row r="18" spans="1:11">
      <c r="A18" s="34" t="s">
        <v>17</v>
      </c>
      <c r="C18" s="37">
        <f>C14+C15-C17-C16</f>
        <v>49500.000000000015</v>
      </c>
      <c r="D18" s="37">
        <f>D14+D15-D17-D16</f>
        <v>64900</v>
      </c>
      <c r="E18" s="37">
        <f>E14+E15-E17-E16</f>
        <v>77000.000000000015</v>
      </c>
      <c r="G18" s="34" t="s">
        <v>76</v>
      </c>
      <c r="I18" s="34">
        <f>H22</f>
        <v>31500</v>
      </c>
      <c r="J18" s="34">
        <f>H24</f>
        <v>40500</v>
      </c>
      <c r="K18" s="34">
        <f>H26</f>
        <v>45000</v>
      </c>
    </row>
    <row r="19" spans="1:11">
      <c r="A19" s="34" t="s">
        <v>76</v>
      </c>
      <c r="C19" s="37">
        <f>B23</f>
        <v>45000</v>
      </c>
      <c r="D19" s="37">
        <f>B25</f>
        <v>59000</v>
      </c>
      <c r="E19" s="37">
        <f>B27</f>
        <v>70000</v>
      </c>
      <c r="G19" s="34" t="s">
        <v>59</v>
      </c>
      <c r="I19" s="37">
        <f>I17-I18</f>
        <v>3375</v>
      </c>
      <c r="J19" s="37">
        <f>J17-J18</f>
        <v>4200</v>
      </c>
      <c r="K19" s="37">
        <f>K17-K18</f>
        <v>4800</v>
      </c>
    </row>
    <row r="20" spans="1:11">
      <c r="A20" s="34" t="s">
        <v>59</v>
      </c>
      <c r="C20" s="37">
        <f>C18-C19</f>
        <v>4500.0000000000146</v>
      </c>
      <c r="D20" s="37">
        <f>D18-D19</f>
        <v>5900</v>
      </c>
      <c r="E20" s="37">
        <f>E18-E19</f>
        <v>7000.0000000000146</v>
      </c>
      <c r="G20" s="34" t="s">
        <v>77</v>
      </c>
      <c r="H20" s="37">
        <v>32500</v>
      </c>
      <c r="I20" s="37">
        <v>43500</v>
      </c>
      <c r="J20" s="37">
        <v>48000</v>
      </c>
      <c r="K20" s="40" t="s">
        <v>78</v>
      </c>
    </row>
    <row r="21" spans="1:11">
      <c r="A21" s="34" t="s">
        <v>77</v>
      </c>
      <c r="B21" s="37">
        <f>B24</f>
        <v>51573.129251700695</v>
      </c>
      <c r="C21" s="37">
        <f>B26</f>
        <v>64296.343537414956</v>
      </c>
      <c r="D21" s="37">
        <f>B28</f>
        <v>75699.404761904778</v>
      </c>
      <c r="E21" s="40" t="s">
        <v>78</v>
      </c>
    </row>
    <row r="22" spans="1:11">
      <c r="G22" s="34" t="s">
        <v>79</v>
      </c>
      <c r="H22" s="34">
        <f>B2*3</f>
        <v>31500</v>
      </c>
    </row>
    <row r="23" spans="1:11">
      <c r="A23" s="34" t="s">
        <v>80</v>
      </c>
      <c r="B23" s="34">
        <f>(2*B2)+(4*B3)</f>
        <v>45000</v>
      </c>
      <c r="G23" s="34" t="s">
        <v>81</v>
      </c>
      <c r="H23" s="37">
        <f>(((H22*1.1)-I14))/(1-B7)</f>
        <v>32263.157894736843</v>
      </c>
    </row>
    <row r="24" spans="1:11">
      <c r="A24" s="34" t="s">
        <v>81</v>
      </c>
      <c r="B24" s="37">
        <f>((((B23*1.1)-(C14*0.98)))/0.98)/0.96</f>
        <v>51573.129251700695</v>
      </c>
      <c r="G24" s="34" t="s">
        <v>82</v>
      </c>
      <c r="H24" s="34">
        <f>C2*3</f>
        <v>40500</v>
      </c>
    </row>
    <row r="25" spans="1:11">
      <c r="A25" s="34" t="s">
        <v>83</v>
      </c>
      <c r="B25" s="34">
        <f>(2*C2)+(4*C3)</f>
        <v>59000</v>
      </c>
      <c r="G25" s="34" t="s">
        <v>84</v>
      </c>
      <c r="H25" s="37">
        <f>(((H24*1.1)-J14))/(1-B7)</f>
        <v>43342.105263157893</v>
      </c>
    </row>
    <row r="26" spans="1:11">
      <c r="A26" s="34" t="s">
        <v>84</v>
      </c>
      <c r="B26" s="37">
        <f>((((B25*1.1)-(D14*0.98)))/0.98)/0.96</f>
        <v>64296.343537414956</v>
      </c>
      <c r="G26" s="34" t="s">
        <v>85</v>
      </c>
      <c r="H26" s="34">
        <f>D2*3</f>
        <v>45000</v>
      </c>
    </row>
    <row r="27" spans="1:11">
      <c r="A27" s="34" t="s">
        <v>86</v>
      </c>
      <c r="B27" s="34">
        <f>(2*D2)+(4*D3)</f>
        <v>70000</v>
      </c>
      <c r="G27" s="34" t="s">
        <v>87</v>
      </c>
      <c r="H27" s="37">
        <f>(((H26*1.1)-K14))/(1-B7)</f>
        <v>47684.210526315801</v>
      </c>
    </row>
    <row r="28" spans="1:11">
      <c r="A28" s="34" t="s">
        <v>87</v>
      </c>
      <c r="B28" s="37">
        <f>((((B27*1.1)-(E14*0.98)))/0.98)/0.96</f>
        <v>75699.404761904778</v>
      </c>
    </row>
    <row r="31" spans="1:11">
      <c r="A31" s="39" t="s">
        <v>88</v>
      </c>
    </row>
    <row r="33" spans="1:9">
      <c r="A33" s="39" t="s">
        <v>54</v>
      </c>
      <c r="B33" s="39">
        <v>-1</v>
      </c>
      <c r="C33" s="39">
        <v>0</v>
      </c>
      <c r="D33" s="39">
        <v>1</v>
      </c>
      <c r="E33" s="39">
        <v>2</v>
      </c>
    </row>
    <row r="34" spans="1:9">
      <c r="A34" s="34" t="s">
        <v>56</v>
      </c>
      <c r="C34" s="34">
        <v>0</v>
      </c>
      <c r="D34" s="37">
        <f>C39</f>
        <v>25877.35374149651</v>
      </c>
      <c r="E34" s="37">
        <f>D39</f>
        <v>32220.636054421717</v>
      </c>
    </row>
    <row r="35" spans="1:9">
      <c r="A35" s="34" t="s">
        <v>73</v>
      </c>
      <c r="C35" s="37">
        <f>B40</f>
        <v>305100</v>
      </c>
      <c r="D35" s="37">
        <f>C40</f>
        <v>352500</v>
      </c>
      <c r="E35" s="37">
        <f>D40</f>
        <v>413100</v>
      </c>
    </row>
    <row r="36" spans="1:9">
      <c r="A36" s="34" t="s">
        <v>74</v>
      </c>
      <c r="C36" s="37">
        <f>C35*$B$8</f>
        <v>21357.000000000004</v>
      </c>
      <c r="D36" s="37">
        <f>D35*$B$8</f>
        <v>24675.000000000004</v>
      </c>
      <c r="E36" s="37">
        <f>E35*$B$8</f>
        <v>28917.000000000004</v>
      </c>
    </row>
    <row r="37" spans="1:9">
      <c r="A37" s="34" t="s">
        <v>17</v>
      </c>
      <c r="C37" s="37">
        <f>C34+C35-C36</f>
        <v>283743</v>
      </c>
      <c r="D37" s="37">
        <f>D34+D35-D36</f>
        <v>353702.35374149651</v>
      </c>
      <c r="E37" s="37">
        <f>E34+E35-E36</f>
        <v>416403.63605442172</v>
      </c>
    </row>
    <row r="38" spans="1:9">
      <c r="A38" s="34" t="s">
        <v>76</v>
      </c>
      <c r="C38" s="37">
        <f>B42</f>
        <v>257865.64625850349</v>
      </c>
      <c r="D38" s="37">
        <f>B44</f>
        <v>321481.71768707479</v>
      </c>
      <c r="E38" s="37">
        <f>B46</f>
        <v>378497.0238095239</v>
      </c>
    </row>
    <row r="39" spans="1:9">
      <c r="A39" s="34" t="s">
        <v>59</v>
      </c>
      <c r="C39" s="37">
        <f>C37-C38</f>
        <v>25877.35374149651</v>
      </c>
      <c r="D39" s="37">
        <f>D37-D38</f>
        <v>32220.636054421717</v>
      </c>
      <c r="E39" s="37">
        <f>E37-E38</f>
        <v>37906.612244897813</v>
      </c>
    </row>
    <row r="40" spans="1:9">
      <c r="A40" s="34" t="s">
        <v>77</v>
      </c>
      <c r="B40" s="37">
        <v>305100</v>
      </c>
      <c r="C40" s="37">
        <v>352500</v>
      </c>
      <c r="D40" s="37">
        <v>413100</v>
      </c>
      <c r="E40" s="40" t="s">
        <v>78</v>
      </c>
      <c r="I40" s="34">
        <f>25-9</f>
        <v>16</v>
      </c>
    </row>
    <row r="42" spans="1:9">
      <c r="A42" s="34" t="s">
        <v>89</v>
      </c>
      <c r="B42" s="37">
        <f>B21*5</f>
        <v>257865.64625850349</v>
      </c>
    </row>
    <row r="43" spans="1:9">
      <c r="A43" s="34" t="s">
        <v>90</v>
      </c>
      <c r="B43" s="37">
        <f>(((B42*1.1)-C34))/(1-$B$8)</f>
        <v>305002.37729500415</v>
      </c>
    </row>
    <row r="44" spans="1:9">
      <c r="A44" s="34" t="s">
        <v>91</v>
      </c>
      <c r="B44" s="37">
        <f>C21*5</f>
        <v>321481.71768707479</v>
      </c>
    </row>
    <row r="45" spans="1:9">
      <c r="A45" s="34" t="s">
        <v>92</v>
      </c>
      <c r="B45" s="37">
        <f>(((B44*1.1)-D34))/(1-$B$8)</f>
        <v>352422.08141321054</v>
      </c>
    </row>
    <row r="46" spans="1:9">
      <c r="A46" s="34" t="s">
        <v>93</v>
      </c>
      <c r="B46" s="37">
        <f>D21*5</f>
        <v>378497.0238095239</v>
      </c>
    </row>
    <row r="47" spans="1:9">
      <c r="A47" s="34" t="s">
        <v>84</v>
      </c>
      <c r="B47" s="37">
        <f>(((B46*1.1)-E34))/(1-$B$8)</f>
        <v>413038.8065979082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41"/>
  <sheetViews>
    <sheetView zoomScale="125" workbookViewId="0">
      <selection activeCell="K21" sqref="K21"/>
    </sheetView>
  </sheetViews>
  <sheetFormatPr baseColWidth="10" defaultRowHeight="13"/>
  <cols>
    <col min="1" max="2" width="10.83203125" style="34"/>
    <col min="3" max="3" width="13.6640625" style="34" bestFit="1" customWidth="1"/>
    <col min="4" max="4" width="14.83203125" style="34" bestFit="1" customWidth="1"/>
    <col min="5" max="16384" width="10.83203125" style="34"/>
  </cols>
  <sheetData>
    <row r="2" spans="1:7">
      <c r="B2" s="41">
        <v>4000</v>
      </c>
      <c r="C2" s="41">
        <v>4000</v>
      </c>
      <c r="D2" s="41">
        <v>3500</v>
      </c>
    </row>
    <row r="3" spans="1:7">
      <c r="A3" s="41"/>
      <c r="B3" s="41" t="s">
        <v>94</v>
      </c>
      <c r="C3" s="41" t="s">
        <v>95</v>
      </c>
      <c r="D3" s="41" t="s">
        <v>96</v>
      </c>
      <c r="E3" s="41" t="s">
        <v>97</v>
      </c>
      <c r="F3" s="41" t="s">
        <v>98</v>
      </c>
      <c r="G3" s="41" t="s">
        <v>99</v>
      </c>
    </row>
    <row r="4" spans="1:7">
      <c r="A4" s="41" t="s">
        <v>100</v>
      </c>
      <c r="B4" s="41">
        <f>5*0.25</f>
        <v>1.25</v>
      </c>
      <c r="C4" s="41">
        <f>3*0.25</f>
        <v>0.75</v>
      </c>
      <c r="D4" s="41">
        <f>4*0.25</f>
        <v>1</v>
      </c>
      <c r="E4" s="41">
        <f>($B$2*B4)+($C$2*C4)+($D$2*D4)</f>
        <v>11500</v>
      </c>
      <c r="F4" s="41">
        <f>9100*0.95</f>
        <v>8645</v>
      </c>
      <c r="G4" s="42">
        <f>E4/F4</f>
        <v>1.3302486986697513</v>
      </c>
    </row>
    <row r="5" spans="1:7">
      <c r="A5" s="41" t="s">
        <v>101</v>
      </c>
      <c r="B5" s="41">
        <f>5*0.3</f>
        <v>1.5</v>
      </c>
      <c r="C5" s="41">
        <f>3*0.3</f>
        <v>0.89999999999999991</v>
      </c>
      <c r="D5" s="41">
        <f>4*0.3</f>
        <v>1.2</v>
      </c>
      <c r="E5" s="41">
        <f t="shared" ref="E5:E13" si="0">($B$2*B5)+($C$2*C5)+($D$2*D5)</f>
        <v>13800</v>
      </c>
      <c r="F5" s="41">
        <f t="shared" ref="F5:F13" si="1">9100*0.95</f>
        <v>8645</v>
      </c>
      <c r="G5" s="42">
        <f t="shared" ref="G5:G13" si="2">E5/F5</f>
        <v>1.5962984384037016</v>
      </c>
    </row>
    <row r="6" spans="1:7">
      <c r="A6" s="41" t="s">
        <v>102</v>
      </c>
      <c r="B6" s="41">
        <f>5*0.3</f>
        <v>1.5</v>
      </c>
      <c r="C6" s="41">
        <f>3*0.3</f>
        <v>0.89999999999999991</v>
      </c>
      <c r="D6" s="41">
        <f>4*0.3</f>
        <v>1.2</v>
      </c>
      <c r="E6" s="41">
        <f t="shared" si="0"/>
        <v>13800</v>
      </c>
      <c r="F6" s="41">
        <f t="shared" si="1"/>
        <v>8645</v>
      </c>
      <c r="G6" s="42">
        <f t="shared" si="2"/>
        <v>1.5962984384037016</v>
      </c>
    </row>
    <row r="7" spans="1:7">
      <c r="A7" s="41" t="s">
        <v>103</v>
      </c>
      <c r="B7" s="41">
        <f>6*0.3</f>
        <v>1.7999999999999998</v>
      </c>
      <c r="C7" s="41">
        <f>6*0.3</f>
        <v>1.7999999999999998</v>
      </c>
      <c r="D7" s="41">
        <f>6*0.3</f>
        <v>1.7999999999999998</v>
      </c>
      <c r="E7" s="41">
        <f t="shared" si="0"/>
        <v>20699.999999999996</v>
      </c>
      <c r="F7" s="41">
        <f t="shared" si="1"/>
        <v>8645</v>
      </c>
      <c r="G7" s="42">
        <f t="shared" si="2"/>
        <v>2.3944476576055518</v>
      </c>
    </row>
    <row r="8" spans="1:7">
      <c r="A8" s="41" t="s">
        <v>104</v>
      </c>
      <c r="B8" s="41">
        <f>6*0.2</f>
        <v>1.2000000000000002</v>
      </c>
      <c r="C8" s="41">
        <f>6*0.2</f>
        <v>1.2000000000000002</v>
      </c>
      <c r="D8" s="41">
        <f>6*0.2</f>
        <v>1.2000000000000002</v>
      </c>
      <c r="E8" s="41">
        <f t="shared" si="0"/>
        <v>13800.000000000004</v>
      </c>
      <c r="F8" s="41">
        <f t="shared" si="1"/>
        <v>8645</v>
      </c>
      <c r="G8" s="42">
        <f t="shared" si="2"/>
        <v>1.596298438403702</v>
      </c>
    </row>
    <row r="9" spans="1:7">
      <c r="A9" s="41" t="s">
        <v>105</v>
      </c>
      <c r="B9" s="41">
        <f>6*0.25</f>
        <v>1.5</v>
      </c>
      <c r="C9" s="41">
        <f>6*0.25</f>
        <v>1.5</v>
      </c>
      <c r="D9" s="41">
        <f>6*0.25</f>
        <v>1.5</v>
      </c>
      <c r="E9" s="41">
        <f t="shared" si="0"/>
        <v>17250</v>
      </c>
      <c r="F9" s="41">
        <f t="shared" si="1"/>
        <v>8645</v>
      </c>
      <c r="G9" s="42">
        <f t="shared" si="2"/>
        <v>1.995373048004627</v>
      </c>
    </row>
    <row r="10" spans="1:7">
      <c r="A10" s="41" t="s">
        <v>106</v>
      </c>
      <c r="B10" s="41">
        <f>6*0.1</f>
        <v>0.60000000000000009</v>
      </c>
      <c r="C10" s="41">
        <f>6*0.1</f>
        <v>0.60000000000000009</v>
      </c>
      <c r="D10" s="41">
        <f>6*0.1</f>
        <v>0.60000000000000009</v>
      </c>
      <c r="E10" s="41">
        <f t="shared" si="0"/>
        <v>6900.0000000000018</v>
      </c>
      <c r="F10" s="41">
        <f t="shared" si="1"/>
        <v>8645</v>
      </c>
      <c r="G10" s="42">
        <f t="shared" si="2"/>
        <v>0.798149219201851</v>
      </c>
    </row>
    <row r="11" spans="1:7">
      <c r="A11" s="43">
        <v>1</v>
      </c>
      <c r="B11" s="44">
        <f>5*0.45</f>
        <v>2.25</v>
      </c>
      <c r="C11" s="44">
        <f>7*0.45</f>
        <v>3.15</v>
      </c>
      <c r="D11" s="44">
        <f>3*0.45</f>
        <v>1.35</v>
      </c>
      <c r="E11" s="44">
        <f t="shared" si="0"/>
        <v>26325</v>
      </c>
      <c r="F11" s="44">
        <f t="shared" si="1"/>
        <v>8645</v>
      </c>
      <c r="G11" s="45">
        <f t="shared" si="2"/>
        <v>3.0451127819548871</v>
      </c>
    </row>
    <row r="12" spans="1:7">
      <c r="A12" s="46">
        <v>2</v>
      </c>
      <c r="B12" s="41">
        <f>5*0.4</f>
        <v>2</v>
      </c>
      <c r="C12" s="41">
        <f>7*0.4</f>
        <v>2.8000000000000003</v>
      </c>
      <c r="D12" s="41">
        <f>3*0.4</f>
        <v>1.2000000000000002</v>
      </c>
      <c r="E12" s="41">
        <f t="shared" si="0"/>
        <v>23400</v>
      </c>
      <c r="F12" s="41">
        <f t="shared" si="1"/>
        <v>8645</v>
      </c>
      <c r="G12" s="42">
        <f t="shared" si="2"/>
        <v>2.7067669172932329</v>
      </c>
    </row>
    <row r="13" spans="1:7">
      <c r="A13" s="46">
        <v>3</v>
      </c>
      <c r="B13" s="41">
        <f>5*0.4</f>
        <v>2</v>
      </c>
      <c r="C13" s="41">
        <f>7*0.4</f>
        <v>2.8000000000000003</v>
      </c>
      <c r="D13" s="41">
        <f>3*0.4</f>
        <v>1.2000000000000002</v>
      </c>
      <c r="E13" s="41">
        <f t="shared" si="0"/>
        <v>23400</v>
      </c>
      <c r="F13" s="41">
        <f t="shared" si="1"/>
        <v>8645</v>
      </c>
      <c r="G13" s="42">
        <f t="shared" si="2"/>
        <v>2.7067669172932329</v>
      </c>
    </row>
    <row r="14" spans="1:7">
      <c r="A14" s="41"/>
    </row>
    <row r="15" spans="1:7">
      <c r="A15" s="41"/>
    </row>
    <row r="16" spans="1:7">
      <c r="A16" s="41" t="s">
        <v>32</v>
      </c>
      <c r="B16" s="41" t="s">
        <v>107</v>
      </c>
      <c r="C16" s="41" t="s">
        <v>108</v>
      </c>
      <c r="D16" s="41" t="s">
        <v>109</v>
      </c>
    </row>
    <row r="17" spans="1:5">
      <c r="A17" s="41" t="s">
        <v>110</v>
      </c>
      <c r="B17" s="41">
        <v>800</v>
      </c>
      <c r="C17" s="41">
        <v>1000</v>
      </c>
      <c r="D17" s="41">
        <v>900</v>
      </c>
    </row>
    <row r="18" spans="1:5">
      <c r="A18" s="41" t="s">
        <v>111</v>
      </c>
      <c r="B18" s="41">
        <v>400</v>
      </c>
      <c r="C18" s="41">
        <v>450</v>
      </c>
      <c r="D18" s="41">
        <v>725</v>
      </c>
    </row>
    <row r="19" spans="1:5">
      <c r="A19" s="41" t="s">
        <v>112</v>
      </c>
      <c r="B19" s="41">
        <f>B17-B18</f>
        <v>400</v>
      </c>
      <c r="C19" s="41">
        <f>C17-C18</f>
        <v>550</v>
      </c>
      <c r="D19" s="41">
        <f>D17-D18</f>
        <v>175</v>
      </c>
    </row>
    <row r="20" spans="1:5">
      <c r="A20" s="41" t="s">
        <v>28</v>
      </c>
      <c r="B20" s="47">
        <f>5*0.45</f>
        <v>2.25</v>
      </c>
      <c r="C20" s="47">
        <f>7*0.45</f>
        <v>3.15</v>
      </c>
      <c r="D20" s="47">
        <f>3*0.45</f>
        <v>1.35</v>
      </c>
    </row>
    <row r="21" spans="1:5">
      <c r="A21" s="41" t="s">
        <v>113</v>
      </c>
      <c r="B21" s="48">
        <f>B19/B20</f>
        <v>177.77777777777777</v>
      </c>
      <c r="C21" s="48">
        <f>C19/C20</f>
        <v>174.60317460317461</v>
      </c>
      <c r="D21" s="48">
        <f>D19/D20</f>
        <v>129.62962962962962</v>
      </c>
    </row>
    <row r="22" spans="1:5">
      <c r="A22" s="41"/>
    </row>
    <row r="23" spans="1:5">
      <c r="A23" s="41" t="s">
        <v>114</v>
      </c>
    </row>
    <row r="24" spans="1:5">
      <c r="A24" s="41"/>
      <c r="B24" s="41" t="s">
        <v>115</v>
      </c>
      <c r="C24" s="41" t="s">
        <v>116</v>
      </c>
      <c r="D24" s="41" t="s">
        <v>117</v>
      </c>
      <c r="E24" s="41" t="s">
        <v>118</v>
      </c>
    </row>
    <row r="25" spans="1:5">
      <c r="A25" s="41"/>
      <c r="B25" s="34">
        <f>B20</f>
        <v>2.25</v>
      </c>
      <c r="C25" s="34">
        <f>C20</f>
        <v>3.15</v>
      </c>
      <c r="D25" s="34">
        <f>D20</f>
        <v>1.35</v>
      </c>
      <c r="E25" s="34">
        <f>F11</f>
        <v>8645</v>
      </c>
    </row>
    <row r="26" spans="1:5">
      <c r="A26" s="41"/>
      <c r="D26" s="34">
        <f>(B25*5)+(C25*2)+(D25*1)</f>
        <v>18.900000000000002</v>
      </c>
      <c r="E26" s="34">
        <f>E25</f>
        <v>8645</v>
      </c>
    </row>
    <row r="27" spans="1:5">
      <c r="A27" s="41"/>
      <c r="D27" s="37">
        <f>E26/D26</f>
        <v>457.40740740740733</v>
      </c>
      <c r="E27" s="34" t="s">
        <v>119</v>
      </c>
    </row>
    <row r="28" spans="1:5">
      <c r="A28" s="41"/>
      <c r="B28" s="41" t="s">
        <v>107</v>
      </c>
      <c r="C28" s="41" t="s">
        <v>108</v>
      </c>
      <c r="D28" s="41" t="s">
        <v>109</v>
      </c>
    </row>
    <row r="29" spans="1:5">
      <c r="A29" s="41"/>
      <c r="B29" s="37">
        <f>D27*5</f>
        <v>2287.0370370370365</v>
      </c>
      <c r="C29" s="37">
        <f>D27*2</f>
        <v>914.81481481481467</v>
      </c>
      <c r="D29" s="37">
        <f>D27*1</f>
        <v>457.40740740740733</v>
      </c>
    </row>
    <row r="30" spans="1:5">
      <c r="A30" s="41"/>
    </row>
    <row r="31" spans="1:5">
      <c r="A31" s="41"/>
      <c r="B31" s="34" t="s">
        <v>120</v>
      </c>
    </row>
    <row r="32" spans="1:5">
      <c r="A32" s="41"/>
      <c r="B32" s="34" t="s">
        <v>107</v>
      </c>
      <c r="C32" s="49">
        <f>$B$29*B17</f>
        <v>1829629.6296296292</v>
      </c>
      <c r="D32" s="49"/>
    </row>
    <row r="33" spans="2:4">
      <c r="B33" s="34" t="s">
        <v>108</v>
      </c>
      <c r="C33" s="49">
        <f>$C$29*C17</f>
        <v>914814.81481481472</v>
      </c>
      <c r="D33" s="49"/>
    </row>
    <row r="34" spans="2:4">
      <c r="B34" s="34" t="s">
        <v>109</v>
      </c>
      <c r="C34" s="49">
        <f>$D$29*D17</f>
        <v>411666.66666666663</v>
      </c>
      <c r="D34" s="49">
        <f>SUM(C32:C34)</f>
        <v>3156111.1111111105</v>
      </c>
    </row>
    <row r="35" spans="2:4">
      <c r="B35" s="34" t="s">
        <v>121</v>
      </c>
      <c r="C35" s="49"/>
      <c r="D35" s="49"/>
    </row>
    <row r="36" spans="2:4">
      <c r="C36" s="49">
        <f>$B$29*B18</f>
        <v>914814.8148148146</v>
      </c>
      <c r="D36" s="49"/>
    </row>
    <row r="37" spans="2:4">
      <c r="C37" s="49">
        <f>$C$29*C18</f>
        <v>411666.66666666663</v>
      </c>
      <c r="D37" s="49"/>
    </row>
    <row r="38" spans="2:4">
      <c r="C38" s="49">
        <f>$D$29*D18</f>
        <v>331620.37037037034</v>
      </c>
      <c r="D38" s="49">
        <f>SUM(C36:C38)</f>
        <v>1658101.8518518517</v>
      </c>
    </row>
    <row r="39" spans="2:4">
      <c r="B39" s="34" t="s">
        <v>35</v>
      </c>
      <c r="C39" s="49"/>
      <c r="D39" s="49">
        <f>D34-D38</f>
        <v>1498009.2592592589</v>
      </c>
    </row>
    <row r="40" spans="2:4">
      <c r="B40" s="34" t="s">
        <v>122</v>
      </c>
      <c r="C40" s="49"/>
      <c r="D40" s="49">
        <v>150000</v>
      </c>
    </row>
    <row r="41" spans="2:4">
      <c r="B41" s="34" t="s">
        <v>37</v>
      </c>
      <c r="D41" s="35">
        <f>D39-D40</f>
        <v>1348009.2592592589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workbookViewId="0">
      <selection activeCell="B50" sqref="B50"/>
    </sheetView>
  </sheetViews>
  <sheetFormatPr baseColWidth="10" defaultRowHeight="13"/>
  <cols>
    <col min="1" max="1" width="18" style="50" customWidth="1"/>
    <col min="2" max="16384" width="10.83203125" style="50"/>
  </cols>
  <sheetData>
    <row r="1" spans="1:6">
      <c r="A1" s="50" t="s">
        <v>123</v>
      </c>
      <c r="B1" s="51">
        <f>2620*0.916</f>
        <v>2399.92</v>
      </c>
    </row>
    <row r="2" spans="1:6">
      <c r="A2" s="50" t="s">
        <v>124</v>
      </c>
      <c r="B2" s="52">
        <v>5500</v>
      </c>
    </row>
    <row r="4" spans="1:6">
      <c r="A4" s="50" t="s">
        <v>125</v>
      </c>
      <c r="B4" s="53">
        <v>100</v>
      </c>
      <c r="C4" s="53">
        <v>50</v>
      </c>
      <c r="D4" s="53"/>
      <c r="E4" s="53"/>
    </row>
    <row r="5" spans="1:6">
      <c r="A5" s="50" t="s">
        <v>126</v>
      </c>
      <c r="B5" s="53" t="s">
        <v>127</v>
      </c>
      <c r="C5" s="53" t="s">
        <v>128</v>
      </c>
      <c r="D5" s="53" t="s">
        <v>97</v>
      </c>
      <c r="E5" s="53" t="s">
        <v>98</v>
      </c>
      <c r="F5" s="53" t="s">
        <v>99</v>
      </c>
    </row>
    <row r="6" spans="1:6">
      <c r="A6" s="50" t="s">
        <v>129</v>
      </c>
      <c r="B6" s="53">
        <v>4</v>
      </c>
      <c r="C6" s="53">
        <f>(2*15)+(2*4)</f>
        <v>38</v>
      </c>
      <c r="D6" s="53">
        <f>(B6*$B$4)+(C6*$C$4)</f>
        <v>2300</v>
      </c>
      <c r="E6" s="54">
        <f>$B$1</f>
        <v>2399.92</v>
      </c>
      <c r="F6" s="55">
        <f>D6/E6</f>
        <v>0.95836527884262801</v>
      </c>
    </row>
    <row r="7" spans="1:6">
      <c r="A7" s="50" t="s">
        <v>130</v>
      </c>
      <c r="B7" s="53">
        <f>6+9</f>
        <v>15</v>
      </c>
      <c r="C7" s="53">
        <f>(1*6)+(2*9)</f>
        <v>24</v>
      </c>
      <c r="D7" s="53">
        <f>(B7*$B$4)+(C7*$C$4)</f>
        <v>2700</v>
      </c>
      <c r="E7" s="54">
        <f>$B$1</f>
        <v>2399.92</v>
      </c>
      <c r="F7" s="55">
        <f>D7/E7</f>
        <v>1.1250375012500415</v>
      </c>
    </row>
    <row r="8" spans="1:6">
      <c r="A8" s="50" t="s">
        <v>131</v>
      </c>
      <c r="B8" s="53">
        <v>3</v>
      </c>
      <c r="C8" s="53">
        <f>(2*7)+(1*3)</f>
        <v>17</v>
      </c>
      <c r="D8" s="53">
        <f>(B8*$B$4)+(C8*$C$4)</f>
        <v>1150</v>
      </c>
      <c r="E8" s="54">
        <f>$B$1</f>
        <v>2399.92</v>
      </c>
      <c r="F8" s="55">
        <f>D8/E8</f>
        <v>0.47918263942131401</v>
      </c>
    </row>
    <row r="9" spans="1:6">
      <c r="A9" s="50" t="s">
        <v>132</v>
      </c>
      <c r="B9" s="53">
        <v>20</v>
      </c>
      <c r="C9" s="53">
        <v>2</v>
      </c>
      <c r="D9" s="53">
        <f>(B9*$B$4)+(C9*$C$4)</f>
        <v>2100</v>
      </c>
      <c r="E9" s="54">
        <f>$B$1</f>
        <v>2399.92</v>
      </c>
      <c r="F9" s="55">
        <f>D9/E9</f>
        <v>0.87502916763892125</v>
      </c>
    </row>
    <row r="10" spans="1:6">
      <c r="B10" s="53"/>
      <c r="C10" s="53"/>
      <c r="D10" s="53"/>
      <c r="E10" s="53"/>
    </row>
    <row r="11" spans="1:6">
      <c r="B11" s="53"/>
      <c r="C11" s="53"/>
      <c r="D11" s="53"/>
      <c r="E11" s="53"/>
    </row>
    <row r="12" spans="1:6">
      <c r="A12" s="50" t="s">
        <v>133</v>
      </c>
      <c r="B12" s="53" t="s">
        <v>127</v>
      </c>
      <c r="C12" s="53" t="s">
        <v>128</v>
      </c>
      <c r="D12" s="53"/>
      <c r="E12" s="53"/>
    </row>
    <row r="13" spans="1:6">
      <c r="A13" s="50" t="s">
        <v>134</v>
      </c>
      <c r="B13" s="53">
        <v>120</v>
      </c>
      <c r="C13" s="53">
        <v>210</v>
      </c>
      <c r="D13" s="53"/>
      <c r="E13" s="53"/>
    </row>
    <row r="14" spans="1:6">
      <c r="A14" s="50" t="s">
        <v>135</v>
      </c>
      <c r="B14" s="53">
        <v>70</v>
      </c>
      <c r="C14" s="53">
        <v>140</v>
      </c>
    </row>
    <row r="15" spans="1:6">
      <c r="A15" s="50" t="s">
        <v>136</v>
      </c>
      <c r="B15" s="53">
        <f>B13-B14</f>
        <v>50</v>
      </c>
      <c r="C15" s="53">
        <f>C13-C14</f>
        <v>70</v>
      </c>
    </row>
    <row r="16" spans="1:6">
      <c r="A16" s="50" t="s">
        <v>137</v>
      </c>
      <c r="B16" s="53">
        <f>B7</f>
        <v>15</v>
      </c>
      <c r="C16" s="53">
        <f>C7</f>
        <v>24</v>
      </c>
    </row>
    <row r="17" spans="1:6">
      <c r="A17" s="50" t="s">
        <v>138</v>
      </c>
      <c r="B17" s="55">
        <f>B15/B16</f>
        <v>3.3333333333333335</v>
      </c>
      <c r="C17" s="55">
        <f>C15/C16</f>
        <v>2.9166666666666665</v>
      </c>
    </row>
    <row r="18" spans="1:6">
      <c r="B18" s="53"/>
      <c r="C18" s="53"/>
    </row>
    <row r="19" spans="1:6">
      <c r="A19" s="50" t="s">
        <v>139</v>
      </c>
      <c r="B19" s="53"/>
      <c r="C19" s="53"/>
      <c r="E19" s="112" t="s">
        <v>140</v>
      </c>
      <c r="F19" s="112"/>
    </row>
    <row r="20" spans="1:6">
      <c r="B20" s="53"/>
      <c r="C20" s="53"/>
      <c r="E20" s="50" t="s">
        <v>141</v>
      </c>
      <c r="F20" s="52">
        <f>(D27*C15)+(D28*B15)</f>
        <v>7499.7333333333336</v>
      </c>
    </row>
    <row r="21" spans="1:6">
      <c r="B21" s="53" t="s">
        <v>127</v>
      </c>
      <c r="C21" s="53" t="s">
        <v>128</v>
      </c>
      <c r="E21" s="50" t="s">
        <v>142</v>
      </c>
      <c r="F21" s="52">
        <f>$B$2</f>
        <v>5500</v>
      </c>
    </row>
    <row r="22" spans="1:6">
      <c r="B22" s="53">
        <f>$B$16</f>
        <v>15</v>
      </c>
      <c r="C22" s="53">
        <f>$C$16</f>
        <v>24</v>
      </c>
      <c r="E22" s="50" t="s">
        <v>143</v>
      </c>
      <c r="F22" s="52">
        <f>F20-F21</f>
        <v>1999.7333333333336</v>
      </c>
    </row>
    <row r="23" spans="1:6">
      <c r="B23" s="53">
        <v>1</v>
      </c>
      <c r="C23" s="53">
        <v>2</v>
      </c>
      <c r="D23" s="51">
        <f>$B$1</f>
        <v>2399.92</v>
      </c>
    </row>
    <row r="24" spans="1:6">
      <c r="B24" s="53"/>
      <c r="C24" s="53">
        <f>(B22*B23)+(C22*C23)</f>
        <v>63</v>
      </c>
      <c r="D24" s="51">
        <f>D23</f>
        <v>2399.92</v>
      </c>
    </row>
    <row r="25" spans="1:6">
      <c r="B25" s="53"/>
      <c r="C25" s="54">
        <f>D24/C24</f>
        <v>38.093968253968256</v>
      </c>
    </row>
    <row r="26" spans="1:6">
      <c r="B26" s="53" t="s">
        <v>144</v>
      </c>
      <c r="C26" s="54">
        <f>C25*B23</f>
        <v>38.093968253968256</v>
      </c>
      <c r="D26" s="53" t="s">
        <v>145</v>
      </c>
    </row>
    <row r="27" spans="1:6">
      <c r="B27" s="53" t="s">
        <v>146</v>
      </c>
      <c r="C27" s="56">
        <f>C25*C23</f>
        <v>76.187936507936513</v>
      </c>
      <c r="D27" s="50">
        <v>50</v>
      </c>
    </row>
    <row r="28" spans="1:6">
      <c r="B28" s="53" t="s">
        <v>144</v>
      </c>
      <c r="C28" s="53"/>
      <c r="D28" s="51">
        <f>(D24-(D27*C22))/B22</f>
        <v>79.994666666666674</v>
      </c>
    </row>
    <row r="29" spans="1:6">
      <c r="B29" s="53"/>
      <c r="C29" s="53"/>
    </row>
    <row r="30" spans="1:6">
      <c r="A30" s="50" t="s">
        <v>147</v>
      </c>
      <c r="B30" s="53"/>
      <c r="C30" s="53"/>
    </row>
    <row r="31" spans="1:6">
      <c r="B31" s="53"/>
      <c r="C31" s="53"/>
    </row>
    <row r="32" spans="1:6">
      <c r="B32" s="53" t="s">
        <v>127</v>
      </c>
      <c r="C32" s="53" t="s">
        <v>128</v>
      </c>
      <c r="E32" s="112" t="s">
        <v>140</v>
      </c>
      <c r="F32" s="112"/>
    </row>
    <row r="33" spans="2:6">
      <c r="B33" s="53">
        <f>$B$16</f>
        <v>15</v>
      </c>
      <c r="C33" s="53">
        <f>$C$16</f>
        <v>24</v>
      </c>
      <c r="E33" s="50" t="s">
        <v>141</v>
      </c>
      <c r="F33" s="52">
        <f>(C38*B15)+(C39*C15)</f>
        <v>7555.3037037037047</v>
      </c>
    </row>
    <row r="34" spans="2:6">
      <c r="B34" s="53">
        <v>2</v>
      </c>
      <c r="C34" s="53">
        <v>1</v>
      </c>
      <c r="D34" s="51">
        <f>$B$1</f>
        <v>2399.92</v>
      </c>
      <c r="E34" s="50" t="s">
        <v>142</v>
      </c>
      <c r="F34" s="52">
        <f>$B$2</f>
        <v>5500</v>
      </c>
    </row>
    <row r="35" spans="2:6">
      <c r="B35" s="53"/>
      <c r="C35" s="53">
        <f>(B33*B34)+(C33*C34)</f>
        <v>54</v>
      </c>
      <c r="D35" s="51">
        <f>D34</f>
        <v>2399.92</v>
      </c>
      <c r="E35" s="50" t="s">
        <v>143</v>
      </c>
      <c r="F35" s="52">
        <f>F33-F34</f>
        <v>2055.3037037037047</v>
      </c>
    </row>
    <row r="36" spans="2:6">
      <c r="B36" s="53"/>
      <c r="C36" s="54">
        <f>D35/C35</f>
        <v>44.442962962962966</v>
      </c>
    </row>
    <row r="37" spans="2:6">
      <c r="C37" s="53" t="s">
        <v>145</v>
      </c>
      <c r="D37" s="53"/>
    </row>
    <row r="38" spans="2:6">
      <c r="B38" s="53" t="s">
        <v>144</v>
      </c>
      <c r="C38" s="54">
        <f>C36*B34</f>
        <v>88.885925925925932</v>
      </c>
    </row>
    <row r="39" spans="2:6">
      <c r="B39" s="53" t="s">
        <v>146</v>
      </c>
      <c r="C39" s="57">
        <f>C36*C34</f>
        <v>44.442962962962966</v>
      </c>
      <c r="D39" s="51"/>
    </row>
  </sheetData>
  <mergeCells count="2">
    <mergeCell ref="E19:F19"/>
    <mergeCell ref="E32:F32"/>
  </mergeCell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"/>
  <sheetViews>
    <sheetView zoomScale="150" zoomScaleNormal="150" zoomScalePageLayoutView="150" workbookViewId="0">
      <selection activeCell="E21" sqref="E21"/>
    </sheetView>
  </sheetViews>
  <sheetFormatPr baseColWidth="10" defaultRowHeight="13"/>
  <cols>
    <col min="1" max="1" width="34.33203125" style="50" bestFit="1" customWidth="1"/>
    <col min="2" max="2" width="6.33203125" style="50" customWidth="1"/>
    <col min="3" max="3" width="6.83203125" style="50" customWidth="1"/>
    <col min="4" max="4" width="7.1640625" style="50" customWidth="1"/>
    <col min="5" max="5" width="5.1640625" style="50" customWidth="1"/>
    <col min="6" max="6" width="5.33203125" style="50" customWidth="1"/>
    <col min="7" max="7" width="16.6640625" style="50" customWidth="1"/>
    <col min="8" max="16384" width="10.83203125" style="50"/>
  </cols>
  <sheetData>
    <row r="1" spans="1:7">
      <c r="A1" s="50" t="s">
        <v>148</v>
      </c>
      <c r="B1" s="59">
        <v>0.18</v>
      </c>
    </row>
    <row r="2" spans="1:7">
      <c r="A2" s="50" t="s">
        <v>149</v>
      </c>
      <c r="B2" s="59">
        <v>0.93</v>
      </c>
      <c r="C2" s="59">
        <f>1-B2</f>
        <v>6.9999999999999951E-2</v>
      </c>
      <c r="D2" s="50">
        <f>B2+(C2/2)</f>
        <v>0.96500000000000008</v>
      </c>
      <c r="E2" s="50">
        <f>NORMSINV(D2)</f>
        <v>1.8119106729525984</v>
      </c>
    </row>
    <row r="3" spans="1:7">
      <c r="A3" s="50" t="s">
        <v>150</v>
      </c>
      <c r="B3" s="59">
        <v>0.06</v>
      </c>
    </row>
    <row r="5" spans="1:7">
      <c r="A5" s="50" t="s">
        <v>39</v>
      </c>
      <c r="B5" s="53">
        <v>1</v>
      </c>
      <c r="C5" s="53">
        <v>2</v>
      </c>
      <c r="D5" s="53">
        <v>3</v>
      </c>
      <c r="E5" s="53">
        <v>4</v>
      </c>
      <c r="F5" s="53">
        <v>5</v>
      </c>
      <c r="G5" s="53" t="s">
        <v>151</v>
      </c>
    </row>
    <row r="6" spans="1:7">
      <c r="A6" s="50" t="s">
        <v>152</v>
      </c>
      <c r="B6" s="53">
        <v>8</v>
      </c>
      <c r="C6" s="53">
        <v>9</v>
      </c>
      <c r="D6" s="53">
        <v>8</v>
      </c>
      <c r="E6" s="53">
        <v>11</v>
      </c>
      <c r="F6" s="53">
        <v>7</v>
      </c>
      <c r="G6" s="58">
        <v>1.1000000000000001</v>
      </c>
    </row>
    <row r="7" spans="1:7">
      <c r="A7" s="50" t="s">
        <v>153</v>
      </c>
      <c r="B7" s="53">
        <v>36</v>
      </c>
      <c r="C7" s="53">
        <v>41</v>
      </c>
      <c r="D7" s="53">
        <v>39</v>
      </c>
      <c r="E7" s="53">
        <v>35</v>
      </c>
      <c r="F7" s="53" t="s">
        <v>154</v>
      </c>
      <c r="G7" s="58">
        <v>0.85</v>
      </c>
    </row>
    <row r="8" spans="1:7">
      <c r="A8" s="50" t="s">
        <v>155</v>
      </c>
      <c r="B8" s="53">
        <v>15</v>
      </c>
      <c r="C8" s="53">
        <v>17</v>
      </c>
      <c r="D8" s="53">
        <v>13</v>
      </c>
      <c r="E8" s="53">
        <v>20</v>
      </c>
      <c r="F8" s="53">
        <v>18</v>
      </c>
      <c r="G8" s="58">
        <v>1.05</v>
      </c>
    </row>
    <row r="9" spans="1:7">
      <c r="A9" s="50" t="s">
        <v>156</v>
      </c>
      <c r="B9" s="53">
        <v>8</v>
      </c>
      <c r="C9" s="53">
        <v>6</v>
      </c>
      <c r="D9" s="53">
        <v>9</v>
      </c>
      <c r="E9" s="53">
        <v>30</v>
      </c>
      <c r="F9" s="53" t="s">
        <v>157</v>
      </c>
      <c r="G9" s="58">
        <v>0.9</v>
      </c>
    </row>
    <row r="11" spans="1:7">
      <c r="A11" s="50" t="s">
        <v>39</v>
      </c>
      <c r="B11" s="53" t="s">
        <v>158</v>
      </c>
      <c r="C11" s="53" t="s">
        <v>159</v>
      </c>
      <c r="D11" s="53" t="s">
        <v>160</v>
      </c>
    </row>
    <row r="12" spans="1:7">
      <c r="A12" s="50" t="s">
        <v>152</v>
      </c>
      <c r="B12" s="60">
        <f>AVERAGE(B6:F6)</f>
        <v>8.6</v>
      </c>
      <c r="C12" s="60">
        <f>B12*G6</f>
        <v>9.4600000000000009</v>
      </c>
      <c r="D12" s="60">
        <f>C12/(1-$B$1)</f>
        <v>11.536585365853659</v>
      </c>
    </row>
    <row r="13" spans="1:7">
      <c r="A13" s="50" t="s">
        <v>153</v>
      </c>
      <c r="B13" s="60">
        <f>AVERAGE(B7:E7)</f>
        <v>37.75</v>
      </c>
      <c r="C13" s="60">
        <f>B13*G7</f>
        <v>32.087499999999999</v>
      </c>
      <c r="D13" s="60">
        <f>C13/(1-$B$1)</f>
        <v>39.131097560975604</v>
      </c>
    </row>
    <row r="14" spans="1:7">
      <c r="A14" s="50" t="s">
        <v>155</v>
      </c>
      <c r="B14" s="60">
        <f>AVERAGE(B8:F8)</f>
        <v>16.600000000000001</v>
      </c>
      <c r="C14" s="60">
        <f>B14*G8</f>
        <v>17.430000000000003</v>
      </c>
      <c r="D14" s="60">
        <f>C14/(1-$B$1)</f>
        <v>21.256097560975611</v>
      </c>
    </row>
    <row r="15" spans="1:7">
      <c r="A15" s="50" t="s">
        <v>156</v>
      </c>
      <c r="B15" s="60">
        <f>AVERAGE(B9:E9)</f>
        <v>13.25</v>
      </c>
      <c r="C15" s="60">
        <f>B15*G9</f>
        <v>11.925000000000001</v>
      </c>
      <c r="D15" s="60">
        <f>C15/(1-$B$1)</f>
        <v>14.542682926829269</v>
      </c>
    </row>
    <row r="16" spans="1:7">
      <c r="B16" s="60"/>
      <c r="C16" s="60"/>
      <c r="D16" s="60">
        <f>SUM(D12:D15)</f>
        <v>86.466463414634148</v>
      </c>
    </row>
    <row r="17" spans="1:4">
      <c r="A17" s="50" t="s">
        <v>161</v>
      </c>
      <c r="B17" s="53" t="s">
        <v>162</v>
      </c>
      <c r="C17" s="53"/>
      <c r="D17" s="53" t="s">
        <v>163</v>
      </c>
    </row>
    <row r="18" spans="1:4">
      <c r="A18" s="50" t="s">
        <v>152</v>
      </c>
      <c r="B18" s="55">
        <f>STDEV(B6:F6)</f>
        <v>1.5165750888103091</v>
      </c>
      <c r="C18" s="54">
        <f>(($E$2*B18)/($B$3*B12))</f>
        <v>5.3253848638554917</v>
      </c>
      <c r="D18" s="54">
        <f>POWER(C18,2)</f>
        <v>28.359723948181173</v>
      </c>
    </row>
    <row r="19" spans="1:4">
      <c r="A19" s="50" t="s">
        <v>153</v>
      </c>
      <c r="B19" s="55">
        <f>STDEV(B7:E7)</f>
        <v>2.753785273643051</v>
      </c>
      <c r="C19" s="54">
        <f>(($E$2*B19)/($B$3*B13))</f>
        <v>2.2029196151582942</v>
      </c>
      <c r="D19" s="54">
        <f>POWER(C19,2)</f>
        <v>4.852854830849167</v>
      </c>
    </row>
    <row r="20" spans="1:4">
      <c r="A20" s="50" t="s">
        <v>155</v>
      </c>
      <c r="B20" s="55">
        <f>STDEV(B8:F8)</f>
        <v>2.7018512172212614</v>
      </c>
      <c r="C20" s="54">
        <f>(($E$2*B20)/($B$3*B14))</f>
        <v>4.9151737522220618</v>
      </c>
      <c r="D20" s="54">
        <f>POWER(C20,2)</f>
        <v>24.158933014532703</v>
      </c>
    </row>
    <row r="21" spans="1:4">
      <c r="A21" s="50" t="s">
        <v>156</v>
      </c>
      <c r="B21" s="55">
        <f>STDEV(B9:E9)</f>
        <v>11.236102527122116</v>
      </c>
      <c r="C21" s="54">
        <f>(($E$2*B21)/($B$3*B15))</f>
        <v>25.608571184002798</v>
      </c>
      <c r="D21" s="54">
        <f>POWER(C21,2)</f>
        <v>655.79891808613843</v>
      </c>
    </row>
  </sheetData>
  <pageMargins left="0.75" right="0.75" top="1" bottom="1" header="0.5" footer="0.5"/>
  <pageSetup paperSize="0" orientation="portrait" horizontalDpi="4294967292" verticalDpi="4294967292"/>
  <ignoredErrors>
    <ignoredError sqref="B12 B18 B14 B20" formulaRange="1"/>
    <ignoredError sqref="B13 B19" formula="1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4"/>
  <sheetViews>
    <sheetView zoomScale="150" zoomScaleNormal="150" zoomScalePageLayoutView="150" workbookViewId="0">
      <selection activeCell="C11" sqref="C11"/>
    </sheetView>
  </sheetViews>
  <sheetFormatPr baseColWidth="10" defaultRowHeight="16"/>
  <cols>
    <col min="2" max="2" width="28.5" bestFit="1" customWidth="1"/>
    <col min="3" max="3" width="21.33203125" customWidth="1"/>
    <col min="4" max="4" width="18.5" customWidth="1"/>
  </cols>
  <sheetData>
    <row r="1" spans="1:5" ht="51">
      <c r="A1" t="s">
        <v>164</v>
      </c>
      <c r="B1" s="61" t="s">
        <v>165</v>
      </c>
      <c r="C1" s="61" t="s">
        <v>166</v>
      </c>
      <c r="D1" s="61" t="s">
        <v>167</v>
      </c>
      <c r="E1" s="61" t="s">
        <v>168</v>
      </c>
    </row>
    <row r="2" spans="1:5">
      <c r="A2" t="s">
        <v>169</v>
      </c>
      <c r="B2" s="25">
        <v>8</v>
      </c>
      <c r="C2" s="25">
        <v>2</v>
      </c>
      <c r="D2" s="25">
        <v>10</v>
      </c>
      <c r="E2" s="26">
        <f t="shared" ref="E2:E7" si="0">C2/D2</f>
        <v>0.2</v>
      </c>
    </row>
    <row r="3" spans="1:5">
      <c r="A3" t="s">
        <v>170</v>
      </c>
      <c r="B3" s="25">
        <v>7</v>
      </c>
      <c r="C3" s="25">
        <v>1</v>
      </c>
      <c r="D3" s="25">
        <v>8</v>
      </c>
      <c r="E3" s="26">
        <f t="shared" si="0"/>
        <v>0.125</v>
      </c>
    </row>
    <row r="4" spans="1:5">
      <c r="A4" t="s">
        <v>171</v>
      </c>
      <c r="B4" s="25">
        <v>9</v>
      </c>
      <c r="C4" s="25">
        <v>3</v>
      </c>
      <c r="D4" s="25">
        <v>12</v>
      </c>
      <c r="E4" s="26">
        <f t="shared" si="0"/>
        <v>0.25</v>
      </c>
    </row>
    <row r="5" spans="1:5">
      <c r="A5" t="s">
        <v>172</v>
      </c>
      <c r="B5" s="25">
        <v>7</v>
      </c>
      <c r="C5" s="25">
        <v>3</v>
      </c>
      <c r="D5" s="25">
        <v>10</v>
      </c>
      <c r="E5" s="26">
        <f t="shared" si="0"/>
        <v>0.3</v>
      </c>
    </row>
    <row r="6" spans="1:5">
      <c r="A6" t="s">
        <v>173</v>
      </c>
      <c r="B6" s="25">
        <v>8</v>
      </c>
      <c r="C6" s="25">
        <v>2</v>
      </c>
      <c r="D6" s="25">
        <v>10</v>
      </c>
      <c r="E6" s="26">
        <f t="shared" si="0"/>
        <v>0.2</v>
      </c>
    </row>
    <row r="7" spans="1:5">
      <c r="A7" t="s">
        <v>174</v>
      </c>
      <c r="B7" s="25">
        <v>6</v>
      </c>
      <c r="C7" s="25">
        <v>4</v>
      </c>
      <c r="D7" s="25">
        <v>10</v>
      </c>
      <c r="E7" s="26">
        <f t="shared" si="0"/>
        <v>0.4</v>
      </c>
    </row>
    <row r="8" spans="1:5">
      <c r="E8" s="26">
        <f>AVERAGE(E2:E7)</f>
        <v>0.24583333333333335</v>
      </c>
    </row>
    <row r="9" spans="1:5">
      <c r="B9" t="s">
        <v>175</v>
      </c>
      <c r="C9" s="62">
        <v>0.12</v>
      </c>
    </row>
    <row r="10" spans="1:5">
      <c r="B10" t="s">
        <v>176</v>
      </c>
      <c r="C10" s="25">
        <v>1300</v>
      </c>
    </row>
    <row r="11" spans="1:5">
      <c r="B11" t="s">
        <v>177</v>
      </c>
      <c r="C11" s="25">
        <f>6*8*60</f>
        <v>2880</v>
      </c>
    </row>
    <row r="12" spans="1:5">
      <c r="B12" t="s">
        <v>178</v>
      </c>
      <c r="C12" s="62">
        <v>0.9</v>
      </c>
    </row>
    <row r="13" spans="1:5">
      <c r="B13" t="s">
        <v>179</v>
      </c>
      <c r="C13" s="26">
        <f>(C11*(1-E8)*C12)/C10</f>
        <v>1.5036923076923077</v>
      </c>
    </row>
    <row r="14" spans="1:5">
      <c r="B14" t="s">
        <v>180</v>
      </c>
      <c r="C14" s="26">
        <f>C13/(1-C9)</f>
        <v>1.7087412587412587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4"/>
  <sheetViews>
    <sheetView workbookViewId="0">
      <selection activeCell="B17" sqref="B17"/>
    </sheetView>
  </sheetViews>
  <sheetFormatPr baseColWidth="10" defaultRowHeight="16"/>
  <cols>
    <col min="1" max="1" width="29.6640625" customWidth="1"/>
    <col min="3" max="3" width="11.83203125" customWidth="1"/>
    <col min="5" max="5" width="6.83203125" customWidth="1"/>
    <col min="6" max="6" width="28" customWidth="1"/>
  </cols>
  <sheetData>
    <row r="1" spans="1:9">
      <c r="A1" s="63" t="s">
        <v>181</v>
      </c>
    </row>
    <row r="2" spans="1:9">
      <c r="A2" s="64" t="s">
        <v>182</v>
      </c>
    </row>
    <row r="3" spans="1:9">
      <c r="A3" s="64" t="s">
        <v>183</v>
      </c>
    </row>
    <row r="4" spans="1:9">
      <c r="A4" s="65" t="s">
        <v>210</v>
      </c>
      <c r="F4" s="65" t="s">
        <v>211</v>
      </c>
    </row>
    <row r="6" spans="1:9">
      <c r="A6" s="66" t="s">
        <v>184</v>
      </c>
      <c r="F6" s="66" t="s">
        <v>184</v>
      </c>
    </row>
    <row r="7" spans="1:9">
      <c r="A7" s="67" t="s">
        <v>185</v>
      </c>
      <c r="B7" s="68" t="s">
        <v>61</v>
      </c>
      <c r="C7" s="68" t="s">
        <v>62</v>
      </c>
      <c r="D7" s="68" t="s">
        <v>63</v>
      </c>
      <c r="F7" s="67" t="s">
        <v>185</v>
      </c>
      <c r="G7" s="68" t="s">
        <v>61</v>
      </c>
      <c r="H7" s="68" t="s">
        <v>62</v>
      </c>
      <c r="I7" s="68" t="s">
        <v>63</v>
      </c>
    </row>
    <row r="8" spans="1:9">
      <c r="A8" s="16" t="s">
        <v>55</v>
      </c>
      <c r="B8" s="69">
        <v>5000</v>
      </c>
      <c r="C8" s="69">
        <v>8000</v>
      </c>
      <c r="D8" s="69">
        <v>4000</v>
      </c>
      <c r="F8" s="16" t="s">
        <v>55</v>
      </c>
      <c r="G8" s="69">
        <v>5000</v>
      </c>
      <c r="H8" s="69">
        <v>8000</v>
      </c>
      <c r="I8" s="69">
        <v>4000</v>
      </c>
    </row>
    <row r="9" spans="1:9">
      <c r="A9" s="16" t="s">
        <v>186</v>
      </c>
      <c r="B9" s="69">
        <v>1500</v>
      </c>
      <c r="C9" s="70">
        <f>B14</f>
        <v>1733.333333333333</v>
      </c>
      <c r="D9" s="70">
        <f>C14</f>
        <v>200</v>
      </c>
      <c r="F9" s="16" t="s">
        <v>186</v>
      </c>
      <c r="G9" s="69">
        <v>1500</v>
      </c>
      <c r="H9" s="70">
        <f>G14</f>
        <v>200</v>
      </c>
      <c r="I9" s="70">
        <f>H14</f>
        <v>200</v>
      </c>
    </row>
    <row r="10" spans="1:9">
      <c r="A10" s="16" t="s">
        <v>57</v>
      </c>
      <c r="B10" s="70">
        <f>B27</f>
        <v>5233.333333333333</v>
      </c>
      <c r="C10" s="70">
        <f>B10</f>
        <v>5233.333333333333</v>
      </c>
      <c r="D10" s="70">
        <f>B10</f>
        <v>5233.333333333333</v>
      </c>
      <c r="F10" s="16" t="s">
        <v>57</v>
      </c>
      <c r="G10" s="70">
        <v>3700</v>
      </c>
      <c r="H10" s="70">
        <v>8000</v>
      </c>
      <c r="I10" s="70">
        <v>4000</v>
      </c>
    </row>
    <row r="11" spans="1:9">
      <c r="A11" s="16" t="s">
        <v>187</v>
      </c>
      <c r="B11" s="70">
        <v>0</v>
      </c>
      <c r="C11" s="70">
        <f>(C8-C9-C10)+200</f>
        <v>1233.3333333333339</v>
      </c>
      <c r="D11" s="70">
        <v>0</v>
      </c>
      <c r="F11" s="16" t="s">
        <v>187</v>
      </c>
      <c r="G11" s="70">
        <v>0</v>
      </c>
      <c r="H11" s="70">
        <v>0</v>
      </c>
      <c r="I11" s="70">
        <v>0</v>
      </c>
    </row>
    <row r="12" spans="1:9">
      <c r="A12" s="16" t="s">
        <v>17</v>
      </c>
      <c r="B12" s="70">
        <f>B9+B10+B11</f>
        <v>6733.333333333333</v>
      </c>
      <c r="C12" s="70">
        <f>C9+C10+C11</f>
        <v>8200</v>
      </c>
      <c r="D12" s="70">
        <f>D9+D10+D11</f>
        <v>5433.333333333333</v>
      </c>
      <c r="F12" s="16" t="s">
        <v>17</v>
      </c>
      <c r="G12" s="70">
        <f>G9+G10+G11</f>
        <v>5200</v>
      </c>
      <c r="H12" s="70">
        <f>H9+H10+H11</f>
        <v>8200</v>
      </c>
      <c r="I12" s="70">
        <f>I9+I10+I11</f>
        <v>4200</v>
      </c>
    </row>
    <row r="13" spans="1:9">
      <c r="A13" s="16" t="s">
        <v>58</v>
      </c>
      <c r="B13" s="69">
        <f>B8</f>
        <v>5000</v>
      </c>
      <c r="C13" s="69">
        <f>C8</f>
        <v>8000</v>
      </c>
      <c r="D13" s="69">
        <f>D8</f>
        <v>4000</v>
      </c>
      <c r="F13" s="16" t="s">
        <v>58</v>
      </c>
      <c r="G13" s="69">
        <f>G8</f>
        <v>5000</v>
      </c>
      <c r="H13" s="70">
        <f>H8</f>
        <v>8000</v>
      </c>
      <c r="I13" s="69">
        <f>I8</f>
        <v>4000</v>
      </c>
    </row>
    <row r="14" spans="1:9">
      <c r="A14" s="16" t="s">
        <v>188</v>
      </c>
      <c r="B14" s="70">
        <f>B12-B13</f>
        <v>1733.333333333333</v>
      </c>
      <c r="C14" s="70">
        <f>C12-C13</f>
        <v>200</v>
      </c>
      <c r="D14" s="70">
        <f>D12-D13</f>
        <v>1433.333333333333</v>
      </c>
      <c r="F14" s="16" t="s">
        <v>188</v>
      </c>
      <c r="G14" s="70">
        <f>G12-G13</f>
        <v>200</v>
      </c>
      <c r="H14" s="70">
        <f>H12-H13</f>
        <v>200</v>
      </c>
      <c r="I14" s="70">
        <f>I12-I13</f>
        <v>200</v>
      </c>
    </row>
    <row r="15" spans="1:9">
      <c r="A15" s="71"/>
      <c r="B15" s="72"/>
      <c r="C15" s="72"/>
      <c r="D15" s="72"/>
      <c r="F15" s="71"/>
      <c r="G15" s="72"/>
      <c r="H15" s="72"/>
      <c r="I15" s="72"/>
    </row>
    <row r="16" spans="1:9">
      <c r="A16" s="16" t="s">
        <v>121</v>
      </c>
      <c r="B16" s="69"/>
      <c r="C16" s="69"/>
      <c r="D16" s="69"/>
      <c r="F16" s="16" t="s">
        <v>121</v>
      </c>
      <c r="G16" s="69"/>
      <c r="H16" s="69"/>
      <c r="I16" s="69"/>
    </row>
    <row r="17" spans="1:10">
      <c r="A17" s="16" t="s">
        <v>189</v>
      </c>
      <c r="B17" s="70">
        <f>B14</f>
        <v>1733.333333333333</v>
      </c>
      <c r="C17" s="70">
        <f>C14</f>
        <v>200</v>
      </c>
      <c r="D17" s="70">
        <f>D14</f>
        <v>1433.333333333333</v>
      </c>
      <c r="F17" s="16" t="s">
        <v>189</v>
      </c>
      <c r="G17" s="70">
        <f>G14</f>
        <v>200</v>
      </c>
      <c r="H17" s="70">
        <f>H14</f>
        <v>200</v>
      </c>
      <c r="I17" s="70">
        <f>I14</f>
        <v>200</v>
      </c>
    </row>
    <row r="18" spans="1:10">
      <c r="A18" s="16" t="s">
        <v>190</v>
      </c>
      <c r="B18" s="70">
        <f>B20-24</f>
        <v>32</v>
      </c>
      <c r="C18" s="69">
        <v>0</v>
      </c>
      <c r="D18" s="69">
        <v>0</v>
      </c>
      <c r="F18" s="16" t="s">
        <v>190</v>
      </c>
      <c r="G18" s="70">
        <v>38</v>
      </c>
      <c r="H18" s="69">
        <v>0</v>
      </c>
      <c r="I18" s="69">
        <v>0</v>
      </c>
      <c r="J18">
        <f>62-24</f>
        <v>38</v>
      </c>
    </row>
    <row r="19" spans="1:10">
      <c r="A19" s="16" t="s">
        <v>191</v>
      </c>
      <c r="B19" s="69">
        <v>0</v>
      </c>
      <c r="C19" s="85">
        <f>(C11/B26)</f>
        <v>12.333333333333339</v>
      </c>
      <c r="D19" s="69">
        <v>0</v>
      </c>
      <c r="F19" s="16" t="s">
        <v>191</v>
      </c>
      <c r="G19" s="69">
        <v>0</v>
      </c>
      <c r="H19" s="70">
        <v>18</v>
      </c>
      <c r="I19" s="69">
        <v>0</v>
      </c>
    </row>
    <row r="20" spans="1:10">
      <c r="A20" s="16" t="s">
        <v>60</v>
      </c>
      <c r="B20" s="70">
        <f>$F$25*8</f>
        <v>56</v>
      </c>
      <c r="C20" s="70">
        <f>$F$25*8</f>
        <v>56</v>
      </c>
      <c r="D20" s="70">
        <f>$F$25*8</f>
        <v>56</v>
      </c>
      <c r="F20" s="16" t="s">
        <v>60</v>
      </c>
      <c r="G20" s="70">
        <f>G18+24</f>
        <v>62</v>
      </c>
      <c r="H20" s="70">
        <v>62</v>
      </c>
      <c r="I20" s="70">
        <v>62</v>
      </c>
      <c r="J20">
        <f>62*1.3</f>
        <v>80.600000000000009</v>
      </c>
    </row>
    <row r="21" spans="1:10">
      <c r="A21" s="16" t="s">
        <v>192</v>
      </c>
      <c r="B21" s="69">
        <v>0</v>
      </c>
      <c r="C21" s="70">
        <v>0</v>
      </c>
      <c r="D21" s="69">
        <v>0</v>
      </c>
      <c r="F21" s="16" t="s">
        <v>192</v>
      </c>
      <c r="G21" s="69">
        <v>0</v>
      </c>
      <c r="H21" s="70">
        <f>(H8-H13)*B33</f>
        <v>0</v>
      </c>
      <c r="I21" s="69">
        <v>0</v>
      </c>
    </row>
    <row r="22" spans="1:10">
      <c r="A22" s="16" t="s">
        <v>212</v>
      </c>
      <c r="B22" s="73">
        <f>(B17*$B$29)+(B18*$B$30)+(B19*$B$32)+(B20*$B$31)+(B33*$B$21)</f>
        <v>37466.666666666664</v>
      </c>
      <c r="C22" s="73">
        <f>(C17*$B$29)+(C18*$B$30)+(C19*$B$32)+(C20*$B$31)+(C33*$B$21)</f>
        <v>30800.000000000004</v>
      </c>
      <c r="D22" s="73">
        <f>(D17*$B$29)+(D18*$B$30)+(D19*$B$32)+(D20*$B$31)+(D33*$B$21)</f>
        <v>29566.666666666664</v>
      </c>
      <c r="F22" s="16" t="s">
        <v>212</v>
      </c>
      <c r="G22" s="73">
        <f>(G17*$B$29)+(G18*$B$30)+(G19*$B$32)+(G20*$B$31)+(G33*$B$21)</f>
        <v>33400</v>
      </c>
      <c r="H22" s="73">
        <f>(H17*$B$29)+(H18*$B$30)+(H19*$B$32)+(H20*$B$31)+(H33*$B$21)</f>
        <v>36600</v>
      </c>
      <c r="I22" s="73">
        <f>(I17*$B$29)+(I18*$B$30)+(I19*$B$32)+(I20*$B$31)+(I33*$B$21)</f>
        <v>25800</v>
      </c>
    </row>
    <row r="23" spans="1:10">
      <c r="A23" s="2"/>
      <c r="B23" s="75"/>
      <c r="C23" s="75"/>
      <c r="D23" s="75">
        <f>SUM(B22:D22)</f>
        <v>97833.333333333343</v>
      </c>
      <c r="I23" s="74">
        <f>SUM(G22:I22)</f>
        <v>95800</v>
      </c>
    </row>
    <row r="24" spans="1:10">
      <c r="A24" s="76"/>
      <c r="B24" s="77"/>
    </row>
    <row r="25" spans="1:10">
      <c r="A25" t="s">
        <v>193</v>
      </c>
      <c r="B25" s="25">
        <v>24</v>
      </c>
      <c r="C25" s="25" t="s">
        <v>194</v>
      </c>
      <c r="D25" s="78">
        <f>B10/100</f>
        <v>52.333333333333329</v>
      </c>
      <c r="E25" s="31">
        <f>D25/8</f>
        <v>6.5416666666666661</v>
      </c>
      <c r="F25">
        <v>7</v>
      </c>
    </row>
    <row r="26" spans="1:10">
      <c r="A26" t="s">
        <v>195</v>
      </c>
      <c r="B26" s="25">
        <v>100</v>
      </c>
      <c r="C26" s="25"/>
      <c r="D26" s="25"/>
      <c r="E26" s="25"/>
      <c r="F26" s="25"/>
      <c r="G26" s="25"/>
    </row>
    <row r="27" spans="1:10">
      <c r="A27" t="s">
        <v>196</v>
      </c>
      <c r="B27" s="78">
        <f>(B8+C8+D8-B9+200)/3</f>
        <v>5233.333333333333</v>
      </c>
      <c r="C27" s="78"/>
      <c r="D27" s="25"/>
      <c r="F27" s="25"/>
      <c r="G27" s="25"/>
    </row>
    <row r="28" spans="1:10">
      <c r="A28" t="s">
        <v>197</v>
      </c>
      <c r="B28" s="78">
        <f>B27*0.3</f>
        <v>1569.9999999999998</v>
      </c>
      <c r="C28" s="78"/>
      <c r="D28" s="25"/>
      <c r="E28" s="25"/>
      <c r="F28" s="25"/>
      <c r="G28" s="25"/>
    </row>
    <row r="29" spans="1:10">
      <c r="A29" t="s">
        <v>198</v>
      </c>
      <c r="B29" s="79">
        <v>5</v>
      </c>
      <c r="C29" s="25"/>
      <c r="D29" s="25"/>
      <c r="E29" s="25"/>
      <c r="F29" s="25"/>
      <c r="G29" s="25"/>
      <c r="H29">
        <f>8000/800</f>
        <v>10</v>
      </c>
      <c r="I29">
        <v>80</v>
      </c>
    </row>
    <row r="30" spans="1:10">
      <c r="A30" t="s">
        <v>199</v>
      </c>
      <c r="B30" s="80">
        <v>200</v>
      </c>
      <c r="C30" s="25"/>
      <c r="D30" s="25"/>
      <c r="E30" s="25"/>
      <c r="F30" s="25"/>
      <c r="G30" s="25"/>
      <c r="I30">
        <f>I29/1.3</f>
        <v>61.538461538461533</v>
      </c>
    </row>
    <row r="31" spans="1:10">
      <c r="A31" t="s">
        <v>200</v>
      </c>
      <c r="B31" s="80">
        <v>400</v>
      </c>
      <c r="C31" s="25"/>
      <c r="D31" s="25"/>
      <c r="E31" s="25"/>
      <c r="F31" s="25"/>
      <c r="G31" s="25"/>
    </row>
    <row r="32" spans="1:10">
      <c r="A32" t="s">
        <v>201</v>
      </c>
      <c r="B32" s="80">
        <f>B31*1.5</f>
        <v>600</v>
      </c>
      <c r="C32" s="25"/>
      <c r="D32" s="25"/>
      <c r="E32" s="25"/>
      <c r="F32" s="25"/>
      <c r="G32" s="25"/>
    </row>
    <row r="33" spans="1:7">
      <c r="A33" t="s">
        <v>202</v>
      </c>
      <c r="B33" s="80">
        <v>5</v>
      </c>
      <c r="C33" s="25"/>
      <c r="D33" s="25"/>
      <c r="E33" s="25"/>
      <c r="F33" s="25"/>
      <c r="G33" s="25"/>
    </row>
    <row r="34" spans="1:7">
      <c r="B34" s="25"/>
      <c r="C34" s="25"/>
      <c r="D34" s="25"/>
      <c r="E34" s="25"/>
      <c r="F34" s="25"/>
      <c r="G34" s="2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1"/>
  <sheetViews>
    <sheetView zoomScale="150" zoomScaleNormal="150" zoomScalePageLayoutView="150" workbookViewId="0">
      <selection activeCell="J7" sqref="J7"/>
    </sheetView>
  </sheetViews>
  <sheetFormatPr baseColWidth="10" defaultRowHeight="16"/>
  <cols>
    <col min="2" max="2" width="5.83203125" customWidth="1"/>
    <col min="3" max="3" width="6.33203125" customWidth="1"/>
    <col min="4" max="4" width="5.6640625" customWidth="1"/>
    <col min="5" max="5" width="5.1640625" customWidth="1"/>
    <col min="6" max="6" width="5" customWidth="1"/>
    <col min="7" max="7" width="4.83203125" customWidth="1"/>
    <col min="8" max="8" width="13.33203125" customWidth="1"/>
    <col min="10" max="10" width="11.83203125" bestFit="1" customWidth="1"/>
  </cols>
  <sheetData>
    <row r="1" spans="1:13">
      <c r="B1" s="113" t="s">
        <v>213</v>
      </c>
      <c r="C1" s="113"/>
      <c r="D1" s="113"/>
      <c r="E1" s="113"/>
      <c r="F1" s="113"/>
      <c r="G1" s="113"/>
    </row>
    <row r="2" spans="1:13" ht="34">
      <c r="A2" s="25" t="s">
        <v>39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61" t="s">
        <v>151</v>
      </c>
      <c r="I2" s="61" t="s">
        <v>214</v>
      </c>
      <c r="J2" s="61" t="s">
        <v>215</v>
      </c>
      <c r="K2" s="25"/>
      <c r="L2" s="25"/>
      <c r="M2" s="25"/>
    </row>
    <row r="3" spans="1:13">
      <c r="A3" s="25">
        <v>1</v>
      </c>
      <c r="B3" s="25">
        <v>13</v>
      </c>
      <c r="C3" s="25">
        <v>11</v>
      </c>
      <c r="D3" s="25">
        <v>14</v>
      </c>
      <c r="E3" s="25">
        <v>16</v>
      </c>
      <c r="F3" s="25">
        <v>51</v>
      </c>
      <c r="G3" s="25">
        <v>15</v>
      </c>
      <c r="H3" s="86">
        <v>1</v>
      </c>
      <c r="I3" s="26">
        <f>AVERAGE(B3:G3)</f>
        <v>20</v>
      </c>
      <c r="J3" s="30">
        <f>I3/(1-$B$7)</f>
        <v>23.529411764705884</v>
      </c>
      <c r="K3" s="25"/>
      <c r="L3" s="25"/>
      <c r="M3" s="25"/>
    </row>
    <row r="4" spans="1:13">
      <c r="A4" s="25">
        <v>2</v>
      </c>
      <c r="B4" s="25">
        <v>68</v>
      </c>
      <c r="C4" s="25">
        <v>21</v>
      </c>
      <c r="D4" s="25">
        <v>25</v>
      </c>
      <c r="E4" s="25">
        <v>73</v>
      </c>
      <c r="F4" s="25">
        <v>26</v>
      </c>
      <c r="G4" s="25">
        <v>23</v>
      </c>
      <c r="H4" s="86">
        <v>1.1000000000000001</v>
      </c>
      <c r="I4" s="26">
        <f>AVERAGE(B4:G4)*1.1</f>
        <v>43.266666666666673</v>
      </c>
      <c r="J4" s="30">
        <f>I4/(1-$B$7)</f>
        <v>50.901960784313736</v>
      </c>
      <c r="K4" s="25"/>
      <c r="L4" s="25"/>
      <c r="M4" s="25"/>
    </row>
    <row r="5" spans="1:13">
      <c r="A5" s="25">
        <v>3</v>
      </c>
      <c r="B5" s="25">
        <v>3</v>
      </c>
      <c r="C5" s="25">
        <v>3.3</v>
      </c>
      <c r="D5" s="25">
        <v>3.1</v>
      </c>
      <c r="E5" s="25">
        <v>2.9</v>
      </c>
      <c r="F5" s="25">
        <v>3.4</v>
      </c>
      <c r="G5" s="25">
        <v>2.8</v>
      </c>
      <c r="H5" s="86">
        <v>1</v>
      </c>
      <c r="I5" s="26">
        <f>AVERAGE(B5:G5)</f>
        <v>3.0833333333333335</v>
      </c>
      <c r="J5" s="30">
        <f>I5/(1-$B$7)</f>
        <v>3.6274509803921573</v>
      </c>
      <c r="K5" s="25"/>
      <c r="L5" s="25"/>
      <c r="M5" s="25"/>
    </row>
    <row r="6" spans="1:13">
      <c r="I6" s="25"/>
      <c r="J6" s="30">
        <f>SUM(J3:J5)</f>
        <v>78.058823529411768</v>
      </c>
      <c r="K6" s="25"/>
      <c r="L6" s="25"/>
      <c r="M6" s="25"/>
    </row>
    <row r="7" spans="1:13" ht="34">
      <c r="A7" s="87" t="s">
        <v>216</v>
      </c>
      <c r="B7" s="62">
        <v>0.15</v>
      </c>
      <c r="I7" s="25"/>
      <c r="J7" s="25"/>
      <c r="K7" s="25"/>
      <c r="L7" s="25"/>
      <c r="M7" s="25"/>
    </row>
    <row r="8" spans="1:13">
      <c r="I8" s="25"/>
      <c r="J8" s="25"/>
      <c r="K8" s="25"/>
      <c r="L8" s="25"/>
      <c r="M8" s="25"/>
    </row>
    <row r="9" spans="1:13">
      <c r="I9" s="25"/>
      <c r="J9" s="25"/>
      <c r="K9" s="25"/>
      <c r="L9" s="25"/>
      <c r="M9" s="25"/>
    </row>
    <row r="10" spans="1:13">
      <c r="I10" s="25"/>
      <c r="J10" s="25"/>
      <c r="K10" s="25"/>
      <c r="L10" s="25"/>
      <c r="M10" s="25"/>
    </row>
    <row r="11" spans="1:13">
      <c r="I11" s="25"/>
      <c r="J11" s="25"/>
      <c r="K11" s="25"/>
      <c r="L11" s="25"/>
      <c r="M11" s="25"/>
    </row>
  </sheetData>
  <mergeCells count="1">
    <mergeCell ref="B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Ejercicio 1</vt:lpstr>
      <vt:lpstr>Ejericio 2</vt:lpstr>
      <vt:lpstr>Ejercicio 3</vt:lpstr>
      <vt:lpstr>Ejercicio 4</vt:lpstr>
      <vt:lpstr>Ejercicio 5</vt:lpstr>
      <vt:lpstr>Ejercicio 6</vt:lpstr>
      <vt:lpstr>Ejercicio 7</vt:lpstr>
      <vt:lpstr>Ejercicio 8</vt:lpstr>
      <vt:lpstr>Ejercicio 9</vt:lpstr>
      <vt:lpstr>Ejercicio 10</vt:lpstr>
      <vt:lpstr>Ejercicio 11</vt:lpstr>
      <vt:lpstr>Ejercicio 12</vt:lpstr>
      <vt:lpstr>Ejercicio 13</vt:lpstr>
      <vt:lpstr>Ejercicio 14</vt:lpstr>
    </vt:vector>
  </TitlesOfParts>
  <Company>Leon y Parra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Leon</dc:creator>
  <cp:lastModifiedBy>Edgar Hernandez</cp:lastModifiedBy>
  <dcterms:created xsi:type="dcterms:W3CDTF">2019-07-15T15:25:32Z</dcterms:created>
  <dcterms:modified xsi:type="dcterms:W3CDTF">2020-07-15T16:20:19Z</dcterms:modified>
</cp:coreProperties>
</file>