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nrique/Documents/UCR/Operaciones/Virtualización/Página del área/Material para la página/Cursos/DN-0496/Prácticas/"/>
    </mc:Choice>
  </mc:AlternateContent>
  <xr:revisionPtr revIDLastSave="0" documentId="13_ncr:1_{D771FC30-8D90-014E-9055-4A3964D204E8}" xr6:coauthVersionLast="47" xr6:coauthVersionMax="47" xr10:uidLastSave="{00000000-0000-0000-0000-000000000000}"/>
  <bookViews>
    <workbookView xWindow="5000" yWindow="500" windowWidth="28860" windowHeight="18660" tabRatio="998" xr2:uid="{00000000-000D-0000-FFFF-FFFF00000000}"/>
  </bookViews>
  <sheets>
    <sheet name="1" sheetId="51" r:id="rId1"/>
    <sheet name="2" sheetId="52" r:id="rId2"/>
    <sheet name="3" sheetId="32" r:id="rId3"/>
    <sheet name="4" sheetId="33" r:id="rId4"/>
    <sheet name="5" sheetId="34" r:id="rId5"/>
    <sheet name="6" sheetId="35" r:id="rId6"/>
    <sheet name="7" sheetId="36" r:id="rId7"/>
    <sheet name="8" sheetId="37" r:id="rId8"/>
    <sheet name="9" sheetId="38" r:id="rId9"/>
    <sheet name="10" sheetId="39" r:id="rId10"/>
    <sheet name="11" sheetId="40" r:id="rId11"/>
    <sheet name="12" sheetId="60" r:id="rId12"/>
    <sheet name="13" sheetId="61" r:id="rId13"/>
    <sheet name="14" sheetId="41" r:id="rId14"/>
    <sheet name="15" sheetId="42" r:id="rId15"/>
    <sheet name="16" sheetId="43" r:id="rId16"/>
    <sheet name="17" sheetId="44" r:id="rId17"/>
    <sheet name="18" sheetId="45" r:id="rId18"/>
    <sheet name="19" sheetId="46" r:id="rId19"/>
    <sheet name="20" sheetId="47" r:id="rId20"/>
    <sheet name="21-a" sheetId="48" r:id="rId21"/>
    <sheet name="21-b" sheetId="49" r:id="rId22"/>
    <sheet name="22" sheetId="53" r:id="rId23"/>
    <sheet name="23" sheetId="54" r:id="rId24"/>
    <sheet name="24" sheetId="55" r:id="rId25"/>
    <sheet name="25" sheetId="56" r:id="rId26"/>
    <sheet name="26" sheetId="57" r:id="rId27"/>
    <sheet name="27" sheetId="58" r:id="rId28"/>
  </sheets>
  <externalReferences>
    <externalReference r:id="rId29"/>
    <externalReference r:id="rId30"/>
  </externalReferences>
  <definedNames>
    <definedName name="CANTIDADDEPAJUSTADAALADEMANDA">[2]GIMAT!$J$32</definedName>
    <definedName name="MinimizeCosts">FALSE</definedName>
    <definedName name="_xlnm.Print_Area" localSheetId="19">'20'!$A$10:$L$59</definedName>
    <definedName name="TIEMPODEPENM2">[2]GIMAT!$C$25</definedName>
    <definedName name="TIEMPODEQENM2">[2]GIMAT!$D$25</definedName>
    <definedName name="TIEMPODISPONIBLE">[2]GIMAT!$C$10</definedName>
    <definedName name="TreeDiagBase" localSheetId="0">'[1]Pregunta 1'!#REF!</definedName>
    <definedName name="TreeDiagBase" localSheetId="1">'[1]Pregunta 1'!#REF!</definedName>
    <definedName name="TreeDiagBase" localSheetId="22">'[1]Pregunta 1'!#REF!</definedName>
    <definedName name="TreeDiagBase" localSheetId="23">'[1]Pregunta 1'!#REF!</definedName>
    <definedName name="TreeDiagBase" localSheetId="24">'[1]Pregunta 1'!#REF!</definedName>
    <definedName name="TreeDiagBase" localSheetId="25">'[1]Pregunta 1'!#REF!</definedName>
    <definedName name="TreeDiagBase" localSheetId="26">'[1]Pregunta 1'!#REF!</definedName>
    <definedName name="TreeDiagBase" localSheetId="27">'[1]Pregunta 1'!#REF!</definedName>
    <definedName name="TreeDiagBase" localSheetId="6">'[1]Pregunta 1'!#REF!</definedName>
    <definedName name="TreeDiagBase">'[1]Pregunta 1'!#REF!</definedName>
    <definedName name="TreeDiagram" localSheetId="0">'[1]Pregunta 1'!#REF!</definedName>
    <definedName name="TreeDiagram" localSheetId="1">'[1]Pregunta 1'!#REF!</definedName>
    <definedName name="TreeDiagram" localSheetId="22">'[1]Pregunta 1'!#REF!</definedName>
    <definedName name="TreeDiagram" localSheetId="23">'[1]Pregunta 1'!#REF!</definedName>
    <definedName name="TreeDiagram" localSheetId="24">'[1]Pregunta 1'!#REF!</definedName>
    <definedName name="TreeDiagram" localSheetId="25">'[1]Pregunta 1'!#REF!</definedName>
    <definedName name="TreeDiagram" localSheetId="26">'[1]Pregunta 1'!#REF!</definedName>
    <definedName name="TreeDiagram" localSheetId="27">'[1]Pregunta 1'!#REF!</definedName>
    <definedName name="TreeDiagram" localSheetId="6">'[1]Pregunta 1'!#REF!</definedName>
    <definedName name="TreeDiagram">'[1]Pregunta 1'!#REF!</definedName>
    <definedName name="UseExpUtility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61" l="1"/>
  <c r="F27" i="61"/>
  <c r="H27" i="61" s="1"/>
  <c r="L26" i="61"/>
  <c r="L27" i="61" s="1"/>
  <c r="J26" i="61"/>
  <c r="J27" i="61" s="1"/>
  <c r="H26" i="61"/>
  <c r="Q25" i="61"/>
  <c r="H25" i="61"/>
  <c r="Q24" i="61"/>
  <c r="H24" i="61"/>
  <c r="Q23" i="61"/>
  <c r="Q22" i="61"/>
  <c r="L9" i="61"/>
  <c r="D19" i="61" s="1"/>
  <c r="K9" i="61"/>
  <c r="D18" i="61" s="1"/>
  <c r="J9" i="61"/>
  <c r="D17" i="61" s="1"/>
  <c r="I9" i="61"/>
  <c r="D16" i="61" s="1"/>
  <c r="D7" i="61"/>
  <c r="D6" i="61"/>
  <c r="D5" i="61"/>
  <c r="D4" i="61"/>
  <c r="F2" i="61"/>
  <c r="C10" i="61" s="1"/>
  <c r="R30" i="60"/>
  <c r="O30" i="60"/>
  <c r="L30" i="60"/>
  <c r="I30" i="60"/>
  <c r="R29" i="60"/>
  <c r="O29" i="60"/>
  <c r="L29" i="60"/>
  <c r="I29" i="60"/>
  <c r="R27" i="60"/>
  <c r="O27" i="60"/>
  <c r="L27" i="60"/>
  <c r="I27" i="60"/>
  <c r="C17" i="60"/>
  <c r="C16" i="60"/>
  <c r="C15" i="60"/>
  <c r="D15" i="60" s="1"/>
  <c r="C14" i="60"/>
  <c r="D14" i="60" s="1"/>
  <c r="Q11" i="60"/>
  <c r="M14" i="60" s="1"/>
  <c r="M19" i="60" s="1"/>
  <c r="D11" i="60"/>
  <c r="D10" i="60"/>
  <c r="H7" i="60"/>
  <c r="C22" i="60" s="1"/>
  <c r="D17" i="60" l="1"/>
  <c r="D16" i="60"/>
  <c r="H10" i="60"/>
  <c r="C23" i="60"/>
  <c r="D23" i="60" s="1"/>
  <c r="C30" i="60" s="1"/>
  <c r="D11" i="61"/>
  <c r="D10" i="61"/>
  <c r="C11" i="61"/>
  <c r="C12" i="61"/>
  <c r="D12" i="61" s="1"/>
  <c r="C13" i="61"/>
  <c r="D13" i="61" s="1"/>
  <c r="O19" i="60"/>
  <c r="N19" i="60"/>
  <c r="D20" i="60"/>
  <c r="D22" i="60"/>
  <c r="G29" i="60" s="1"/>
  <c r="M15" i="60"/>
  <c r="M20" i="60" s="1"/>
  <c r="M12" i="60"/>
  <c r="M17" i="60" s="1"/>
  <c r="M13" i="60"/>
  <c r="M18" i="60" s="1"/>
  <c r="C21" i="60"/>
  <c r="C20" i="60"/>
  <c r="D21" i="60" l="1"/>
  <c r="C28" i="60" s="1"/>
  <c r="C18" i="61"/>
  <c r="E18" i="61" s="1"/>
  <c r="C26" i="61"/>
  <c r="R24" i="61" s="1"/>
  <c r="S24" i="61" s="1"/>
  <c r="T24" i="61" s="1"/>
  <c r="U24" i="61" s="1"/>
  <c r="V24" i="61" s="1"/>
  <c r="W24" i="61" s="1"/>
  <c r="X24" i="61" s="1"/>
  <c r="Y24" i="61" s="1"/>
  <c r="C27" i="61"/>
  <c r="R25" i="61" s="1"/>
  <c r="S25" i="61" s="1"/>
  <c r="T25" i="61" s="1"/>
  <c r="U25" i="61" s="1"/>
  <c r="V25" i="61" s="1"/>
  <c r="W25" i="61" s="1"/>
  <c r="X25" i="61" s="1"/>
  <c r="Y25" i="61" s="1"/>
  <c r="C19" i="61"/>
  <c r="E19" i="61" s="1"/>
  <c r="C16" i="61"/>
  <c r="E16" i="61" s="1"/>
  <c r="C24" i="61"/>
  <c r="C17" i="61"/>
  <c r="E17" i="61" s="1"/>
  <c r="C25" i="61"/>
  <c r="R23" i="61" s="1"/>
  <c r="S23" i="61" s="1"/>
  <c r="T23" i="61" s="1"/>
  <c r="U23" i="61" s="1"/>
  <c r="V23" i="61" s="1"/>
  <c r="W23" i="61" s="1"/>
  <c r="X23" i="61" s="1"/>
  <c r="Y23" i="61" s="1"/>
  <c r="O20" i="60"/>
  <c r="N20" i="60"/>
  <c r="G30" i="60"/>
  <c r="O18" i="60"/>
  <c r="E28" i="60" s="1"/>
  <c r="L28" i="60" s="1"/>
  <c r="L31" i="60" s="1"/>
  <c r="M31" i="60" s="1"/>
  <c r="I36" i="60" s="1"/>
  <c r="N18" i="60"/>
  <c r="N17" i="60"/>
  <c r="O17" i="60"/>
  <c r="E29" i="60"/>
  <c r="C29" i="60"/>
  <c r="C27" i="60"/>
  <c r="C31" i="60" s="1"/>
  <c r="E30" i="60"/>
  <c r="G27" i="60"/>
  <c r="G28" i="60"/>
  <c r="N21" i="60" l="1"/>
  <c r="O28" i="60"/>
  <c r="O31" i="60" s="1"/>
  <c r="P31" i="60" s="1"/>
  <c r="I37" i="60" s="1"/>
  <c r="B28" i="61"/>
  <c r="R22" i="61"/>
  <c r="S22" i="61" s="1"/>
  <c r="T22" i="61" s="1"/>
  <c r="U22" i="61" s="1"/>
  <c r="V22" i="61" s="1"/>
  <c r="W22" i="61" s="1"/>
  <c r="X22" i="61" s="1"/>
  <c r="Y22" i="61" s="1"/>
  <c r="Y26" i="61" s="1"/>
  <c r="J17" i="61" s="1"/>
  <c r="J38" i="60"/>
  <c r="K38" i="60" s="1"/>
  <c r="K36" i="60"/>
  <c r="R28" i="60"/>
  <c r="R31" i="60" s="1"/>
  <c r="S31" i="60" s="1"/>
  <c r="E27" i="60"/>
  <c r="I28" i="60" s="1"/>
  <c r="I31" i="60" s="1"/>
  <c r="J31" i="60" s="1"/>
  <c r="I35" i="60" s="1"/>
  <c r="K35" i="60" s="1"/>
  <c r="K39" i="60" s="1"/>
  <c r="F20" i="58" l="1"/>
  <c r="F19" i="58"/>
  <c r="F21" i="58" s="1"/>
  <c r="F22" i="58" s="1"/>
  <c r="E12" i="58"/>
  <c r="E11" i="58"/>
  <c r="E10" i="58"/>
  <c r="S9" i="58"/>
  <c r="P9" i="58"/>
  <c r="N9" i="58"/>
  <c r="M9" i="58"/>
  <c r="L9" i="58"/>
  <c r="K9" i="58"/>
  <c r="J9" i="58"/>
  <c r="I9" i="58"/>
  <c r="S8" i="58"/>
  <c r="P8" i="58"/>
  <c r="N8" i="58"/>
  <c r="M8" i="58"/>
  <c r="L8" i="58"/>
  <c r="K8" i="58"/>
  <c r="J8" i="58"/>
  <c r="I8" i="58"/>
  <c r="S7" i="58"/>
  <c r="Q10" i="58" s="1"/>
  <c r="P7" i="58"/>
  <c r="N7" i="58"/>
  <c r="N10" i="58" s="1"/>
  <c r="M7" i="58"/>
  <c r="M10" i="58" s="1"/>
  <c r="L7" i="58"/>
  <c r="L10" i="58" s="1"/>
  <c r="K7" i="58"/>
  <c r="K10" i="58" s="1"/>
  <c r="L11" i="58" s="1"/>
  <c r="L13" i="58" s="1"/>
  <c r="J7" i="58"/>
  <c r="J10" i="58" s="1"/>
  <c r="I7" i="58"/>
  <c r="I10" i="58" s="1"/>
  <c r="T15" i="57"/>
  <c r="S13" i="57"/>
  <c r="T13" i="57" s="1"/>
  <c r="U13" i="57" s="1"/>
  <c r="V13" i="57" s="1"/>
  <c r="S12" i="57"/>
  <c r="T12" i="57" s="1"/>
  <c r="U12" i="57" s="1"/>
  <c r="V12" i="57" s="1"/>
  <c r="S11" i="57"/>
  <c r="T11" i="57" s="1"/>
  <c r="U11" i="57" s="1"/>
  <c r="V11" i="57" s="1"/>
  <c r="S10" i="57"/>
  <c r="T10" i="57" s="1"/>
  <c r="U10" i="57" s="1"/>
  <c r="V10" i="57" s="1"/>
  <c r="O9" i="57"/>
  <c r="S9" i="57" s="1"/>
  <c r="T9" i="57" s="1"/>
  <c r="U9" i="57" s="1"/>
  <c r="V9" i="57" s="1"/>
  <c r="T8" i="57"/>
  <c r="U8" i="57" s="1"/>
  <c r="V8" i="57" s="1"/>
  <c r="S8" i="57"/>
  <c r="S7" i="57"/>
  <c r="T7" i="57" s="1"/>
  <c r="U7" i="57" s="1"/>
  <c r="V7" i="57" s="1"/>
  <c r="D32" i="56"/>
  <c r="H26" i="56" s="1"/>
  <c r="H29" i="56"/>
  <c r="H28" i="56"/>
  <c r="D27" i="56"/>
  <c r="H25" i="56"/>
  <c r="H30" i="56" s="1"/>
  <c r="D17" i="56"/>
  <c r="C17" i="56"/>
  <c r="D16" i="56"/>
  <c r="C16" i="56"/>
  <c r="D15" i="56"/>
  <c r="C15" i="56"/>
  <c r="E16" i="55"/>
  <c r="C20" i="55" s="1"/>
  <c r="D16" i="55"/>
  <c r="C16" i="55"/>
  <c r="C8" i="55"/>
  <c r="C21" i="55" s="1"/>
  <c r="D22" i="54"/>
  <c r="D21" i="54"/>
  <c r="G21" i="54" s="1"/>
  <c r="D20" i="54"/>
  <c r="D19" i="54"/>
  <c r="F19" i="54" s="1"/>
  <c r="E18" i="54"/>
  <c r="D18" i="54"/>
  <c r="D17" i="54"/>
  <c r="E17" i="54" s="1"/>
  <c r="D10" i="54"/>
  <c r="D9" i="54"/>
  <c r="G9" i="54" s="1"/>
  <c r="D8" i="54"/>
  <c r="D7" i="54"/>
  <c r="F7" i="54" s="1"/>
  <c r="D6" i="54"/>
  <c r="D5" i="54"/>
  <c r="E5" i="54" s="1"/>
  <c r="J11" i="58" l="1"/>
  <c r="J13" i="58" s="1"/>
  <c r="N11" i="58"/>
  <c r="N13" i="58" s="1"/>
  <c r="R10" i="58"/>
  <c r="C23" i="55"/>
  <c r="F20" i="54"/>
  <c r="F8" i="54"/>
  <c r="E6" i="54"/>
  <c r="F15" i="53"/>
  <c r="D15" i="53"/>
  <c r="K10" i="53" s="1"/>
  <c r="F14" i="53"/>
  <c r="E14" i="53"/>
  <c r="G14" i="53" s="1"/>
  <c r="D14" i="53"/>
  <c r="F13" i="53"/>
  <c r="D13" i="53"/>
  <c r="E13" i="53" s="1"/>
  <c r="G13" i="53" s="1"/>
  <c r="F12" i="53"/>
  <c r="E12" i="53"/>
  <c r="G12" i="53" s="1"/>
  <c r="F11" i="53"/>
  <c r="E19" i="53" s="1"/>
  <c r="E11" i="53"/>
  <c r="G11" i="53" s="1"/>
  <c r="J10" i="53"/>
  <c r="G10" i="53"/>
  <c r="F10" i="53"/>
  <c r="E10" i="53"/>
  <c r="G9" i="53"/>
  <c r="F9" i="53"/>
  <c r="E25" i="53" s="1"/>
  <c r="F25" i="53" s="1"/>
  <c r="E9" i="53"/>
  <c r="F8" i="53"/>
  <c r="E8" i="53"/>
  <c r="G8" i="53" s="1"/>
  <c r="K7" i="53"/>
  <c r="K9" i="53" s="1"/>
  <c r="K11" i="53" s="1"/>
  <c r="J7" i="53"/>
  <c r="J9" i="53" s="1"/>
  <c r="J11" i="53" s="1"/>
  <c r="G7" i="53"/>
  <c r="F7" i="53"/>
  <c r="E7" i="53"/>
  <c r="R7" i="58" l="1"/>
  <c r="R8" i="58"/>
  <c r="R9" i="58"/>
  <c r="F19" i="53"/>
  <c r="E26" i="53"/>
  <c r="F26" i="53" s="1"/>
  <c r="F27" i="53" s="1"/>
  <c r="F29" i="53" s="1"/>
  <c r="E15" i="53"/>
  <c r="G15" i="53" s="1"/>
  <c r="E18" i="53"/>
  <c r="F18" i="53" s="1"/>
  <c r="F20" i="53" s="1"/>
  <c r="F22" i="53" s="1"/>
  <c r="C33" i="52" l="1"/>
  <c r="D33" i="52" s="1"/>
  <c r="C32" i="52"/>
  <c r="C31" i="52"/>
  <c r="H8" i="46" l="1"/>
  <c r="H9" i="46"/>
  <c r="H10" i="46"/>
  <c r="H7" i="46"/>
  <c r="G32" i="49"/>
  <c r="J24" i="49"/>
  <c r="J20" i="49"/>
  <c r="J21" i="49"/>
  <c r="J22" i="49"/>
  <c r="J23" i="49"/>
  <c r="I24" i="49"/>
  <c r="I20" i="49"/>
  <c r="I21" i="49"/>
  <c r="I23" i="49" s="1"/>
  <c r="I25" i="49" s="1"/>
  <c r="I22" i="49"/>
  <c r="H24" i="49"/>
  <c r="H25" i="49" s="1"/>
  <c r="H20" i="49"/>
  <c r="H21" i="49"/>
  <c r="H22" i="49"/>
  <c r="H23" i="49"/>
  <c r="G24" i="49"/>
  <c r="G20" i="49"/>
  <c r="G21" i="49"/>
  <c r="G22" i="49"/>
  <c r="L20" i="49"/>
  <c r="J15" i="49"/>
  <c r="J11" i="49"/>
  <c r="J14" i="49" s="1"/>
  <c r="J12" i="49"/>
  <c r="J13" i="49"/>
  <c r="I15" i="49"/>
  <c r="I11" i="49"/>
  <c r="I12" i="49"/>
  <c r="I13" i="49"/>
  <c r="H15" i="49"/>
  <c r="H11" i="49"/>
  <c r="H12" i="49"/>
  <c r="H13" i="49"/>
  <c r="H14" i="49"/>
  <c r="H16" i="49" s="1"/>
  <c r="G15" i="49"/>
  <c r="G11" i="49"/>
  <c r="G14" i="49" s="1"/>
  <c r="G12" i="49"/>
  <c r="G13" i="49"/>
  <c r="G16" i="49"/>
  <c r="J5" i="49"/>
  <c r="H5" i="49"/>
  <c r="J4" i="49"/>
  <c r="H4" i="49"/>
  <c r="J3" i="49"/>
  <c r="H3" i="49"/>
  <c r="J33" i="48"/>
  <c r="G32" i="48"/>
  <c r="L31" i="48"/>
  <c r="J24" i="48"/>
  <c r="J25" i="48" s="1"/>
  <c r="J20" i="48"/>
  <c r="J23" i="48" s="1"/>
  <c r="J21" i="48"/>
  <c r="J22" i="48"/>
  <c r="I24" i="48"/>
  <c r="I20" i="48"/>
  <c r="I21" i="48"/>
  <c r="I22" i="48"/>
  <c r="I23" i="48"/>
  <c r="H24" i="48"/>
  <c r="H20" i="48"/>
  <c r="H21" i="48"/>
  <c r="H23" i="48" s="1"/>
  <c r="H25" i="48" s="1"/>
  <c r="H22" i="48"/>
  <c r="G24" i="48"/>
  <c r="G25" i="48" s="1"/>
  <c r="G20" i="48"/>
  <c r="G21" i="48"/>
  <c r="G22" i="48"/>
  <c r="G23" i="48"/>
  <c r="L20" i="48"/>
  <c r="J15" i="48"/>
  <c r="J11" i="48"/>
  <c r="J14" i="48" s="1"/>
  <c r="J12" i="48"/>
  <c r="J13" i="48"/>
  <c r="I15" i="48"/>
  <c r="I11" i="48"/>
  <c r="I12" i="48"/>
  <c r="I13" i="48"/>
  <c r="H15" i="48"/>
  <c r="H11" i="48"/>
  <c r="H14" i="48" s="1"/>
  <c r="H16" i="48" s="1"/>
  <c r="H12" i="48"/>
  <c r="H13" i="48"/>
  <c r="G15" i="48"/>
  <c r="G11" i="48"/>
  <c r="G12" i="48"/>
  <c r="G13" i="48"/>
  <c r="G14" i="48" s="1"/>
  <c r="G16" i="48" s="1"/>
  <c r="H5" i="48"/>
  <c r="H4" i="48"/>
  <c r="H3" i="48"/>
  <c r="B53" i="47"/>
  <c r="C53" i="47" s="1"/>
  <c r="D44" i="47"/>
  <c r="C44" i="47" s="1"/>
  <c r="D34" i="47"/>
  <c r="D40" i="47"/>
  <c r="C40" i="47"/>
  <c r="F22" i="47"/>
  <c r="F21" i="47"/>
  <c r="F20" i="47"/>
  <c r="F19" i="47"/>
  <c r="F18" i="47"/>
  <c r="F17" i="47"/>
  <c r="F16" i="47"/>
  <c r="F15" i="47"/>
  <c r="F14" i="47"/>
  <c r="F13" i="47"/>
  <c r="F12" i="47"/>
  <c r="C11" i="47"/>
  <c r="F11" i="47" s="1"/>
  <c r="D15" i="46"/>
  <c r="P5" i="46"/>
  <c r="Q5" i="46"/>
  <c r="N10" i="46"/>
  <c r="N11" i="46" s="1"/>
  <c r="O10" i="46"/>
  <c r="O11" i="46" s="1"/>
  <c r="E15" i="46"/>
  <c r="Q6" i="46"/>
  <c r="D10" i="46" s="1"/>
  <c r="G10" i="46" s="1"/>
  <c r="J10" i="46" s="1"/>
  <c r="E10" i="46"/>
  <c r="F10" i="46"/>
  <c r="I10" i="46"/>
  <c r="P4" i="46"/>
  <c r="Q4" i="46"/>
  <c r="D8" i="46" s="1"/>
  <c r="P3" i="46"/>
  <c r="Q3" i="46" s="1"/>
  <c r="E7" i="46" s="1"/>
  <c r="J37" i="45"/>
  <c r="J36" i="45"/>
  <c r="C6" i="45"/>
  <c r="E25" i="45"/>
  <c r="C12" i="45"/>
  <c r="C21" i="45"/>
  <c r="D12" i="45"/>
  <c r="D21" i="45"/>
  <c r="H26" i="45" s="1"/>
  <c r="C18" i="45"/>
  <c r="C19" i="45"/>
  <c r="C20" i="45" s="1"/>
  <c r="C22" i="45" s="1"/>
  <c r="D18" i="45"/>
  <c r="D19" i="45"/>
  <c r="D34" i="45"/>
  <c r="J34" i="45"/>
  <c r="I34" i="45"/>
  <c r="I33" i="45"/>
  <c r="J28" i="45"/>
  <c r="H29" i="45"/>
  <c r="H28" i="45"/>
  <c r="G26" i="45"/>
  <c r="C11" i="45"/>
  <c r="G21" i="45"/>
  <c r="G25" i="45" s="1"/>
  <c r="I25" i="45" s="1"/>
  <c r="D11" i="45"/>
  <c r="H21" i="45"/>
  <c r="H25" i="45"/>
  <c r="H18" i="45"/>
  <c r="H19" i="45"/>
  <c r="H20" i="45"/>
  <c r="H22" i="45" s="1"/>
  <c r="G18" i="45"/>
  <c r="G19" i="45"/>
  <c r="G20" i="45"/>
  <c r="G22" i="45" s="1"/>
  <c r="C9" i="45"/>
  <c r="D9" i="45"/>
  <c r="E14" i="45"/>
  <c r="C8" i="45"/>
  <c r="D8" i="45"/>
  <c r="F14" i="45" s="1"/>
  <c r="H14" i="45"/>
  <c r="C13" i="45"/>
  <c r="F13" i="45" s="1"/>
  <c r="H13" i="45" s="1"/>
  <c r="D13" i="45"/>
  <c r="E13" i="45"/>
  <c r="F12" i="45"/>
  <c r="F11" i="45"/>
  <c r="N4" i="44"/>
  <c r="T32" i="44" s="1"/>
  <c r="M33" i="44"/>
  <c r="M35" i="44" s="1"/>
  <c r="G15" i="44"/>
  <c r="M34" i="44"/>
  <c r="L33" i="44"/>
  <c r="F15" i="44"/>
  <c r="K33" i="44"/>
  <c r="E15" i="44"/>
  <c r="K34" i="44" s="1"/>
  <c r="J33" i="44"/>
  <c r="D15" i="44"/>
  <c r="I33" i="44"/>
  <c r="C15" i="44"/>
  <c r="I34" i="44" s="1"/>
  <c r="C12" i="44"/>
  <c r="D12" i="44"/>
  <c r="E12" i="44"/>
  <c r="F12" i="44"/>
  <c r="L25" i="44" s="1"/>
  <c r="G12" i="44"/>
  <c r="M25" i="44" s="1"/>
  <c r="M26" i="44" s="1"/>
  <c r="S30" i="44"/>
  <c r="Q30" i="44"/>
  <c r="O30" i="44"/>
  <c r="M24" i="44"/>
  <c r="L24" i="44"/>
  <c r="K24" i="44"/>
  <c r="K25" i="44"/>
  <c r="J24" i="44"/>
  <c r="J25" i="44"/>
  <c r="J26" i="44" s="1"/>
  <c r="I24" i="44"/>
  <c r="G14" i="44"/>
  <c r="F14" i="44"/>
  <c r="E14" i="44"/>
  <c r="D14" i="44"/>
  <c r="C14" i="44"/>
  <c r="G13" i="44"/>
  <c r="F13" i="44"/>
  <c r="E13" i="44"/>
  <c r="D13" i="44"/>
  <c r="C13" i="44"/>
  <c r="K4" i="44"/>
  <c r="D11" i="44"/>
  <c r="E11" i="44"/>
  <c r="F11" i="44"/>
  <c r="G11" i="44"/>
  <c r="H11" i="44"/>
  <c r="J4" i="44"/>
  <c r="D10" i="44"/>
  <c r="E10" i="44"/>
  <c r="F10" i="44"/>
  <c r="G10" i="44"/>
  <c r="H10" i="44"/>
  <c r="I4" i="44"/>
  <c r="I10" i="44"/>
  <c r="D9" i="44"/>
  <c r="H9" i="44" s="1"/>
  <c r="E9" i="44"/>
  <c r="F9" i="44"/>
  <c r="G9" i="44"/>
  <c r="H4" i="44"/>
  <c r="I9" i="44"/>
  <c r="M4" i="44"/>
  <c r="L4" i="44"/>
  <c r="C1" i="43"/>
  <c r="D5" i="43"/>
  <c r="C5" i="43"/>
  <c r="B40" i="43"/>
  <c r="E5" i="43"/>
  <c r="E19" i="43" s="1"/>
  <c r="E20" i="43" s="1"/>
  <c r="E21" i="43" s="1"/>
  <c r="D22" i="43" s="1"/>
  <c r="E22" i="43" s="1"/>
  <c r="C40" i="43"/>
  <c r="C41" i="43" s="1"/>
  <c r="C42" i="43" s="1"/>
  <c r="K9" i="43"/>
  <c r="C45" i="43"/>
  <c r="L9" i="43"/>
  <c r="L11" i="43" s="1"/>
  <c r="D45" i="43"/>
  <c r="M9" i="43"/>
  <c r="D19" i="43"/>
  <c r="C19" i="43"/>
  <c r="D24" i="43"/>
  <c r="E24" i="43" s="1"/>
  <c r="E13" i="43"/>
  <c r="D13" i="43"/>
  <c r="C13" i="43"/>
  <c r="E12" i="43"/>
  <c r="D12" i="43"/>
  <c r="C12" i="43"/>
  <c r="L10" i="43"/>
  <c r="K10" i="43"/>
  <c r="K11" i="43"/>
  <c r="E11" i="43"/>
  <c r="D11" i="43"/>
  <c r="C11" i="43"/>
  <c r="E10" i="43"/>
  <c r="D10" i="43"/>
  <c r="C10" i="43"/>
  <c r="E9" i="43"/>
  <c r="D9" i="43"/>
  <c r="C9" i="43"/>
  <c r="E8" i="43"/>
  <c r="D8" i="43"/>
  <c r="C8" i="43"/>
  <c r="C7" i="43"/>
  <c r="D7" i="43"/>
  <c r="G7" i="43"/>
  <c r="I7" i="43"/>
  <c r="F7" i="43"/>
  <c r="H7" i="43" s="1"/>
  <c r="C6" i="43"/>
  <c r="D6" i="43"/>
  <c r="F6" i="43" s="1"/>
  <c r="H6" i="43" s="1"/>
  <c r="G5" i="43"/>
  <c r="I5" i="43"/>
  <c r="F5" i="43"/>
  <c r="H5" i="43" s="1"/>
  <c r="E43" i="42"/>
  <c r="D43" i="42"/>
  <c r="F43" i="42"/>
  <c r="D47" i="42" s="1"/>
  <c r="D45" i="42"/>
  <c r="G2" i="42"/>
  <c r="E45" i="42"/>
  <c r="D46" i="42"/>
  <c r="E46" i="42" s="1"/>
  <c r="G3" i="42"/>
  <c r="I3" i="42" s="1"/>
  <c r="G4" i="42"/>
  <c r="E47" i="42"/>
  <c r="E32" i="42"/>
  <c r="D32" i="42"/>
  <c r="E21" i="42"/>
  <c r="D21" i="42"/>
  <c r="F21" i="42"/>
  <c r="D23" i="42"/>
  <c r="E23" i="42" s="1"/>
  <c r="F15" i="42"/>
  <c r="D15" i="42"/>
  <c r="C15" i="42"/>
  <c r="B15" i="42"/>
  <c r="F14" i="42"/>
  <c r="D14" i="42"/>
  <c r="C14" i="42"/>
  <c r="B14" i="42"/>
  <c r="F13" i="42"/>
  <c r="D13" i="42"/>
  <c r="C13" i="42"/>
  <c r="B13" i="42"/>
  <c r="F12" i="42"/>
  <c r="D12" i="42"/>
  <c r="C12" i="42"/>
  <c r="B12" i="42"/>
  <c r="F11" i="42"/>
  <c r="D11" i="42"/>
  <c r="C11" i="42"/>
  <c r="B11" i="42"/>
  <c r="F10" i="42"/>
  <c r="D10" i="42"/>
  <c r="C10" i="42"/>
  <c r="B10" i="42"/>
  <c r="F9" i="42"/>
  <c r="D9" i="42"/>
  <c r="H4" i="42" s="1"/>
  <c r="C9" i="42"/>
  <c r="H3" i="42" s="1"/>
  <c r="B9" i="42"/>
  <c r="H2" i="42"/>
  <c r="I2" i="42"/>
  <c r="G4" i="41"/>
  <c r="C29" i="41"/>
  <c r="K5" i="41"/>
  <c r="K6" i="41" s="1"/>
  <c r="K8" i="41" s="1"/>
  <c r="G6" i="41"/>
  <c r="L5" i="41"/>
  <c r="L6" i="41"/>
  <c r="G12" i="41"/>
  <c r="C17" i="41"/>
  <c r="M5" i="41"/>
  <c r="M6" i="41" s="1"/>
  <c r="M8" i="41" s="1"/>
  <c r="C16" i="41"/>
  <c r="F12" i="41"/>
  <c r="H12" i="41"/>
  <c r="F11" i="41"/>
  <c r="H11" i="41" s="1"/>
  <c r="G11" i="41"/>
  <c r="F10" i="41"/>
  <c r="G10" i="41"/>
  <c r="H10" i="41" s="1"/>
  <c r="F9" i="41"/>
  <c r="H9" i="41" s="1"/>
  <c r="G9" i="41"/>
  <c r="M7" i="41"/>
  <c r="L7" i="41"/>
  <c r="L8" i="41"/>
  <c r="K7" i="41"/>
  <c r="F8" i="41"/>
  <c r="H8" i="41" s="1"/>
  <c r="G8" i="41"/>
  <c r="F7" i="41"/>
  <c r="G7" i="41"/>
  <c r="H7" i="41"/>
  <c r="F6" i="41"/>
  <c r="H6" i="41"/>
  <c r="F5" i="41"/>
  <c r="H5" i="41" s="1"/>
  <c r="G5" i="41"/>
  <c r="F4" i="41"/>
  <c r="N19" i="40"/>
  <c r="N15" i="40"/>
  <c r="N10" i="40"/>
  <c r="N3" i="40"/>
  <c r="N27" i="40" s="1"/>
  <c r="P27" i="40"/>
  <c r="O27" i="40"/>
  <c r="C6" i="38"/>
  <c r="C11" i="38" s="1"/>
  <c r="C13" i="38" s="1"/>
  <c r="C18" i="38" s="1"/>
  <c r="G14" i="37"/>
  <c r="G21" i="37" s="1"/>
  <c r="G35" i="37" s="1"/>
  <c r="G17" i="37"/>
  <c r="G15" i="37"/>
  <c r="G22" i="37" s="1"/>
  <c r="G16" i="37"/>
  <c r="G23" i="37"/>
  <c r="G24" i="37"/>
  <c r="G38" i="37" s="1"/>
  <c r="G31" i="37"/>
  <c r="I16" i="37"/>
  <c r="H16" i="37"/>
  <c r="I15" i="37"/>
  <c r="H15" i="37"/>
  <c r="I14" i="37"/>
  <c r="H14" i="37"/>
  <c r="G28" i="37"/>
  <c r="C10" i="37"/>
  <c r="D8" i="37"/>
  <c r="C13" i="37" s="1"/>
  <c r="D9" i="37"/>
  <c r="C14" i="37"/>
  <c r="D7" i="37"/>
  <c r="C12" i="37"/>
  <c r="O7" i="37"/>
  <c r="M7" i="37"/>
  <c r="N7" i="37" s="1"/>
  <c r="N8" i="37" s="1"/>
  <c r="C7" i="36"/>
  <c r="C9" i="36"/>
  <c r="C10" i="36"/>
  <c r="C5" i="36"/>
  <c r="C4" i="36"/>
  <c r="C3" i="36"/>
  <c r="E3" i="36" s="1"/>
  <c r="C10" i="35"/>
  <c r="D10" i="35"/>
  <c r="C26" i="34"/>
  <c r="D4" i="34"/>
  <c r="C21" i="34"/>
  <c r="D21" i="34" s="1"/>
  <c r="C22" i="34"/>
  <c r="C23" i="34"/>
  <c r="D26" i="34"/>
  <c r="D27" i="34"/>
  <c r="E26" i="34"/>
  <c r="F26" i="34"/>
  <c r="D18" i="34"/>
  <c r="G26" i="34"/>
  <c r="L23" i="34"/>
  <c r="E4" i="34"/>
  <c r="L6" i="34" s="1"/>
  <c r="M4" i="34"/>
  <c r="M5" i="34"/>
  <c r="M3" i="34"/>
  <c r="L8" i="34"/>
  <c r="G49" i="33"/>
  <c r="B58" i="33"/>
  <c r="E58" i="33"/>
  <c r="D40" i="33"/>
  <c r="E40" i="33"/>
  <c r="F58" i="33"/>
  <c r="G58" i="33"/>
  <c r="I64" i="33" s="1"/>
  <c r="G50" i="33"/>
  <c r="B59" i="33"/>
  <c r="E59" i="33"/>
  <c r="D41" i="33"/>
  <c r="G51" i="33"/>
  <c r="B60" i="33"/>
  <c r="E60" i="33" s="1"/>
  <c r="D42" i="33"/>
  <c r="E42" i="33"/>
  <c r="F60" i="33" s="1"/>
  <c r="C64" i="33"/>
  <c r="C67" i="33"/>
  <c r="D64" i="33"/>
  <c r="C65" i="33"/>
  <c r="D65" i="33" s="1"/>
  <c r="D68" i="33" s="1"/>
  <c r="C68" i="33"/>
  <c r="E65" i="33"/>
  <c r="C66" i="33"/>
  <c r="C69" i="33"/>
  <c r="D66" i="33"/>
  <c r="D69" i="33"/>
  <c r="E66" i="33"/>
  <c r="B57" i="33"/>
  <c r="C35" i="33"/>
  <c r="C46" i="33" s="1"/>
  <c r="C34" i="33"/>
  <c r="C33" i="33"/>
  <c r="C53" i="33"/>
  <c r="D44" i="33"/>
  <c r="C44" i="33"/>
  <c r="D27" i="33"/>
  <c r="D28" i="33" s="1"/>
  <c r="D29" i="33" s="1"/>
  <c r="D30" i="33"/>
  <c r="D31" i="33"/>
  <c r="E22" i="33"/>
  <c r="D9" i="33"/>
  <c r="E12" i="33" s="1"/>
  <c r="E6" i="33"/>
  <c r="E13" i="33"/>
  <c r="E5" i="33"/>
  <c r="E4" i="33"/>
  <c r="E7" i="33"/>
  <c r="C6" i="32"/>
  <c r="C7" i="32"/>
  <c r="C8" i="32"/>
  <c r="C9" i="32"/>
  <c r="C11" i="32"/>
  <c r="E9" i="42"/>
  <c r="G9" i="42"/>
  <c r="E10" i="42"/>
  <c r="G10" i="42" s="1"/>
  <c r="E11" i="42"/>
  <c r="G11" i="42" s="1"/>
  <c r="E12" i="42"/>
  <c r="G12" i="42"/>
  <c r="E13" i="42"/>
  <c r="G13" i="42" s="1"/>
  <c r="E14" i="42"/>
  <c r="G14" i="42" s="1"/>
  <c r="E15" i="42"/>
  <c r="G15" i="42" s="1"/>
  <c r="F8" i="43"/>
  <c r="H8" i="43"/>
  <c r="G8" i="43"/>
  <c r="I8" i="43" s="1"/>
  <c r="F9" i="43"/>
  <c r="H9" i="43" s="1"/>
  <c r="G9" i="43"/>
  <c r="I9" i="43" s="1"/>
  <c r="F10" i="43"/>
  <c r="H10" i="43"/>
  <c r="G10" i="43"/>
  <c r="I10" i="43" s="1"/>
  <c r="F11" i="43"/>
  <c r="H11" i="43" s="1"/>
  <c r="G11" i="43"/>
  <c r="I11" i="43" s="1"/>
  <c r="F12" i="43"/>
  <c r="H12" i="43"/>
  <c r="G12" i="43"/>
  <c r="I12" i="43"/>
  <c r="F13" i="43"/>
  <c r="H13" i="43" s="1"/>
  <c r="G13" i="43"/>
  <c r="I13" i="43" s="1"/>
  <c r="H13" i="44"/>
  <c r="I13" i="44"/>
  <c r="H14" i="44"/>
  <c r="I14" i="44" s="1"/>
  <c r="P30" i="44" l="1"/>
  <c r="S32" i="44" s="1"/>
  <c r="T33" i="44" s="1"/>
  <c r="F27" i="44"/>
  <c r="C27" i="44"/>
  <c r="F22" i="44"/>
  <c r="J34" i="44"/>
  <c r="J35" i="44" s="1"/>
  <c r="C19" i="33"/>
  <c r="C18" i="33"/>
  <c r="C44" i="43"/>
  <c r="D44" i="43" s="1"/>
  <c r="C46" i="43"/>
  <c r="D46" i="43" s="1"/>
  <c r="D29" i="41"/>
  <c r="L26" i="44"/>
  <c r="N28" i="40"/>
  <c r="N29" i="40"/>
  <c r="E9" i="46"/>
  <c r="O12" i="46" s="1"/>
  <c r="O13" i="46" s="1"/>
  <c r="D9" i="46"/>
  <c r="D14" i="46" s="1"/>
  <c r="C45" i="33"/>
  <c r="C36" i="33"/>
  <c r="C18" i="41"/>
  <c r="C22" i="41" s="1"/>
  <c r="D22" i="41" s="1"/>
  <c r="C23" i="41"/>
  <c r="D23" i="41" s="1"/>
  <c r="H4" i="41"/>
  <c r="C19" i="41"/>
  <c r="D25" i="42"/>
  <c r="E25" i="42" s="1"/>
  <c r="D24" i="42"/>
  <c r="E24" i="42" s="1"/>
  <c r="E26" i="42" s="1"/>
  <c r="G26" i="42" s="1"/>
  <c r="I11" i="44"/>
  <c r="F21" i="44"/>
  <c r="C55" i="33"/>
  <c r="G30" i="37"/>
  <c r="G37" i="37"/>
  <c r="B55" i="47"/>
  <c r="C55" i="47" s="1"/>
  <c r="C56" i="47" s="1"/>
  <c r="C58" i="47" s="1"/>
  <c r="D50" i="47"/>
  <c r="C50" i="47" s="1"/>
  <c r="B54" i="47" s="1"/>
  <c r="C54" i="47" s="1"/>
  <c r="G27" i="34"/>
  <c r="G28" i="34" s="1"/>
  <c r="G29" i="34" s="1"/>
  <c r="G30" i="34" s="1"/>
  <c r="F27" i="34"/>
  <c r="F28" i="34" s="1"/>
  <c r="F29" i="34" s="1"/>
  <c r="F30" i="34" s="1"/>
  <c r="G36" i="37"/>
  <c r="G39" i="37" s="1"/>
  <c r="G29" i="37"/>
  <c r="D7" i="46"/>
  <c r="C18" i="37"/>
  <c r="C17" i="37"/>
  <c r="C16" i="37"/>
  <c r="G60" i="33"/>
  <c r="I66" i="33" s="1"/>
  <c r="H21" i="37"/>
  <c r="H28" i="37" s="1"/>
  <c r="I17" i="37"/>
  <c r="I23" i="37" s="1"/>
  <c r="I30" i="37" s="1"/>
  <c r="H17" i="37"/>
  <c r="F26" i="44"/>
  <c r="J16" i="48"/>
  <c r="E48" i="42"/>
  <c r="G48" i="42" s="1"/>
  <c r="G8" i="46"/>
  <c r="J8" i="46" s="1"/>
  <c r="F8" i="46"/>
  <c r="I8" i="46" s="1"/>
  <c r="I14" i="49"/>
  <c r="I16" i="49" s="1"/>
  <c r="D67" i="33"/>
  <c r="E64" i="33"/>
  <c r="E41" i="33"/>
  <c r="D45" i="33"/>
  <c r="L9" i="34"/>
  <c r="L10" i="34"/>
  <c r="C17" i="38"/>
  <c r="C16" i="38"/>
  <c r="D23" i="43"/>
  <c r="E23" i="43" s="1"/>
  <c r="E25" i="43" s="1"/>
  <c r="E27" i="43" s="1"/>
  <c r="L34" i="44"/>
  <c r="L35" i="44" s="1"/>
  <c r="R30" i="44"/>
  <c r="J33" i="45"/>
  <c r="E26" i="45"/>
  <c r="E69" i="33"/>
  <c r="F66" i="33"/>
  <c r="E68" i="33"/>
  <c r="F65" i="33"/>
  <c r="C30" i="41"/>
  <c r="D30" i="41" s="1"/>
  <c r="H12" i="44"/>
  <c r="I12" i="44" s="1"/>
  <c r="G11" i="45"/>
  <c r="G14" i="45"/>
  <c r="I14" i="45" s="1"/>
  <c r="G13" i="45"/>
  <c r="I13" i="45" s="1"/>
  <c r="G12" i="45"/>
  <c r="D23" i="34"/>
  <c r="C27" i="34" s="1"/>
  <c r="C28" i="34" s="1"/>
  <c r="C29" i="34" s="1"/>
  <c r="C30" i="34" s="1"/>
  <c r="F32" i="42"/>
  <c r="K26" i="44"/>
  <c r="E11" i="45"/>
  <c r="H11" i="45" s="1"/>
  <c r="J29" i="45"/>
  <c r="H14" i="46"/>
  <c r="G23" i="49"/>
  <c r="E11" i="33"/>
  <c r="C17" i="33" s="1"/>
  <c r="D28" i="34"/>
  <c r="D29" i="34" s="1"/>
  <c r="D30" i="34" s="1"/>
  <c r="H15" i="44"/>
  <c r="I15" i="44" s="1"/>
  <c r="C31" i="44"/>
  <c r="C26" i="44"/>
  <c r="C21" i="44"/>
  <c r="E12" i="45"/>
  <c r="H12" i="45" s="1"/>
  <c r="D20" i="45"/>
  <c r="D22" i="45" s="1"/>
  <c r="E8" i="46"/>
  <c r="G25" i="49"/>
  <c r="I25" i="44"/>
  <c r="I26" i="44" s="1"/>
  <c r="Q20" i="44" s="1"/>
  <c r="C32" i="44"/>
  <c r="K35" i="44"/>
  <c r="D25" i="45"/>
  <c r="I14" i="48"/>
  <c r="I16" i="48" s="1"/>
  <c r="I25" i="48"/>
  <c r="J25" i="49"/>
  <c r="D46" i="33"/>
  <c r="M10" i="43"/>
  <c r="M11" i="43" s="1"/>
  <c r="G35" i="49"/>
  <c r="G34" i="49"/>
  <c r="G33" i="49"/>
  <c r="D22" i="34"/>
  <c r="E27" i="34" s="1"/>
  <c r="E28" i="34" s="1"/>
  <c r="E29" i="34" s="1"/>
  <c r="E30" i="34" s="1"/>
  <c r="L12" i="37"/>
  <c r="I4" i="42"/>
  <c r="G6" i="43"/>
  <c r="I6" i="43" s="1"/>
  <c r="C22" i="44"/>
  <c r="I35" i="44"/>
  <c r="I26" i="45"/>
  <c r="J16" i="49"/>
  <c r="H30" i="34" l="1"/>
  <c r="H13" i="46"/>
  <c r="H15" i="46" s="1"/>
  <c r="H17" i="46" s="1"/>
  <c r="E14" i="46"/>
  <c r="L12" i="34"/>
  <c r="L14" i="34"/>
  <c r="L13" i="34"/>
  <c r="Q24" i="44"/>
  <c r="Q21" i="44"/>
  <c r="Q22" i="44"/>
  <c r="Q23" i="44"/>
  <c r="F68" i="33"/>
  <c r="G65" i="33"/>
  <c r="C54" i="33"/>
  <c r="F59" i="33"/>
  <c r="G59" i="33" s="1"/>
  <c r="I65" i="33" s="1"/>
  <c r="D34" i="42"/>
  <c r="E34" i="42" s="1"/>
  <c r="D36" i="42"/>
  <c r="E36" i="42" s="1"/>
  <c r="D35" i="42"/>
  <c r="E35" i="42" s="1"/>
  <c r="I12" i="45"/>
  <c r="F64" i="33"/>
  <c r="E67" i="33"/>
  <c r="I24" i="37"/>
  <c r="I31" i="37" s="1"/>
  <c r="I21" i="37"/>
  <c r="I28" i="37" s="1"/>
  <c r="F69" i="33"/>
  <c r="G66" i="33"/>
  <c r="G9" i="46"/>
  <c r="J9" i="46" s="1"/>
  <c r="F9" i="46"/>
  <c r="I9" i="46" s="1"/>
  <c r="N12" i="46"/>
  <c r="N13" i="46" s="1"/>
  <c r="S39" i="44"/>
  <c r="T39" i="44" s="1"/>
  <c r="S35" i="44"/>
  <c r="T35" i="44" s="1"/>
  <c r="T40" i="44" s="1"/>
  <c r="T42" i="44" s="1"/>
  <c r="S36" i="44"/>
  <c r="T36" i="44" s="1"/>
  <c r="S37" i="44"/>
  <c r="T37" i="44" s="1"/>
  <c r="S38" i="44"/>
  <c r="T38" i="44" s="1"/>
  <c r="G7" i="46"/>
  <c r="J7" i="46" s="1"/>
  <c r="F7" i="46"/>
  <c r="I7" i="46" s="1"/>
  <c r="I22" i="37"/>
  <c r="I29" i="37" s="1"/>
  <c r="D47" i="43"/>
  <c r="D49" i="43" s="1"/>
  <c r="D32" i="41"/>
  <c r="E29" i="45"/>
  <c r="E28" i="45"/>
  <c r="I11" i="45"/>
  <c r="H22" i="37"/>
  <c r="H29" i="37" s="1"/>
  <c r="H23" i="37"/>
  <c r="H30" i="37" s="1"/>
  <c r="H24" i="37"/>
  <c r="H31" i="37"/>
  <c r="D25" i="41"/>
  <c r="I28" i="45" l="1"/>
  <c r="C31" i="45"/>
  <c r="D31" i="45" s="1"/>
  <c r="D33" i="45" s="1"/>
  <c r="D35" i="45" s="1"/>
  <c r="C32" i="45"/>
  <c r="D32" i="45" s="1"/>
  <c r="I29" i="45"/>
  <c r="H65" i="33"/>
  <c r="H68" i="33" s="1"/>
  <c r="G68" i="33"/>
  <c r="I68" i="33" s="1"/>
  <c r="I69" i="33"/>
  <c r="F67" i="33"/>
  <c r="G64" i="33"/>
  <c r="G69" i="33"/>
  <c r="H66" i="33"/>
  <c r="H69" i="33" s="1"/>
  <c r="E37" i="42"/>
  <c r="G37" i="42" s="1"/>
  <c r="G67" i="33" l="1"/>
  <c r="I67" i="33" s="1"/>
  <c r="I70" i="33" s="1"/>
  <c r="H64" i="33"/>
  <c r="H67" i="33" s="1"/>
</calcChain>
</file>

<file path=xl/sharedStrings.xml><?xml version="1.0" encoding="utf-8"?>
<sst xmlns="http://schemas.openxmlformats.org/spreadsheetml/2006/main" count="1435" uniqueCount="652">
  <si>
    <t>Demanda</t>
  </si>
  <si>
    <t>Disponible</t>
  </si>
  <si>
    <t xml:space="preserve"> --</t>
    <phoneticPr fontId="0" type="noConversion"/>
  </si>
  <si>
    <t>Inventario de seguridad</t>
  </si>
  <si>
    <t>A</t>
  </si>
  <si>
    <t>C</t>
  </si>
  <si>
    <t>B</t>
  </si>
  <si>
    <t xml:space="preserve"> --</t>
  </si>
  <si>
    <t>D</t>
  </si>
  <si>
    <t>X</t>
  </si>
  <si>
    <t>W</t>
  </si>
  <si>
    <t>Y</t>
  </si>
  <si>
    <t>Mes 1</t>
    <phoneticPr fontId="0" type="noConversion"/>
  </si>
  <si>
    <t>Mes 2</t>
  </si>
  <si>
    <t>Precio</t>
  </si>
  <si>
    <t>CMP</t>
  </si>
  <si>
    <t>Tstd</t>
  </si>
  <si>
    <t>P</t>
  </si>
  <si>
    <t>E</t>
  </si>
  <si>
    <t>UAII</t>
  </si>
  <si>
    <t>Productos</t>
  </si>
  <si>
    <t>Máquinas</t>
  </si>
  <si>
    <t>Lista de materiales</t>
  </si>
  <si>
    <t>Z</t>
  </si>
  <si>
    <t>Utilización</t>
  </si>
  <si>
    <t>Eficiencia</t>
  </si>
  <si>
    <t>Total</t>
  </si>
  <si>
    <t>Carga</t>
  </si>
  <si>
    <t>Producto</t>
  </si>
  <si>
    <t>K</t>
  </si>
  <si>
    <t>Q</t>
  </si>
  <si>
    <t>Máquina</t>
  </si>
  <si>
    <t>M1</t>
  </si>
  <si>
    <t>M3</t>
  </si>
  <si>
    <t>M2</t>
  </si>
  <si>
    <t>M6</t>
  </si>
  <si>
    <t>M7</t>
  </si>
  <si>
    <t>Mes 1</t>
  </si>
  <si>
    <t>P =</t>
  </si>
  <si>
    <t>Q =</t>
  </si>
  <si>
    <t>M8</t>
  </si>
  <si>
    <t>M9</t>
  </si>
  <si>
    <t>M4</t>
  </si>
  <si>
    <t>M5</t>
  </si>
  <si>
    <t>X =</t>
  </si>
  <si>
    <t>Mezcla</t>
  </si>
  <si>
    <t>S</t>
  </si>
  <si>
    <t>Costo</t>
  </si>
  <si>
    <t>Tiempo Disponible</t>
  </si>
  <si>
    <t>Takt Time</t>
  </si>
  <si>
    <t>Corte</t>
  </si>
  <si>
    <t>Carga mes 1</t>
  </si>
  <si>
    <t>Carga mes 2</t>
  </si>
  <si>
    <t>Componentes</t>
  </si>
  <si>
    <t>A1</t>
  </si>
  <si>
    <t>A2</t>
  </si>
  <si>
    <t>A3</t>
  </si>
  <si>
    <t>B1</t>
  </si>
  <si>
    <t>B2</t>
  </si>
  <si>
    <t>B3</t>
  </si>
  <si>
    <t>B4</t>
  </si>
  <si>
    <t>C1</t>
  </si>
  <si>
    <t>C2</t>
  </si>
  <si>
    <t>C3</t>
  </si>
  <si>
    <t>TOTAL</t>
  </si>
  <si>
    <t>Sem 1</t>
  </si>
  <si>
    <t>Sem 2</t>
  </si>
  <si>
    <t>Margen</t>
  </si>
  <si>
    <t>x=</t>
  </si>
  <si>
    <r>
      <t xml:space="preserve">El programa de montaje final para el mes 1 es de: </t>
    </r>
    <r>
      <rPr>
        <sz val="11"/>
        <color indexed="10"/>
        <rFont val="Calibri"/>
        <family val="2"/>
      </rPr>
      <t xml:space="preserve"> PPPQQS - PPPQQS - PPPQQS</t>
    </r>
  </si>
  <si>
    <t>a.</t>
  </si>
  <si>
    <t>b.</t>
  </si>
  <si>
    <t>c.</t>
  </si>
  <si>
    <t>d.</t>
  </si>
  <si>
    <t>e.</t>
  </si>
  <si>
    <t>Unidades</t>
  </si>
  <si>
    <t>Demanda mensual</t>
  </si>
  <si>
    <t>PV</t>
  </si>
  <si>
    <t>Tiempo disponible diario</t>
  </si>
  <si>
    <t>Ingresos</t>
  </si>
  <si>
    <t>Gastos de Op</t>
  </si>
  <si>
    <t>Heijunka</t>
  </si>
  <si>
    <t>TD</t>
  </si>
  <si>
    <t>KANBANES</t>
  </si>
  <si>
    <t>n=DxT/C</t>
  </si>
  <si>
    <t>D=4</t>
  </si>
  <si>
    <t>T=</t>
  </si>
  <si>
    <t>Preparación</t>
  </si>
  <si>
    <t>Corrida (por lote)</t>
  </si>
  <si>
    <t>Desplazamiento</t>
  </si>
  <si>
    <t>n</t>
  </si>
  <si>
    <t>R/</t>
  </si>
  <si>
    <t>a) 4 contenedores</t>
  </si>
  <si>
    <t>b) No cambia el número de contenedores y por lo tanto no cambia el inventario.</t>
  </si>
  <si>
    <t>Demanda</t>
    <phoneticPr fontId="0" type="noConversion"/>
  </si>
  <si>
    <t>Días laborales</t>
    <phoneticPr fontId="0" type="noConversion"/>
  </si>
  <si>
    <t>Producción Diaria</t>
    <phoneticPr fontId="0" type="noConversion"/>
  </si>
  <si>
    <t>P</t>
    <phoneticPr fontId="0" type="noConversion"/>
  </si>
  <si>
    <t>Q</t>
    <phoneticPr fontId="0" type="noConversion"/>
  </si>
  <si>
    <t>S</t>
    <phoneticPr fontId="0" type="noConversion"/>
  </si>
  <si>
    <t>por día</t>
    <phoneticPr fontId="0" type="noConversion"/>
  </si>
  <si>
    <t>Capacidad disponible diaria</t>
    <phoneticPr fontId="0" type="noConversion"/>
  </si>
  <si>
    <t>El ciclo de fabricación de P debe ser:</t>
    <phoneticPr fontId="0" type="noConversion"/>
  </si>
  <si>
    <t>El ciclo de fabricación de Q debe ser:</t>
    <phoneticPr fontId="0" type="noConversion"/>
  </si>
  <si>
    <t>El ciclo de fabricación de S debe ser:</t>
    <phoneticPr fontId="0" type="noConversion"/>
  </si>
  <si>
    <t>Por tanto cada 52.5 minutos tenemos:</t>
    <phoneticPr fontId="0" type="noConversion"/>
  </si>
  <si>
    <t>De P =</t>
    <phoneticPr fontId="0" type="noConversion"/>
  </si>
  <si>
    <t>De Q =</t>
    <phoneticPr fontId="0" type="noConversion"/>
  </si>
  <si>
    <t>De S =</t>
    <phoneticPr fontId="0" type="noConversion"/>
  </si>
  <si>
    <t>Tiempo de carga por montaje en minutos</t>
    <phoneticPr fontId="0" type="noConversion"/>
  </si>
  <si>
    <t>Programación de un día de producción</t>
  </si>
  <si>
    <t>Montaje</t>
    <phoneticPr fontId="0" type="noConversion"/>
  </si>
  <si>
    <t>acumulada</t>
    <phoneticPr fontId="0" type="noConversion"/>
  </si>
  <si>
    <t>Op 1</t>
    <phoneticPr fontId="0" type="noConversion"/>
  </si>
  <si>
    <t>Op 2</t>
    <phoneticPr fontId="0" type="noConversion"/>
  </si>
  <si>
    <t>Op 3</t>
    <phoneticPr fontId="0" type="noConversion"/>
  </si>
  <si>
    <t>PPPQQS</t>
    <phoneticPr fontId="0" type="noConversion"/>
  </si>
  <si>
    <t>0-1</t>
    <phoneticPr fontId="0" type="noConversion"/>
  </si>
  <si>
    <t xml:space="preserve"> 1-2</t>
    <phoneticPr fontId="0" type="noConversion"/>
  </si>
  <si>
    <t xml:space="preserve"> 2-3</t>
    <phoneticPr fontId="0" type="noConversion"/>
  </si>
  <si>
    <t xml:space="preserve"> 3-4</t>
    <phoneticPr fontId="0" type="noConversion"/>
  </si>
  <si>
    <t xml:space="preserve"> 4-5</t>
    <phoneticPr fontId="0" type="noConversion"/>
  </si>
  <si>
    <t>5--</t>
    <phoneticPr fontId="0" type="noConversion"/>
  </si>
  <si>
    <t xml:space="preserve"> 5-6</t>
    <phoneticPr fontId="0" type="noConversion"/>
  </si>
  <si>
    <t xml:space="preserve"> --7</t>
    <phoneticPr fontId="0" type="noConversion"/>
  </si>
  <si>
    <t>Al final de un día a máxima capacidad tenemos:</t>
    <phoneticPr fontId="0" type="noConversion"/>
  </si>
  <si>
    <t>10 de enero</t>
  </si>
  <si>
    <t>12 de enero</t>
  </si>
  <si>
    <t>Calculo días necesarios de producción</t>
  </si>
  <si>
    <t>Se hace un cronograma de producción de por lo menos 4 días antes.</t>
  </si>
  <si>
    <t>Día</t>
  </si>
  <si>
    <t>6 enero</t>
  </si>
  <si>
    <t>7 enero</t>
  </si>
  <si>
    <t>8 enero</t>
  </si>
  <si>
    <t>9 enero</t>
  </si>
  <si>
    <t>Calculo días necesarios de producción después del corte</t>
  </si>
  <si>
    <t>Se ocupan por lo menos 2 días más de producción</t>
  </si>
  <si>
    <t>11 de enero</t>
  </si>
  <si>
    <t>Nuevo corte</t>
  </si>
  <si>
    <t>Despachos</t>
  </si>
  <si>
    <t>Inventario final</t>
  </si>
  <si>
    <t>Calculo costo de conservación</t>
  </si>
  <si>
    <t>Día producción</t>
  </si>
  <si>
    <t>13 de enero</t>
  </si>
  <si>
    <t>A)</t>
  </si>
  <si>
    <t>B)</t>
  </si>
  <si>
    <t>Tiempo disponible</t>
  </si>
  <si>
    <t>Días laborales</t>
  </si>
  <si>
    <t>Demanda diaria</t>
  </si>
  <si>
    <t>Mensual</t>
  </si>
  <si>
    <t>Con buffer</t>
  </si>
  <si>
    <t>Diario</t>
  </si>
  <si>
    <t>Alisto</t>
  </si>
  <si>
    <t>El ciclo de fabricación:</t>
  </si>
  <si>
    <t>Programa de producción:</t>
  </si>
  <si>
    <t>MA1</t>
  </si>
  <si>
    <t>MA2</t>
  </si>
  <si>
    <t>MB1</t>
  </si>
  <si>
    <t>MB2</t>
  </si>
  <si>
    <t>MC1</t>
  </si>
  <si>
    <t>Min/und</t>
  </si>
  <si>
    <t xml:space="preserve">Precio </t>
  </si>
  <si>
    <t>La secuencia sería: PPQSS</t>
  </si>
  <si>
    <t>Productos y Componentes</t>
  </si>
  <si>
    <t>C)</t>
  </si>
  <si>
    <t>Pedido</t>
  </si>
  <si>
    <t>Tiempo total de entrega</t>
  </si>
  <si>
    <t>X y Z</t>
  </si>
  <si>
    <t>Throughput necesario</t>
  </si>
  <si>
    <t>Takt Time global</t>
  </si>
  <si>
    <t>Maq necesarias</t>
  </si>
  <si>
    <t>Maq a comprar</t>
  </si>
  <si>
    <t>Inversión</t>
  </si>
  <si>
    <t>Contenedor</t>
  </si>
  <si>
    <t>Produccion por hora</t>
  </si>
  <si>
    <t>Re abastecimiento en hrs.</t>
  </si>
  <si>
    <t>n =</t>
  </si>
  <si>
    <t>unidades</t>
  </si>
  <si>
    <t>min/parte</t>
  </si>
  <si>
    <t>días en corte</t>
  </si>
  <si>
    <t>días en doblado</t>
  </si>
  <si>
    <t>segundos</t>
  </si>
  <si>
    <t>minutos disponibles</t>
  </si>
  <si>
    <t>tiempo de proceso en doblado</t>
  </si>
  <si>
    <t>tiempo de alisto en doblado</t>
  </si>
  <si>
    <t>unidades por día</t>
  </si>
  <si>
    <t>MW1</t>
  </si>
  <si>
    <t>MW2</t>
  </si>
  <si>
    <t>MW3</t>
  </si>
  <si>
    <t>MX1</t>
  </si>
  <si>
    <t>MX2</t>
  </si>
  <si>
    <t>MX3</t>
  </si>
  <si>
    <t>MZ1</t>
  </si>
  <si>
    <t>MZ2</t>
  </si>
  <si>
    <t>MY1</t>
  </si>
  <si>
    <t>MY2</t>
  </si>
  <si>
    <t>Min/ und</t>
  </si>
  <si>
    <t>Costo maq</t>
  </si>
  <si>
    <t>Días laborales al mes</t>
  </si>
  <si>
    <t>a)</t>
  </si>
  <si>
    <t>Componentes por producto</t>
  </si>
  <si>
    <t>b)</t>
  </si>
  <si>
    <t>Carga unitaria</t>
  </si>
  <si>
    <t>Capacidad mensual</t>
  </si>
  <si>
    <t>Demanda mensual total</t>
  </si>
  <si>
    <t>El ciclo de fabricación :</t>
  </si>
  <si>
    <t>c)</t>
  </si>
  <si>
    <t>% de Carga</t>
  </si>
  <si>
    <t>Podemos observar que el porcentaje de carga es superior al 100% por lo que la línea de producción no tiene la capacidad para atender la demanda</t>
  </si>
  <si>
    <t>Tabla de cargas</t>
  </si>
  <si>
    <t>% de UT</t>
  </si>
  <si>
    <t>Trabajaríamos con una utilización del 100% por lo que nunca habría tiempo para poder desarrollar los principios de lean realcionados con la planificación y la calidad.  Este % NO es el apropiado</t>
  </si>
  <si>
    <t>Programa del montaje:</t>
  </si>
  <si>
    <t>Necesidad de maquinaria para equilibrar el flujo</t>
  </si>
  <si>
    <t>El programa de producción sería : PPSSQ</t>
  </si>
  <si>
    <t>Tabla de cargas después de la compra de maquinaria</t>
  </si>
  <si>
    <t>Dólares</t>
  </si>
  <si>
    <t>Del ciclo obtengo</t>
  </si>
  <si>
    <t>SM</t>
  </si>
  <si>
    <t>GC</t>
  </si>
  <si>
    <t>LT</t>
  </si>
  <si>
    <t>Throughput</t>
  </si>
  <si>
    <t>Una máquina cada dos minutos</t>
  </si>
  <si>
    <t>El ciclo completo se termina en:</t>
  </si>
  <si>
    <t>15 pts</t>
  </si>
  <si>
    <t>Ciclos por día</t>
  </si>
  <si>
    <t>Producción Total</t>
  </si>
  <si>
    <t>1- Instalaciones no adecuadas para trabajar y puestos de trabajo inseguros que precipitan las lesiones físicas de los empleados contrario al excelente diseño de las operaciones y procesos que promueve JIT</t>
  </si>
  <si>
    <t>2- Puestos de trabajo en donde se especializa y estandariza las actividad (utilizando estudio de métodos) resultando en una explortación del empleado en lugar de estandarizar los procesos y buscar la polivalencia</t>
  </si>
  <si>
    <t>3- Centros de trabajos sobre cargados en lugar del JIT que propone plantas que tengan un capacidad 20% superior a la demanda</t>
  </si>
  <si>
    <t>4- No hay respeto por las personas, algo que en la filosofía de JIT es esencial, el trabajador es el más importante en la empresa.  Ausencia de pagos justos y recomensas justas para los empleados</t>
  </si>
  <si>
    <t xml:space="preserve">5- Ausencia de Poka Yokes que sirvan para evitar lesiones en los puestos de trabajo </t>
  </si>
  <si>
    <t>Estas dos marcadas en amarillo NO pueden faltar, indispensables, si no están, 5 pts menos.</t>
  </si>
  <si>
    <t>#</t>
  </si>
  <si>
    <t>Lugar</t>
  </si>
  <si>
    <t>Actividad</t>
  </si>
  <si>
    <t>Minutos</t>
  </si>
  <si>
    <t>Tiempo de alistamientos actuales</t>
  </si>
  <si>
    <t>Alisto Externo</t>
  </si>
  <si>
    <t>Alisto Interno</t>
  </si>
  <si>
    <t>Bodega de Materiales</t>
  </si>
  <si>
    <t>Recolectar materiales para la preparación de la mezcla según receta</t>
  </si>
  <si>
    <t>*</t>
  </si>
  <si>
    <t>Colocar materiales en perra hidráulica y dirigirse a tolva de preparación</t>
  </si>
  <si>
    <t>Tolva</t>
  </si>
  <si>
    <t>Recepción e inspección de materiales para preparación de receta</t>
  </si>
  <si>
    <t>Limpieza de la tolva</t>
  </si>
  <si>
    <t>Elaboración y mezcla de la receta</t>
  </si>
  <si>
    <t>Llenar perra hidráulica con la mezcla elaborada y dirigirse a la moldeadora</t>
  </si>
  <si>
    <t>Moldeadora</t>
  </si>
  <si>
    <t>Recepción e inspección de materiales para control de calidad</t>
  </si>
  <si>
    <t>Limpieza y cambio de moldes</t>
  </si>
  <si>
    <t xml:space="preserve">Vaciado de la mezcla en la moldeadora </t>
  </si>
  <si>
    <t>Deposita galletas moldeadas sobre banda transportadora</t>
  </si>
  <si>
    <t>Horno</t>
  </si>
  <si>
    <t>Calibración del horno</t>
  </si>
  <si>
    <t>Producto sobre banda transportadora pasa al horno para el proceso de horneado</t>
  </si>
  <si>
    <t>Producto sobre banda transportadora se dirige a empaque</t>
  </si>
  <si>
    <t>Recolectar materiales de papel y cartón corrugado para preparar máquinas de empaque</t>
  </si>
  <si>
    <t>Colocar materiales en perra hidráulica y dirigirse a máquinas de empaque</t>
  </si>
  <si>
    <t>Empaque</t>
  </si>
  <si>
    <t>Recepción e inspección de materiales para preparación de máquinas</t>
  </si>
  <si>
    <t xml:space="preserve">Limpieza y cambio de materiales </t>
  </si>
  <si>
    <t>Producto sobre banda transportadora ingresa para proceso de empaque</t>
  </si>
  <si>
    <t>Proceso de empaque automatizado</t>
  </si>
  <si>
    <t>Se coloca cajas de carton corrugado llenas de prodcuto en perras hidráulicas y se envián a la bodega de prodcuto terminado</t>
  </si>
  <si>
    <t>* Tiempo depende del tamaño del lote a fabricar</t>
  </si>
  <si>
    <t>Tiempos</t>
  </si>
  <si>
    <t>Total externos</t>
  </si>
  <si>
    <t>Total internos</t>
  </si>
  <si>
    <t>Alistamiento actual</t>
  </si>
  <si>
    <t>Ahorro</t>
  </si>
  <si>
    <t>Nuevo alistameinto</t>
  </si>
  <si>
    <t>Demandas</t>
  </si>
  <si>
    <t>T Disponible</t>
  </si>
  <si>
    <t>Precio de venta</t>
  </si>
  <si>
    <t>M cont</t>
  </si>
  <si>
    <t>Tcb</t>
  </si>
  <si>
    <t>CB</t>
  </si>
  <si>
    <t>Priorizando Margen de Contribución</t>
  </si>
  <si>
    <t>C =</t>
  </si>
  <si>
    <t>Como supera la demanda sólo hago la demanda</t>
  </si>
  <si>
    <t>Ahora le sobra tiempo al CB</t>
  </si>
  <si>
    <t>A en m9 =</t>
  </si>
  <si>
    <t>Sólo se pueden hacer 290 de A</t>
  </si>
  <si>
    <t>A en m1 =</t>
  </si>
  <si>
    <t xml:space="preserve">Mezcla </t>
  </si>
  <si>
    <t>A =</t>
  </si>
  <si>
    <t>G de op</t>
  </si>
  <si>
    <t>Ganancia</t>
  </si>
  <si>
    <t>Priorizando Throughput</t>
  </si>
  <si>
    <t>B =</t>
  </si>
  <si>
    <t>Demanda Máxima</t>
  </si>
  <si>
    <t>Margen de Utilidad</t>
  </si>
  <si>
    <t>Tiempo</t>
  </si>
  <si>
    <t>%</t>
  </si>
  <si>
    <t>mensual</t>
  </si>
  <si>
    <t>de Carga</t>
  </si>
  <si>
    <t>D1</t>
  </si>
  <si>
    <t>D2</t>
  </si>
  <si>
    <t>D3</t>
  </si>
  <si>
    <t>D4</t>
  </si>
  <si>
    <t>D5</t>
  </si>
  <si>
    <t>D6</t>
  </si>
  <si>
    <t>D7</t>
  </si>
  <si>
    <t>Priorizando Ventas</t>
  </si>
  <si>
    <t>Ingreso</t>
  </si>
  <si>
    <t>Utilidad</t>
  </si>
  <si>
    <t>TD =</t>
  </si>
  <si>
    <t>% carga</t>
  </si>
  <si>
    <t>% de carga</t>
  </si>
  <si>
    <t>AB1</t>
  </si>
  <si>
    <t>MES 1</t>
  </si>
  <si>
    <t>Priorizando margen de contribución</t>
  </si>
  <si>
    <t>Queda igual</t>
  </si>
  <si>
    <t>Relación</t>
  </si>
  <si>
    <t>G de Op</t>
  </si>
  <si>
    <t>Utilidades</t>
  </si>
  <si>
    <t>MES 2</t>
  </si>
  <si>
    <t>Supera la demanda</t>
  </si>
  <si>
    <t>Recorte de la mezcla por demanda</t>
  </si>
  <si>
    <t>min/und</t>
  </si>
  <si>
    <t>Alistamientos</t>
  </si>
  <si>
    <t>T disponible</t>
  </si>
  <si>
    <t>% Carga</t>
  </si>
  <si>
    <t>Algoritmo de Stein</t>
  </si>
  <si>
    <t>Determinar los cuellos de botella</t>
  </si>
  <si>
    <t>Calcular los throughput</t>
  </si>
  <si>
    <t>Cálculo del throughput promedio</t>
  </si>
  <si>
    <t>En la relación 2A:B:C:D:E</t>
  </si>
  <si>
    <t>En la relación A:B:C:2D:E</t>
  </si>
  <si>
    <r>
      <t xml:space="preserve">En la relación 2A:B:C:D:E el cuello de botella es </t>
    </r>
    <r>
      <rPr>
        <b/>
        <sz val="12"/>
        <color theme="1"/>
        <rFont val="Calibri"/>
        <family val="2"/>
        <scheme val="minor"/>
      </rPr>
      <t>M4</t>
    </r>
  </si>
  <si>
    <t>x</t>
  </si>
  <si>
    <t>En M4 2A:B:C:D:E</t>
  </si>
  <si>
    <t>Carga en M4</t>
  </si>
  <si>
    <t>*cb</t>
  </si>
  <si>
    <t>En M7 A:2B:C:D:E</t>
  </si>
  <si>
    <t>Carga en M7</t>
  </si>
  <si>
    <t>En M7 A:B:2C:D:E</t>
  </si>
  <si>
    <t>En M7 A:B:C:2D:E</t>
  </si>
  <si>
    <t>En la relación A:2B:C:D:E</t>
  </si>
  <si>
    <t>En la relación A:B:C:D:2E</t>
  </si>
  <si>
    <t>En M7 A:B:C:D:2E</t>
  </si>
  <si>
    <t>Cálculo de la ganancia esperada</t>
  </si>
  <si>
    <r>
      <t xml:space="preserve">En todas las demás relaciones el cuello de botella es </t>
    </r>
    <r>
      <rPr>
        <b/>
        <sz val="12"/>
        <color theme="1"/>
        <rFont val="Calibri"/>
        <family val="2"/>
        <scheme val="minor"/>
      </rPr>
      <t>M7</t>
    </r>
  </si>
  <si>
    <t>En la relación A:B:2C:D:E</t>
  </si>
  <si>
    <t>Mezcla de producción</t>
  </si>
  <si>
    <t>Precio $/u</t>
  </si>
  <si>
    <t>CMP $/u</t>
  </si>
  <si>
    <t>Demanda semana 1</t>
  </si>
  <si>
    <t>Demanda semana 2</t>
  </si>
  <si>
    <t>T Disp =</t>
  </si>
  <si>
    <t>G de op =</t>
  </si>
  <si>
    <t>Demanda sem 1</t>
  </si>
  <si>
    <t xml:space="preserve">Carga </t>
  </si>
  <si>
    <t>Demanda sem 2</t>
  </si>
  <si>
    <t>Maq</t>
  </si>
  <si>
    <t>Semana 1</t>
  </si>
  <si>
    <t>Semana 2</t>
  </si>
  <si>
    <t>La realación 1P:2Q queda descartada porque Q nunca da un throughput mejor ni en M2 ni en M1</t>
  </si>
  <si>
    <t>M Cont</t>
  </si>
  <si>
    <t>Tcb - M2</t>
  </si>
  <si>
    <t>Tcb - M1</t>
  </si>
  <si>
    <t>Determinar cuello de botella en la relación 2P:1Q</t>
  </si>
  <si>
    <t>T disp.</t>
  </si>
  <si>
    <t>En M1 =</t>
  </si>
  <si>
    <t>En M2 =</t>
  </si>
  <si>
    <t>Recorte</t>
  </si>
  <si>
    <t>Prueba de la mezcla</t>
  </si>
  <si>
    <t>Se pasa hay que recortar una unidad en Q que es el producto de menor throughput</t>
  </si>
  <si>
    <t>Tiempos/maq</t>
  </si>
  <si>
    <t>Tn</t>
  </si>
  <si>
    <t>Demanda Mes 1</t>
  </si>
  <si>
    <t>Demanda Mes 2</t>
  </si>
  <si>
    <t>Porcentaje</t>
  </si>
  <si>
    <t>de Carga 1</t>
  </si>
  <si>
    <t>de Carga 2</t>
  </si>
  <si>
    <t>M Cont.</t>
  </si>
  <si>
    <t>UN</t>
  </si>
  <si>
    <t>Materiales</t>
  </si>
  <si>
    <t>Precio en ¢/und.</t>
  </si>
  <si>
    <t>CMP en ¢/und.</t>
  </si>
  <si>
    <t>TOC</t>
  </si>
  <si>
    <t>Maq.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</si>
  <si>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</si>
  <si>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</si>
  <si>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</si>
  <si>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</si>
  <si>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</si>
  <si>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</si>
  <si>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</si>
  <si>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</si>
  <si>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</si>
  <si>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</si>
  <si>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</si>
  <si>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</si>
  <si>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 en min/und.</t>
  </si>
  <si>
    <t>T diaponible</t>
  </si>
  <si>
    <t>Tiempo carga unitario</t>
    <phoneticPr fontId="6" type="noConversion"/>
  </si>
  <si>
    <t>CB</t>
    <phoneticPr fontId="6" type="noConversion"/>
  </si>
  <si>
    <t>Primera decisión</t>
  </si>
  <si>
    <t>Hacer demanda mínima de P que equivale a 500 unidades del throughput más bajo</t>
  </si>
  <si>
    <t>Cantidad</t>
  </si>
  <si>
    <t>Consumo en Cb en minutos</t>
  </si>
  <si>
    <t>Segunda decisión</t>
  </si>
  <si>
    <t>Hacer todo lo que se pueda del producto con el throughput más alto, o sea S</t>
  </si>
  <si>
    <t>Disponible en Cuello de Botella</t>
    <phoneticPr fontId="6" type="noConversion"/>
  </si>
  <si>
    <t>Pero tenemos RCR en m12 y se recalcula la cantidad de S que realmente puede hacer el cuello de botella de S</t>
  </si>
  <si>
    <t>Disponible en M12</t>
  </si>
  <si>
    <t>Tercera decisión</t>
  </si>
  <si>
    <t>Hacer lo que quede disponible en el cuello de botella con el produto del segundo throughput más alto o sea Q</t>
  </si>
  <si>
    <t>Disponible en M5</t>
  </si>
  <si>
    <t>Mezcla Final</t>
  </si>
  <si>
    <t>INGRESOS</t>
  </si>
  <si>
    <t>UT bruta</t>
    <phoneticPr fontId="6" type="noConversion"/>
  </si>
  <si>
    <t>Gastos de Operación</t>
  </si>
  <si>
    <r>
      <t>r</t>
    </r>
    <r>
      <rPr>
        <b/>
        <vertAlign val="subscript"/>
        <sz val="12"/>
        <rFont val="Cambria"/>
        <family val="1"/>
      </rPr>
      <t>i</t>
    </r>
  </si>
  <si>
    <t>TPT</t>
  </si>
  <si>
    <t>t</t>
  </si>
  <si>
    <t>1 TRIM</t>
  </si>
  <si>
    <t>2 TRIM</t>
  </si>
  <si>
    <t>A. Sin relación</t>
  </si>
  <si>
    <r>
      <t>c</t>
    </r>
    <r>
      <rPr>
        <b/>
        <vertAlign val="subscript"/>
        <sz val="12"/>
        <rFont val="Cambria"/>
        <family val="1"/>
      </rPr>
      <t>1</t>
    </r>
  </si>
  <si>
    <r>
      <t>c</t>
    </r>
    <r>
      <rPr>
        <b/>
        <vertAlign val="subscript"/>
        <sz val="12"/>
        <rFont val="Cambria"/>
        <family val="1"/>
      </rPr>
      <t>2</t>
    </r>
  </si>
  <si>
    <r>
      <t>c</t>
    </r>
    <r>
      <rPr>
        <b/>
        <vertAlign val="subscript"/>
        <sz val="12"/>
        <rFont val="Cambria"/>
        <family val="1"/>
      </rPr>
      <t>3</t>
    </r>
  </si>
  <si>
    <r>
      <t>c</t>
    </r>
    <r>
      <rPr>
        <b/>
        <vertAlign val="subscript"/>
        <sz val="12"/>
        <rFont val="Cambria"/>
        <family val="1"/>
      </rPr>
      <t>4</t>
    </r>
  </si>
  <si>
    <r>
      <t>D</t>
    </r>
    <r>
      <rPr>
        <b/>
        <vertAlign val="subscript"/>
        <sz val="12"/>
        <rFont val="Cambria"/>
        <family val="1"/>
      </rPr>
      <t>A</t>
    </r>
  </si>
  <si>
    <r>
      <t>d</t>
    </r>
    <r>
      <rPr>
        <b/>
        <vertAlign val="subscript"/>
        <sz val="12"/>
        <rFont val="Cambria"/>
        <family val="1"/>
      </rPr>
      <t>A</t>
    </r>
  </si>
  <si>
    <r>
      <t>D</t>
    </r>
    <r>
      <rPr>
        <b/>
        <vertAlign val="subscript"/>
        <sz val="12"/>
        <rFont val="Cambria"/>
        <family val="1"/>
      </rPr>
      <t>B</t>
    </r>
  </si>
  <si>
    <r>
      <t>d</t>
    </r>
    <r>
      <rPr>
        <b/>
        <vertAlign val="subscript"/>
        <sz val="12"/>
        <rFont val="Cambria"/>
        <family val="1"/>
      </rPr>
      <t>B</t>
    </r>
  </si>
  <si>
    <t>Holgura</t>
  </si>
  <si>
    <r>
      <t>D</t>
    </r>
    <r>
      <rPr>
        <b/>
        <vertAlign val="subscript"/>
        <sz val="12"/>
        <rFont val="Cambria"/>
        <family val="1"/>
      </rPr>
      <t>C</t>
    </r>
  </si>
  <si>
    <r>
      <t>d</t>
    </r>
    <r>
      <rPr>
        <b/>
        <vertAlign val="subscript"/>
        <sz val="12"/>
        <rFont val="Cambria"/>
        <family val="1"/>
      </rPr>
      <t>C</t>
    </r>
  </si>
  <si>
    <t>Max C, luego max B y lo que queda de A</t>
  </si>
  <si>
    <t>B. Con relación</t>
  </si>
  <si>
    <t>4C:1B:1A</t>
  </si>
  <si>
    <t>4x(0,9)+1x(2)+1x(2.4)&lt;=640</t>
  </si>
  <si>
    <t>4x(2)+1x(2.4)&lt;=370</t>
  </si>
  <si>
    <t>FINAL</t>
  </si>
  <si>
    <t>Max C, luego max A y lo que queda de B</t>
  </si>
  <si>
    <t>4x(0,9)+1x(2.2)+1x(1.1)&lt;=640</t>
  </si>
  <si>
    <t>Tiempo de ciclo total:</t>
  </si>
  <si>
    <t>15 ptos el VSM</t>
  </si>
  <si>
    <t xml:space="preserve">Tiempo sin valor agregado: </t>
  </si>
  <si>
    <t>días</t>
  </si>
  <si>
    <t>5 ptos el tiempo de ciclo</t>
  </si>
  <si>
    <t xml:space="preserve">Takt time: </t>
  </si>
  <si>
    <t>5 ptos en tiempo sin valor agregado</t>
  </si>
  <si>
    <t>5 ptos el takt time</t>
  </si>
  <si>
    <t>Pérdida</t>
  </si>
  <si>
    <t>Capacidad Efectiva</t>
  </si>
  <si>
    <t>Soldadura</t>
  </si>
  <si>
    <t>Ensamble</t>
  </si>
  <si>
    <t>Recursos</t>
  </si>
  <si>
    <t>QTY</t>
  </si>
  <si>
    <t>Util</t>
  </si>
  <si>
    <t>OS</t>
  </si>
  <si>
    <t>SO</t>
  </si>
  <si>
    <t>OEN</t>
  </si>
  <si>
    <t>HE</t>
  </si>
  <si>
    <t>OEM</t>
  </si>
  <si>
    <t>OR</t>
  </si>
  <si>
    <t>Capacidad Teórica</t>
  </si>
  <si>
    <t>a. Capacidad teórica es del 90% de lo que produce OEN en ensamble, o sea 172 unidades. La capacidad efectiva es de 146 unidades.</t>
  </si>
  <si>
    <t>b. El cuello de botella es el mismo en ambos casos y es ensamble. No es el reproceso pues solo el 10% pasa por ahí.</t>
  </si>
  <si>
    <t>c. No se aumenta la capacidad del proceso pues solo afecta a un porcentaje pequeño.</t>
  </si>
  <si>
    <t>Turnos</t>
  </si>
  <si>
    <t>Horas x turno</t>
  </si>
  <si>
    <t>Días x año</t>
  </si>
  <si>
    <t>Buffer</t>
  </si>
  <si>
    <t>horas máquina</t>
  </si>
  <si>
    <t>Carga de trabajo</t>
  </si>
  <si>
    <t>Papelotes</t>
  </si>
  <si>
    <t>Mangas de viento</t>
  </si>
  <si>
    <t>Tamaño de lote</t>
  </si>
  <si>
    <t>T. Proceso</t>
  </si>
  <si>
    <t>T. Alisto</t>
  </si>
  <si>
    <t>Cantidad de máquinas</t>
  </si>
  <si>
    <t>Disponible x maq</t>
  </si>
  <si>
    <t># máquinas</t>
  </si>
  <si>
    <t>R/ Se requieren 11 máquinas si no se desean soluciones de corto plazo. La brecha con soluciones de corto plazo</t>
  </si>
  <si>
    <t>es de 7 máquinas.</t>
  </si>
  <si>
    <t>El único método que nos garantiza la utilidad máxima es el throughput. Además, al no haber relación de producción que cumplir,</t>
    <phoneticPr fontId="0" type="noConversion"/>
  </si>
  <si>
    <t>entonces se procede a encontrar para cada producto secreto su TPT en su cuello de botella correspondiente.</t>
    <phoneticPr fontId="0" type="noConversion"/>
  </si>
  <si>
    <t>Horas de producción para una unidad de A</t>
  </si>
  <si>
    <t>Horas de producción para una unidad de B</t>
  </si>
  <si>
    <t>Capacidad semanal en horas</t>
  </si>
  <si>
    <t>Costo semanal de arrendamiento</t>
  </si>
  <si>
    <t>Marca 1</t>
  </si>
  <si>
    <t>Marca 2</t>
  </si>
  <si>
    <t>Marca 3</t>
  </si>
  <si>
    <t>Demanda máxima (unidades / semana)</t>
  </si>
  <si>
    <t>Margen bruto ($ / unidad)</t>
  </si>
  <si>
    <t>1. Análisis de Throughput ($/hora)</t>
    <phoneticPr fontId="0" type="noConversion"/>
  </si>
  <si>
    <t>Producto</t>
    <phoneticPr fontId="0" type="noConversion"/>
  </si>
  <si>
    <t>A</t>
    <phoneticPr fontId="0" type="noConversion"/>
  </si>
  <si>
    <t>B</t>
    <phoneticPr fontId="0" type="noConversion"/>
  </si>
  <si>
    <t>Marca 1</t>
    <phoneticPr fontId="0" type="noConversion"/>
  </si>
  <si>
    <t>Marca 2</t>
    <phoneticPr fontId="0" type="noConversion"/>
  </si>
  <si>
    <t>Marca 3</t>
    <phoneticPr fontId="0" type="noConversion"/>
  </si>
  <si>
    <t>Esto implica que el producto A es más rentable en la marca 2 y el B en la 3. Ahora calculamos la capacidad de cada</t>
    <phoneticPr fontId="0" type="noConversion"/>
  </si>
  <si>
    <t>máquina para ver si es suficiente para satisfacer la demanda.</t>
    <phoneticPr fontId="0" type="noConversion"/>
  </si>
  <si>
    <t>2. Análisis de capacidad</t>
    <phoneticPr fontId="0" type="noConversion"/>
  </si>
  <si>
    <t>Producto A / Marca 2</t>
    <phoneticPr fontId="0" type="noConversion"/>
  </si>
  <si>
    <t>Ingresos</t>
    <phoneticPr fontId="0" type="noConversion"/>
  </si>
  <si>
    <t>Tiempo disponible</t>
    <phoneticPr fontId="0" type="noConversion"/>
  </si>
  <si>
    <t>horas</t>
    <phoneticPr fontId="0" type="noConversion"/>
  </si>
  <si>
    <t>Producto A</t>
    <phoneticPr fontId="0" type="noConversion"/>
  </si>
  <si>
    <t>Tiempo de proceso</t>
    <phoneticPr fontId="0" type="noConversion"/>
  </si>
  <si>
    <t>horas/unidad</t>
    <phoneticPr fontId="0" type="noConversion"/>
  </si>
  <si>
    <t>Producto B</t>
    <phoneticPr fontId="0" type="noConversion"/>
  </si>
  <si>
    <t>Capacidad</t>
    <phoneticPr fontId="0" type="noConversion"/>
  </si>
  <si>
    <t>unidades</t>
    <phoneticPr fontId="0" type="noConversion"/>
  </si>
  <si>
    <t>Egresos</t>
    <phoneticPr fontId="0" type="noConversion"/>
  </si>
  <si>
    <t>Maq 2</t>
    <phoneticPr fontId="0" type="noConversion"/>
  </si>
  <si>
    <t>Producto B / Marca 3</t>
    <phoneticPr fontId="0" type="noConversion"/>
  </si>
  <si>
    <t>Maq 3</t>
    <phoneticPr fontId="0" type="noConversion"/>
  </si>
  <si>
    <t>UT Bruta</t>
    <phoneticPr fontId="0" type="noConversion"/>
  </si>
  <si>
    <t>En ambos casos se cumple exactamente con la capacidad sin afectar ninguna de las restricciones. Con el throughput nos</t>
    <phoneticPr fontId="0" type="noConversion"/>
  </si>
  <si>
    <t>garantizamos de que no hay mejor forma de fabricar estos productos que la sugerida anteriormente.</t>
    <phoneticPr fontId="0" type="noConversion"/>
  </si>
  <si>
    <t>ID</t>
  </si>
  <si>
    <t>Contenido de trabajo (minutos/paciente)</t>
  </si>
  <si>
    <t>Recursos asignados</t>
  </si>
  <si>
    <t>Paciente camina a sala de rayos X</t>
  </si>
  <si>
    <t>Ninguno</t>
  </si>
  <si>
    <t>Mensajero envía solicitud a sala de rayos X</t>
  </si>
  <si>
    <t>Mensajero</t>
  </si>
  <si>
    <t>Técnico de rayos X llena un formulario con los datos que proporciona el médico</t>
  </si>
  <si>
    <t>Técnico de rayos X</t>
  </si>
  <si>
    <t>Recepcionista recibe información del paciente sobre su seguro y la envía a la compañía</t>
  </si>
  <si>
    <t>Recepcionista</t>
  </si>
  <si>
    <t>Qty</t>
  </si>
  <si>
    <t>Min/pac</t>
  </si>
  <si>
    <t>Cap. Teor.</t>
  </si>
  <si>
    <t>Cap. Efect.</t>
  </si>
  <si>
    <t>Paciente se coloca una bata</t>
  </si>
  <si>
    <t>Sala de vestido</t>
  </si>
  <si>
    <t>Técnico de laboratorio de rayos X toma la placa</t>
  </si>
  <si>
    <t>Técnico de rayos X, sala de rayos X</t>
  </si>
  <si>
    <t>Técnico de revelado de rayos X revela la placa</t>
  </si>
  <si>
    <t>Técnico de revelado, sala de revelado</t>
  </si>
  <si>
    <t>Técnico de laboratorio de rayos X inspecciona la placa. Si la placa no es satisfactoria se repiten los pasos 6, 7 y 8 (75% pasa a la primera y 25% debe hacerse una segunda vez)</t>
  </si>
  <si>
    <t>Sala de rayos X</t>
  </si>
  <si>
    <t>El paciente se quita la bata y se viste</t>
  </si>
  <si>
    <t>Técnico de revelado</t>
  </si>
  <si>
    <t>El paciente camina al consultorio</t>
  </si>
  <si>
    <t>Sala de revelado</t>
  </si>
  <si>
    <t>Un mensajero lleva la placa al consultorio</t>
  </si>
  <si>
    <t>minutos</t>
  </si>
  <si>
    <t>\\\</t>
  </si>
  <si>
    <t>d)</t>
  </si>
  <si>
    <t>Se pueden atender dos simultáneamente.</t>
  </si>
  <si>
    <t>Estándar de tiempo</t>
  </si>
  <si>
    <t>Pronóstico de demanda</t>
  </si>
  <si>
    <t>Escenario pesimista</t>
  </si>
  <si>
    <t>Escenario esperado</t>
  </si>
  <si>
    <t>Escenario optimista</t>
  </si>
  <si>
    <t>Componente</t>
  </si>
  <si>
    <t>Procesamiento (h/unidad)</t>
  </si>
  <si>
    <t>Preparación (h/lote)</t>
  </si>
  <si>
    <t>Tamaño del lote (uds/lote)</t>
  </si>
  <si>
    <t>Pesimista</t>
  </si>
  <si>
    <t>Esperado</t>
  </si>
  <si>
    <t>Optimista</t>
  </si>
  <si>
    <t>MC</t>
  </si>
  <si>
    <t>Capacidad máxima con relación</t>
  </si>
  <si>
    <t>Alistamiento en horas por unidad</t>
  </si>
  <si>
    <t>2x</t>
  </si>
  <si>
    <t>1x</t>
  </si>
  <si>
    <t>Maqs. Req.</t>
  </si>
  <si>
    <t>turnos/día</t>
  </si>
  <si>
    <t>maqs</t>
  </si>
  <si>
    <t>horas/turno</t>
  </si>
  <si>
    <t>b) Con las máquinas actuales se pueden afrontar los escenarios pesimista y esperado.</t>
  </si>
  <si>
    <t>días/sem</t>
  </si>
  <si>
    <t>Con el 20% se puede afrontar el escenario optimista.</t>
  </si>
  <si>
    <t>sem/año</t>
  </si>
  <si>
    <t>c) Tiene una capacidad de 2.262 de A y 1.131 de B y C.</t>
  </si>
  <si>
    <t>colchón</t>
  </si>
  <si>
    <t>horas/maq</t>
  </si>
  <si>
    <t>Tiempo disponible total</t>
  </si>
  <si>
    <t>3 máq</t>
  </si>
  <si>
    <t xml:space="preserve"> + t ext.</t>
  </si>
  <si>
    <t>Se necesitan cuatro procesos para fabricar el producto tal y como lo indica el diagrama:</t>
  </si>
  <si>
    <t>Máquinas a comprar</t>
  </si>
  <si>
    <t>Hrs reales</t>
  </si>
  <si>
    <t>Tc en min</t>
  </si>
  <si>
    <t>Producción</t>
  </si>
  <si>
    <t>Retiro</t>
  </si>
  <si>
    <t>U%</t>
  </si>
  <si>
    <t>M1 a M2</t>
  </si>
  <si>
    <t>Hrs productivas</t>
  </si>
  <si>
    <t>M1 a M3</t>
  </si>
  <si>
    <t>Días laborles</t>
  </si>
  <si>
    <t>M2 a M4</t>
  </si>
  <si>
    <t>M3 a M4</t>
  </si>
  <si>
    <t>T disp en min</t>
  </si>
  <si>
    <t>A despacho</t>
  </si>
  <si>
    <t>Contenedores en Piso</t>
  </si>
  <si>
    <t>Minutos para compra de máquina:</t>
  </si>
  <si>
    <t>Diaria</t>
  </si>
  <si>
    <t>Hora</t>
  </si>
  <si>
    <t>Tc</t>
  </si>
  <si>
    <t>Cálculo de contenedores con los pares de tarjetas kanban</t>
  </si>
  <si>
    <t>Heijunka = BBBBAACCD</t>
  </si>
  <si>
    <t>Componentes para heijunka</t>
  </si>
  <si>
    <t>Tiempo de carga para Heijunka</t>
  </si>
  <si>
    <t>Producción por hora</t>
  </si>
  <si>
    <t>Contenedores Kanban entre M1 con M3 y M2</t>
  </si>
  <si>
    <t>Contenedores Kanban entre M2 con M4</t>
  </si>
  <si>
    <t>Contenedores Kanban entre M3 con M4</t>
  </si>
  <si>
    <t>Contenedores de despacho (M4)</t>
  </si>
  <si>
    <t>Corrida</t>
  </si>
  <si>
    <t>Traslado</t>
  </si>
  <si>
    <t>Pares de k</t>
  </si>
  <si>
    <t>Días</t>
  </si>
  <si>
    <t>Hrs</t>
  </si>
  <si>
    <t>Clientes</t>
  </si>
  <si>
    <t>Pedidos</t>
  </si>
  <si>
    <t>Pronóstico</t>
  </si>
  <si>
    <t>Ch</t>
  </si>
  <si>
    <t>U</t>
  </si>
  <si>
    <t>Ciclo fabricación</t>
  </si>
  <si>
    <t>YYYYYY ZZZZ XX U</t>
  </si>
  <si>
    <t>Despacho</t>
  </si>
  <si>
    <t>1U, 5Y</t>
  </si>
  <si>
    <t>1U, 2X, 3Z</t>
  </si>
  <si>
    <t>1X, 4Y, 3Z</t>
  </si>
  <si>
    <t>Programación</t>
  </si>
  <si>
    <t>Montaje</t>
  </si>
  <si>
    <t>Ventas de hoy</t>
  </si>
  <si>
    <t xml:space="preserve">Producción </t>
  </si>
  <si>
    <t>2X, 10Y, 7Z</t>
  </si>
  <si>
    <t>8Y, 4Z</t>
  </si>
  <si>
    <t>Costo de conservación</t>
  </si>
  <si>
    <t>30 min</t>
  </si>
  <si>
    <t>Operación 1</t>
  </si>
  <si>
    <t>Operación 2</t>
  </si>
  <si>
    <t>Inventario</t>
  </si>
  <si>
    <t>Hay</t>
  </si>
  <si>
    <t>Quedan</t>
  </si>
  <si>
    <t>Entrada</t>
  </si>
  <si>
    <t>Salida</t>
  </si>
  <si>
    <t>Zona almacén</t>
  </si>
  <si>
    <t>kanban</t>
  </si>
  <si>
    <t>T carga</t>
  </si>
  <si>
    <t>Arranca lleno</t>
  </si>
  <si>
    <t>KP</t>
  </si>
  <si>
    <t>KT</t>
  </si>
  <si>
    <t>Llega señal</t>
  </si>
  <si>
    <t>Listo</t>
  </si>
  <si>
    <t>llega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</si>
</sst>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0.0%"/>
    <numFmt numFmtId="166" formatCode="0.000"/>
    <numFmt numFmtId="167" formatCode="_([$$-409]* #,##0.00_);_([$$-409]* \(#,##0.00\);_([$$-409]* &quot;-&quot;??_);_(@_)"/>
    <numFmt numFmtId="168" formatCode="0.0000"/>
    <numFmt numFmtId="169" formatCode="_-[$$-409]* #,##0.00_ ;_-[$$-409]* \-#,##0.00\ ;_-[$$-409]* &quot;-&quot;??_ ;_-@_ "/>
    <numFmt numFmtId="170" formatCode="_(* #,##0_);_(* \(#,##0\);_(* &quot;-&quot;??_);_(@_)"/>
    <numFmt numFmtId="171" formatCode="_(&quot;C&quot;* #,##0.00_);_(&quot;C&quot;* \(#,##0.00\);_(&quot;C&quot;* &quot;-&quot;??_);_(@_)"/>
    <numFmt numFmtId="172" formatCode="&quot;₡&quot;#,##0.00"/>
    <numFmt numFmtId="173" formatCode="&quot;$&quot;#,##0_);[Red]\(&quot;$&quot;#,##0\)"/>
    <numFmt numFmtId="174" formatCode="&quot;$&quot;#,##0.00_);[Red]\(&quot;$&quot;#,##0.00\)"/>
    <numFmt numFmtId="175" formatCode="0.00_);\(0.00\)"/>
    <numFmt numFmtId="176" formatCode="0_);\(0\)"/>
    <numFmt numFmtId="177" formatCode="0.0"/>
    <numFmt numFmtId="178" formatCode="[$]hh:mm;@" x16r2:formatCode16="[$-en-CR,1]hh:mm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sz val="9"/>
      <name val="Geneva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b/>
      <vertAlign val="subscript"/>
      <sz val="12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6E6E6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/>
      <right/>
      <top/>
      <bottom/>
      <diagonal style="thin">
        <color auto="1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10">
    <xf numFmtId="0" fontId="0" fillId="0" borderId="0"/>
    <xf numFmtId="0" fontId="5" fillId="0" borderId="0"/>
    <xf numFmtId="0" fontId="9" fillId="0" borderId="0"/>
    <xf numFmtId="9" fontId="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3">
    <xf numFmtId="0" fontId="0" fillId="0" borderId="0" xfId="0"/>
    <xf numFmtId="0" fontId="5" fillId="0" borderId="0" xfId="1"/>
    <xf numFmtId="0" fontId="5" fillId="0" borderId="0" xfId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0" fontId="9" fillId="0" borderId="0" xfId="2"/>
    <xf numFmtId="0" fontId="5" fillId="0" borderId="0" xfId="2" applyFont="1" applyAlignment="1">
      <alignment horizontal="left"/>
    </xf>
    <xf numFmtId="1" fontId="9" fillId="0" borderId="0" xfId="2" applyNumberFormat="1"/>
    <xf numFmtId="0" fontId="9" fillId="0" borderId="0" xfId="2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4" fontId="0" fillId="0" borderId="0" xfId="0" applyNumberFormat="1"/>
    <xf numFmtId="2" fontId="0" fillId="0" borderId="0" xfId="0" applyNumberFormat="1"/>
    <xf numFmtId="0" fontId="5" fillId="0" borderId="0" xfId="1" applyBorder="1" applyAlignment="1">
      <alignment horizontal="center"/>
    </xf>
    <xf numFmtId="0" fontId="5" fillId="0" borderId="0" xfId="1" applyBorder="1" applyAlignment="1"/>
    <xf numFmtId="0" fontId="5" fillId="0" borderId="9" xfId="1" applyBorder="1"/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8" xfId="1" applyBorder="1"/>
    <xf numFmtId="0" fontId="5" fillId="0" borderId="8" xfId="1" applyBorder="1" applyAlignment="1">
      <alignment horizontal="left"/>
    </xf>
    <xf numFmtId="0" fontId="5" fillId="0" borderId="11" xfId="1" applyBorder="1"/>
    <xf numFmtId="0" fontId="5" fillId="0" borderId="12" xfId="1" applyBorder="1"/>
    <xf numFmtId="0" fontId="5" fillId="0" borderId="13" xfId="1" applyBorder="1"/>
    <xf numFmtId="169" fontId="0" fillId="0" borderId="0" xfId="0" applyNumberFormat="1"/>
    <xf numFmtId="0" fontId="4" fillId="0" borderId="0" xfId="0" applyFont="1"/>
    <xf numFmtId="0" fontId="8" fillId="0" borderId="0" xfId="2" applyFont="1"/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0" xfId="0" applyFont="1" applyAlignment="1">
      <alignment horizontal="center"/>
    </xf>
    <xf numFmtId="0" fontId="4" fillId="5" borderId="0" xfId="0" applyFont="1" applyFill="1"/>
    <xf numFmtId="0" fontId="5" fillId="0" borderId="0" xfId="1" applyBorder="1" applyAlignment="1">
      <alignment horizontal="center" wrapText="1"/>
    </xf>
    <xf numFmtId="0" fontId="21" fillId="0" borderId="8" xfId="1" applyFont="1" applyBorder="1" applyAlignment="1">
      <alignment horizontal="center"/>
    </xf>
    <xf numFmtId="1" fontId="5" fillId="0" borderId="0" xfId="1" applyNumberFormat="1" applyBorder="1" applyAlignment="1">
      <alignment horizontal="center"/>
    </xf>
    <xf numFmtId="16" fontId="5" fillId="0" borderId="0" xfId="1" applyNumberFormat="1" applyBorder="1" applyAlignment="1">
      <alignment horizontal="center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6" xfId="1" applyBorder="1"/>
    <xf numFmtId="0" fontId="5" fillId="0" borderId="6" xfId="1" applyBorder="1" applyAlignment="1">
      <alignment horizontal="center"/>
    </xf>
    <xf numFmtId="0" fontId="5" fillId="0" borderId="7" xfId="1" applyBorder="1"/>
    <xf numFmtId="0" fontId="5" fillId="0" borderId="8" xfId="1" applyFill="1" applyBorder="1" applyAlignment="1">
      <alignment horizontal="center"/>
    </xf>
    <xf numFmtId="2" fontId="5" fillId="0" borderId="0" xfId="1" applyNumberFormat="1" applyBorder="1" applyAlignment="1">
      <alignment horizontal="center"/>
    </xf>
    <xf numFmtId="2" fontId="15" fillId="0" borderId="0" xfId="1" applyNumberFormat="1" applyFont="1" applyBorder="1" applyAlignment="1">
      <alignment horizontal="center"/>
    </xf>
    <xf numFmtId="0" fontId="5" fillId="0" borderId="8" xfId="1" applyFill="1" applyBorder="1" applyAlignment="1">
      <alignment horizontal="left"/>
    </xf>
    <xf numFmtId="169" fontId="5" fillId="0" borderId="0" xfId="1" applyNumberFormat="1" applyBorder="1" applyAlignment="1">
      <alignment horizontal="center"/>
    </xf>
    <xf numFmtId="169" fontId="5" fillId="0" borderId="0" xfId="1" applyNumberFormat="1" applyBorder="1"/>
    <xf numFmtId="169" fontId="5" fillId="0" borderId="9" xfId="1" applyNumberFormat="1" applyBorder="1"/>
    <xf numFmtId="169" fontId="5" fillId="0" borderId="13" xfId="1" applyNumberFormat="1" applyBorder="1"/>
    <xf numFmtId="0" fontId="26" fillId="0" borderId="0" xfId="0" applyFont="1"/>
    <xf numFmtId="0" fontId="27" fillId="0" borderId="0" xfId="0" applyFont="1"/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6" borderId="32" xfId="0" applyFill="1" applyBorder="1" applyAlignment="1">
      <alignment horizontal="center"/>
    </xf>
    <xf numFmtId="0" fontId="0" fillId="6" borderId="18" xfId="0" applyFill="1" applyBorder="1"/>
    <xf numFmtId="0" fontId="25" fillId="0" borderId="34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102" applyNumberFormat="1" applyFont="1"/>
    <xf numFmtId="164" fontId="0" fillId="0" borderId="0" xfId="102" applyFont="1"/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left"/>
    </xf>
    <xf numFmtId="9" fontId="0" fillId="0" borderId="1" xfId="103" applyFont="1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167" fontId="0" fillId="0" borderId="1" xfId="0" applyNumberFormat="1" applyBorder="1"/>
    <xf numFmtId="0" fontId="16" fillId="0" borderId="0" xfId="0" applyFont="1" applyAlignment="1">
      <alignment horizontal="center" vertical="center"/>
    </xf>
    <xf numFmtId="0" fontId="0" fillId="2" borderId="0" xfId="0" applyFill="1"/>
    <xf numFmtId="0" fontId="16" fillId="2" borderId="0" xfId="0" applyFont="1" applyFill="1"/>
    <xf numFmtId="0" fontId="0" fillId="0" borderId="0" xfId="0" applyAlignment="1">
      <alignment horizontal="center" vertical="center"/>
    </xf>
    <xf numFmtId="0" fontId="24" fillId="6" borderId="21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0" fillId="6" borderId="22" xfId="0" applyFill="1" applyBorder="1"/>
    <xf numFmtId="0" fontId="0" fillId="6" borderId="35" xfId="0" applyFill="1" applyBorder="1"/>
    <xf numFmtId="0" fontId="0" fillId="6" borderId="23" xfId="0" applyFill="1" applyBorder="1"/>
    <xf numFmtId="0" fontId="0" fillId="6" borderId="0" xfId="0" applyFill="1" applyBorder="1"/>
    <xf numFmtId="0" fontId="29" fillId="0" borderId="0" xfId="0" applyFont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center" vertical="center"/>
    </xf>
    <xf numFmtId="0" fontId="30" fillId="6" borderId="1" xfId="0" applyFont="1" applyFill="1" applyBorder="1"/>
    <xf numFmtId="0" fontId="30" fillId="6" borderId="16" xfId="0" applyFont="1" applyFill="1" applyBorder="1"/>
    <xf numFmtId="0" fontId="30" fillId="6" borderId="25" xfId="0" applyFont="1" applyFill="1" applyBorder="1"/>
    <xf numFmtId="0" fontId="30" fillId="6" borderId="0" xfId="0" applyFont="1" applyFill="1" applyBorder="1"/>
    <xf numFmtId="0" fontId="31" fillId="0" borderId="0" xfId="0" applyFont="1" applyAlignment="1">
      <alignment horizontal="center"/>
    </xf>
    <xf numFmtId="0" fontId="30" fillId="6" borderId="1" xfId="0" applyFont="1" applyFill="1" applyBorder="1" applyAlignment="1">
      <alignment vertical="center" wrapText="1"/>
    </xf>
    <xf numFmtId="0" fontId="30" fillId="6" borderId="26" xfId="0" applyFont="1" applyFill="1" applyBorder="1" applyAlignment="1">
      <alignment horizontal="center" vertical="center"/>
    </xf>
    <xf numFmtId="0" fontId="30" fillId="6" borderId="27" xfId="0" applyFont="1" applyFill="1" applyBorder="1" applyAlignment="1">
      <alignment horizontal="center" vertical="center"/>
    </xf>
    <xf numFmtId="0" fontId="30" fillId="6" borderId="27" xfId="0" applyFont="1" applyFill="1" applyBorder="1" applyAlignment="1">
      <alignment wrapText="1"/>
    </xf>
    <xf numFmtId="0" fontId="30" fillId="6" borderId="27" xfId="0" applyFont="1" applyFill="1" applyBorder="1"/>
    <xf numFmtId="0" fontId="30" fillId="6" borderId="36" xfId="0" applyFont="1" applyFill="1" applyBorder="1"/>
    <xf numFmtId="0" fontId="30" fillId="6" borderId="28" xfId="0" applyFont="1" applyFill="1" applyBorder="1"/>
    <xf numFmtId="0" fontId="30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wrapText="1"/>
    </xf>
    <xf numFmtId="0" fontId="30" fillId="6" borderId="0" xfId="0" applyFont="1" applyFill="1"/>
    <xf numFmtId="0" fontId="30" fillId="6" borderId="21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wrapText="1"/>
    </xf>
    <xf numFmtId="0" fontId="30" fillId="6" borderId="22" xfId="0" applyFont="1" applyFill="1" applyBorder="1"/>
    <xf numFmtId="0" fontId="30" fillId="6" borderId="35" xfId="0" applyFont="1" applyFill="1" applyBorder="1"/>
    <xf numFmtId="0" fontId="30" fillId="6" borderId="23" xfId="0" applyFont="1" applyFill="1" applyBorder="1"/>
    <xf numFmtId="0" fontId="30" fillId="6" borderId="1" xfId="0" applyFont="1" applyFill="1" applyBorder="1" applyAlignment="1">
      <alignment vertical="center"/>
    </xf>
    <xf numFmtId="0" fontId="30" fillId="6" borderId="22" xfId="0" applyFont="1" applyFill="1" applyBorder="1" applyAlignment="1">
      <alignment horizontal="center"/>
    </xf>
    <xf numFmtId="0" fontId="30" fillId="6" borderId="22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29" fillId="6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3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6" fillId="0" borderId="0" xfId="0" applyFont="1"/>
    <xf numFmtId="167" fontId="0" fillId="0" borderId="0" xfId="0" applyNumberFormat="1" applyAlignment="1">
      <alignment horizontal="center"/>
    </xf>
    <xf numFmtId="9" fontId="0" fillId="0" borderId="0" xfId="103" applyFont="1" applyAlignment="1">
      <alignment horizontal="center"/>
    </xf>
    <xf numFmtId="9" fontId="0" fillId="0" borderId="0" xfId="103" applyFont="1"/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69" fontId="0" fillId="2" borderId="0" xfId="0" applyNumberFormat="1" applyFill="1"/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9" xfId="0" applyBorder="1"/>
    <xf numFmtId="0" fontId="11" fillId="0" borderId="9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0" xfId="0" applyFont="1" applyBorder="1"/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2" borderId="8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" fontId="12" fillId="0" borderId="0" xfId="0" applyNumberFormat="1" applyFont="1" applyBorder="1"/>
    <xf numFmtId="169" fontId="12" fillId="0" borderId="0" xfId="0" applyNumberFormat="1" applyFont="1" applyBorder="1"/>
    <xf numFmtId="0" fontId="34" fillId="0" borderId="8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169" fontId="12" fillId="0" borderId="12" xfId="0" applyNumberFormat="1" applyFont="1" applyBorder="1"/>
    <xf numFmtId="1" fontId="12" fillId="0" borderId="12" xfId="0" applyNumberFormat="1" applyFont="1" applyBorder="1"/>
    <xf numFmtId="0" fontId="12" fillId="0" borderId="13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center" wrapText="1"/>
    </xf>
    <xf numFmtId="0" fontId="5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1" fontId="5" fillId="0" borderId="0" xfId="2" applyNumberFormat="1" applyFont="1" applyAlignment="1">
      <alignment horizontal="center"/>
    </xf>
    <xf numFmtId="1" fontId="5" fillId="0" borderId="0" xfId="2" applyNumberFormat="1" applyFont="1"/>
    <xf numFmtId="0" fontId="14" fillId="0" borderId="0" xfId="2" applyFont="1"/>
    <xf numFmtId="0" fontId="10" fillId="0" borderId="0" xfId="2" applyFont="1" applyAlignment="1">
      <alignment horizontal="center"/>
    </xf>
    <xf numFmtId="4" fontId="5" fillId="0" borderId="0" xfId="2" applyNumberFormat="1" applyFont="1"/>
    <xf numFmtId="172" fontId="5" fillId="0" borderId="0" xfId="2" applyNumberFormat="1" applyFont="1"/>
    <xf numFmtId="0" fontId="5" fillId="0" borderId="0" xfId="2" applyFont="1" applyAlignment="1">
      <alignment wrapText="1"/>
    </xf>
    <xf numFmtId="0" fontId="35" fillId="0" borderId="38" xfId="2" applyFont="1" applyBorder="1" applyAlignment="1">
      <alignment horizontal="center" vertical="center" wrapText="1"/>
    </xf>
    <xf numFmtId="0" fontId="36" fillId="0" borderId="39" xfId="2" applyFont="1" applyBorder="1" applyAlignment="1">
      <alignment horizontal="center" vertical="center" wrapText="1"/>
    </xf>
    <xf numFmtId="0" fontId="36" fillId="0" borderId="40" xfId="2" applyFont="1" applyBorder="1" applyAlignment="1">
      <alignment horizontal="center" vertical="center" wrapText="1"/>
    </xf>
    <xf numFmtId="0" fontId="35" fillId="0" borderId="41" xfId="2" applyFont="1" applyBorder="1" applyAlignment="1">
      <alignment horizontal="center" vertical="center" wrapText="1"/>
    </xf>
    <xf numFmtId="0" fontId="35" fillId="2" borderId="41" xfId="2" applyFont="1" applyFill="1" applyBorder="1" applyAlignment="1">
      <alignment horizontal="center" vertical="center" wrapText="1"/>
    </xf>
    <xf numFmtId="173" fontId="35" fillId="0" borderId="41" xfId="2" applyNumberFormat="1" applyFont="1" applyBorder="1" applyAlignment="1">
      <alignment horizontal="center" vertical="center" wrapText="1"/>
    </xf>
    <xf numFmtId="174" fontId="9" fillId="0" borderId="0" xfId="2" applyNumberFormat="1"/>
    <xf numFmtId="173" fontId="9" fillId="0" borderId="0" xfId="2" applyNumberFormat="1"/>
    <xf numFmtId="0" fontId="36" fillId="0" borderId="15" xfId="2" applyFont="1" applyBorder="1" applyAlignment="1">
      <alignment horizontal="center" vertical="center" wrapText="1"/>
    </xf>
    <xf numFmtId="0" fontId="36" fillId="0" borderId="19" xfId="2" applyFont="1" applyBorder="1" applyAlignment="1">
      <alignment horizontal="center" vertical="center" wrapText="1"/>
    </xf>
    <xf numFmtId="0" fontId="36" fillId="0" borderId="0" xfId="2" applyFont="1" applyFill="1" applyBorder="1" applyAlignment="1">
      <alignment horizontal="left" vertical="center"/>
    </xf>
    <xf numFmtId="0" fontId="36" fillId="0" borderId="10" xfId="2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6" fillId="0" borderId="14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9" fillId="4" borderId="0" xfId="2" applyFill="1"/>
    <xf numFmtId="0" fontId="8" fillId="4" borderId="0" xfId="2" applyFont="1" applyFill="1"/>
    <xf numFmtId="0" fontId="9" fillId="2" borderId="0" xfId="2" applyFill="1"/>
    <xf numFmtId="2" fontId="9" fillId="0" borderId="0" xfId="2" applyNumberFormat="1" applyAlignment="1">
      <alignment horizontal="right"/>
    </xf>
    <xf numFmtId="0" fontId="9" fillId="0" borderId="0" xfId="2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03" applyNumberFormat="1" applyFont="1"/>
    <xf numFmtId="168" fontId="0" fillId="0" borderId="0" xfId="0" applyNumberFormat="1"/>
    <xf numFmtId="168" fontId="0" fillId="0" borderId="0" xfId="0" applyNumberFormat="1" applyAlignment="1">
      <alignment horizontal="center"/>
    </xf>
    <xf numFmtId="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70" fontId="0" fillId="0" borderId="0" xfId="0" applyNumberFormat="1"/>
    <xf numFmtId="170" fontId="4" fillId="0" borderId="0" xfId="0" applyNumberFormat="1" applyFont="1"/>
    <xf numFmtId="0" fontId="38" fillId="0" borderId="0" xfId="106"/>
    <xf numFmtId="0" fontId="38" fillId="0" borderId="42" xfId="106" applyBorder="1" applyAlignment="1">
      <alignment horizontal="center" vertical="top" wrapText="1"/>
    </xf>
    <xf numFmtId="0" fontId="38" fillId="0" borderId="43" xfId="106" applyBorder="1" applyAlignment="1">
      <alignment horizontal="center" vertical="top" wrapText="1"/>
    </xf>
    <xf numFmtId="0" fontId="38" fillId="0" borderId="44" xfId="106" applyBorder="1" applyAlignment="1">
      <alignment horizontal="center" vertical="top" wrapText="1"/>
    </xf>
    <xf numFmtId="0" fontId="38" fillId="0" borderId="45" xfId="106" applyBorder="1" applyAlignment="1">
      <alignment horizontal="center" vertical="top" wrapText="1"/>
    </xf>
    <xf numFmtId="174" fontId="38" fillId="0" borderId="45" xfId="106" applyNumberFormat="1" applyBorder="1" applyAlignment="1">
      <alignment horizontal="center" vertical="top" wrapText="1"/>
    </xf>
    <xf numFmtId="0" fontId="39" fillId="0" borderId="0" xfId="106" applyFont="1" applyAlignment="1">
      <alignment horizontal="center"/>
    </xf>
    <xf numFmtId="0" fontId="38" fillId="0" borderId="0" xfId="106" applyAlignment="1">
      <alignment horizontal="center"/>
    </xf>
    <xf numFmtId="0" fontId="38" fillId="0" borderId="1" xfId="106" applyBorder="1" applyAlignment="1">
      <alignment horizontal="center"/>
    </xf>
    <xf numFmtId="0" fontId="38" fillId="7" borderId="1" xfId="106" applyFill="1" applyBorder="1" applyAlignment="1">
      <alignment horizontal="center"/>
    </xf>
    <xf numFmtId="0" fontId="39" fillId="0" borderId="0" xfId="106" applyFont="1"/>
    <xf numFmtId="174" fontId="38" fillId="0" borderId="0" xfId="106" applyNumberFormat="1"/>
    <xf numFmtId="0" fontId="40" fillId="0" borderId="0" xfId="0" applyFont="1"/>
    <xf numFmtId="0" fontId="41" fillId="8" borderId="15" xfId="0" applyFont="1" applyFill="1" applyBorder="1" applyAlignment="1">
      <alignment horizontal="center" vertical="center" wrapText="1"/>
    </xf>
    <xf numFmtId="0" fontId="41" fillId="8" borderId="19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2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175" fontId="0" fillId="0" borderId="0" xfId="107" applyNumberFormat="1" applyFont="1" applyAlignment="1">
      <alignment horizontal="center"/>
    </xf>
    <xf numFmtId="176" fontId="0" fillId="0" borderId="0" xfId="107" applyNumberFormat="1" applyFont="1" applyAlignment="1">
      <alignment horizontal="center"/>
    </xf>
    <xf numFmtId="177" fontId="0" fillId="0" borderId="1" xfId="0" applyNumberFormat="1" applyBorder="1" applyAlignment="1">
      <alignment horizontal="center"/>
    </xf>
    <xf numFmtId="175" fontId="0" fillId="2" borderId="0" xfId="107" applyNumberFormat="1" applyFont="1" applyFill="1" applyAlignment="1">
      <alignment horizontal="center"/>
    </xf>
    <xf numFmtId="176" fontId="0" fillId="2" borderId="0" xfId="107" applyNumberFormat="1" applyFont="1" applyFill="1" applyAlignment="1">
      <alignment horizontal="center"/>
    </xf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 wrapText="1"/>
    </xf>
    <xf numFmtId="170" fontId="0" fillId="0" borderId="1" xfId="102" applyNumberFormat="1" applyFont="1" applyFill="1" applyBorder="1" applyAlignment="1">
      <alignment horizontal="center" vertical="center" wrapText="1"/>
    </xf>
    <xf numFmtId="170" fontId="0" fillId="0" borderId="1" xfId="0" applyNumberFormat="1" applyBorder="1"/>
    <xf numFmtId="164" fontId="0" fillId="0" borderId="1" xfId="0" applyNumberFormat="1" applyBorder="1"/>
    <xf numFmtId="166" fontId="0" fillId="0" borderId="0" xfId="0" applyNumberFormat="1"/>
    <xf numFmtId="0" fontId="0" fillId="0" borderId="0" xfId="0" applyAlignment="1">
      <alignment horizontal="center" vertical="center" wrapText="1"/>
    </xf>
    <xf numFmtId="170" fontId="4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/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8" xfId="1" applyBorder="1" applyAlignment="1">
      <alignment horizontal="center"/>
    </xf>
    <xf numFmtId="0" fontId="5" fillId="0" borderId="0" xfId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6" borderId="31" xfId="0" applyFont="1" applyFill="1" applyBorder="1" applyAlignment="1">
      <alignment horizontal="center"/>
    </xf>
    <xf numFmtId="0" fontId="25" fillId="6" borderId="20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6" borderId="16" xfId="0" applyFont="1" applyFill="1" applyBorder="1" applyAlignment="1">
      <alignment horizontal="center"/>
    </xf>
    <xf numFmtId="0" fontId="25" fillId="6" borderId="17" xfId="0" applyFont="1" applyFill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39" fillId="0" borderId="0" xfId="106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" xfId="108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109" applyAlignment="1">
      <alignment horizontal="center"/>
    </xf>
    <xf numFmtId="0" fontId="1" fillId="0" borderId="0" xfId="109"/>
    <xf numFmtId="0" fontId="1" fillId="0" borderId="1" xfId="109" applyBorder="1" applyAlignment="1">
      <alignment horizontal="center"/>
    </xf>
    <xf numFmtId="0" fontId="1" fillId="0" borderId="1" xfId="109" applyBorder="1" applyAlignment="1">
      <alignment horizontal="center"/>
    </xf>
    <xf numFmtId="169" fontId="1" fillId="0" borderId="0" xfId="109" applyNumberFormat="1"/>
    <xf numFmtId="1" fontId="1" fillId="0" borderId="0" xfId="109" applyNumberFormat="1" applyAlignment="1">
      <alignment horizontal="center"/>
    </xf>
    <xf numFmtId="0" fontId="1" fillId="0" borderId="0" xfId="109" applyAlignment="1">
      <alignment horizontal="center"/>
    </xf>
    <xf numFmtId="0" fontId="4" fillId="0" borderId="0" xfId="109" applyFont="1" applyAlignment="1">
      <alignment horizontal="center"/>
    </xf>
    <xf numFmtId="0" fontId="1" fillId="0" borderId="0" xfId="109" applyAlignment="1">
      <alignment horizontal="left"/>
    </xf>
    <xf numFmtId="20" fontId="1" fillId="0" borderId="0" xfId="109" applyNumberFormat="1" applyAlignment="1">
      <alignment horizontal="center"/>
    </xf>
    <xf numFmtId="0" fontId="4" fillId="0" borderId="0" xfId="109" applyFont="1"/>
    <xf numFmtId="0" fontId="1" fillId="0" borderId="1" xfId="109" applyBorder="1"/>
    <xf numFmtId="20" fontId="1" fillId="0" borderId="1" xfId="109" applyNumberFormat="1" applyBorder="1" applyAlignment="1">
      <alignment horizontal="center"/>
    </xf>
    <xf numFmtId="20" fontId="1" fillId="0" borderId="1" xfId="109" applyNumberFormat="1" applyBorder="1" applyAlignment="1">
      <alignment horizontal="center"/>
    </xf>
    <xf numFmtId="0" fontId="1" fillId="0" borderId="0" xfId="109" applyAlignment="1">
      <alignment horizontal="center" vertical="center"/>
    </xf>
    <xf numFmtId="18" fontId="1" fillId="0" borderId="0" xfId="109" applyNumberFormat="1" applyAlignment="1">
      <alignment horizontal="center"/>
    </xf>
    <xf numFmtId="2" fontId="1" fillId="0" borderId="0" xfId="109" applyNumberFormat="1" applyAlignment="1">
      <alignment horizontal="center"/>
    </xf>
    <xf numFmtId="169" fontId="1" fillId="0" borderId="0" xfId="109" applyNumberFormat="1" applyAlignment="1">
      <alignment horizontal="center"/>
    </xf>
    <xf numFmtId="178" fontId="1" fillId="0" borderId="0" xfId="109" applyNumberFormat="1"/>
  </cellXfs>
  <cellStyles count="110">
    <cellStyle name="Comma 2" xfId="7" xr:uid="{00000000-0005-0000-0000-000001000000}"/>
    <cellStyle name="Comma 2 2" xfId="102" xr:uid="{00000000-0005-0000-0000-000002000000}"/>
    <cellStyle name="Comma 3" xfId="107" xr:uid="{5D78FF27-0775-9F44-B9AB-1D0D62B9A0F9}"/>
    <cellStyle name="Currency 2" xfId="101" xr:uid="{00000000-0005-0000-0000-000004000000}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5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4" builtinId="8" hidden="1"/>
    <cellStyle name="Normal" xfId="0" builtinId="0"/>
    <cellStyle name="Normal 2" xfId="1" xr:uid="{00000000-0005-0000-0000-000062000000}"/>
    <cellStyle name="Normal 2 2" xfId="4" xr:uid="{00000000-0005-0000-0000-000063000000}"/>
    <cellStyle name="Normal 2 3" xfId="6" xr:uid="{00000000-0005-0000-0000-000064000000}"/>
    <cellStyle name="Normal 2 4" xfId="65" xr:uid="{00000000-0005-0000-0000-000065000000}"/>
    <cellStyle name="Normal 3" xfId="2" xr:uid="{00000000-0005-0000-0000-000066000000}"/>
    <cellStyle name="Normal 3 2" xfId="106" xr:uid="{66A03F01-D476-2E41-9517-2854770FCB85}"/>
    <cellStyle name="Normal 3 3" xfId="109" xr:uid="{E2A4DC21-31FE-814C-BEF1-0C8A6B6DE6D8}"/>
    <cellStyle name="Normal 4" xfId="64" xr:uid="{00000000-0005-0000-0000-000067000000}"/>
    <cellStyle name="Percent" xfId="108" builtinId="5"/>
    <cellStyle name="Percent 2" xfId="3" xr:uid="{00000000-0005-0000-0000-000069000000}"/>
    <cellStyle name="Percent 3" xfId="5" xr:uid="{00000000-0005-0000-0000-00006A000000}"/>
    <cellStyle name="Percent 4" xfId="66" xr:uid="{00000000-0005-0000-0000-00006B000000}"/>
    <cellStyle name="Percent 5" xfId="103" xr:uid="{00000000-0005-0000-0000-00006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8</xdr:col>
      <xdr:colOff>279400</xdr:colOff>
      <xdr:row>30</xdr:row>
      <xdr:rowOff>165810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15E664-422E-F847-9F59-C9B81A27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6769100" cy="6261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23655</xdr:rowOff>
    </xdr:from>
    <xdr:to>
      <xdr:col>8</xdr:col>
      <xdr:colOff>812800</xdr:colOff>
      <xdr:row>29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CCCBAF-FD3F-BD45-BBAA-1FDECFF7D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26855"/>
          <a:ext cx="7632700" cy="5665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</xdr:row>
      <xdr:rowOff>96520</xdr:rowOff>
    </xdr:from>
    <xdr:to>
      <xdr:col>5</xdr:col>
      <xdr:colOff>647700</xdr:colOff>
      <xdr:row>1</xdr:row>
      <xdr:rowOff>546100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8427720" y="401320"/>
          <a:ext cx="449580" cy="449580"/>
        </a:xfrm>
        <a:prstGeom prst="ellipse">
          <a:avLst/>
        </a:prstGeom>
        <a:noFill/>
        <a:ln w="28575" cmpd="sng">
          <a:solidFill>
            <a:schemeClr val="tx1">
              <a:lumMod val="95000"/>
              <a:lumOff val="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101600</xdr:colOff>
      <xdr:row>1</xdr:row>
      <xdr:rowOff>76200</xdr:rowOff>
    </xdr:from>
    <xdr:to>
      <xdr:col>6</xdr:col>
      <xdr:colOff>736600</xdr:colOff>
      <xdr:row>1</xdr:row>
      <xdr:rowOff>596900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9156700" y="381000"/>
          <a:ext cx="635000" cy="520700"/>
        </a:xfrm>
        <a:prstGeom prst="rightArrow">
          <a:avLst/>
        </a:prstGeom>
        <a:noFill/>
        <a:ln w="28575" cmpd="sng">
          <a:solidFill>
            <a:schemeClr val="tx1">
              <a:lumMod val="95000"/>
              <a:lumOff val="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165100</xdr:colOff>
      <xdr:row>1</xdr:row>
      <xdr:rowOff>88900</xdr:rowOff>
    </xdr:from>
    <xdr:to>
      <xdr:col>7</xdr:col>
      <xdr:colOff>596900</xdr:colOff>
      <xdr:row>1</xdr:row>
      <xdr:rowOff>558800</xdr:rowOff>
    </xdr:to>
    <xdr:sp macro="" textlink="">
      <xdr:nvSpPr>
        <xdr:cNvPr id="4" name="Delay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0045700" y="393700"/>
          <a:ext cx="431800" cy="469900"/>
        </a:xfrm>
        <a:prstGeom prst="flowChartDelay">
          <a:avLst/>
        </a:prstGeom>
        <a:noFill/>
        <a:ln w="28575" cmpd="sng">
          <a:solidFill>
            <a:srgbClr val="0D0D0D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114300</xdr:colOff>
      <xdr:row>1</xdr:row>
      <xdr:rowOff>101600</xdr:rowOff>
    </xdr:from>
    <xdr:to>
      <xdr:col>8</xdr:col>
      <xdr:colOff>850900</xdr:colOff>
      <xdr:row>1</xdr:row>
      <xdr:rowOff>571500</xdr:rowOff>
    </xdr:to>
    <xdr:sp macro="" textlink="">
      <xdr:nvSpPr>
        <xdr:cNvPr id="5" name="Process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10820400" y="406400"/>
          <a:ext cx="736600" cy="469900"/>
        </a:xfrm>
        <a:prstGeom prst="flowChartProcess">
          <a:avLst/>
        </a:prstGeom>
        <a:solidFill>
          <a:srgbClr val="FFFFFF"/>
        </a:solidFill>
        <a:ln w="28575" cmpd="sng">
          <a:solidFill>
            <a:srgbClr val="0D0D0D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88900</xdr:colOff>
      <xdr:row>1</xdr:row>
      <xdr:rowOff>76200</xdr:rowOff>
    </xdr:from>
    <xdr:to>
      <xdr:col>10</xdr:col>
      <xdr:colOff>711200</xdr:colOff>
      <xdr:row>1</xdr:row>
      <xdr:rowOff>622300</xdr:rowOff>
    </xdr:to>
    <xdr:sp macro="" textlink="">
      <xdr:nvSpPr>
        <xdr:cNvPr id="6" name="Merge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12700000" y="381000"/>
          <a:ext cx="622300" cy="546100"/>
        </a:xfrm>
        <a:prstGeom prst="flowChartMerge">
          <a:avLst/>
        </a:prstGeom>
        <a:solidFill>
          <a:srgbClr val="FFFFFF"/>
        </a:solidFill>
        <a:ln w="28575" cmpd="sng">
          <a:solidFill>
            <a:srgbClr val="0D0D0D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419100</xdr:colOff>
      <xdr:row>2</xdr:row>
      <xdr:rowOff>279400</xdr:rowOff>
    </xdr:from>
    <xdr:to>
      <xdr:col>6</xdr:col>
      <xdr:colOff>444500</xdr:colOff>
      <xdr:row>3</xdr:row>
      <xdr:rowOff>254000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>
          <a:off x="8648700" y="1257300"/>
          <a:ext cx="850900" cy="4953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3</xdr:row>
      <xdr:rowOff>266700</xdr:rowOff>
    </xdr:from>
    <xdr:to>
      <xdr:col>8</xdr:col>
      <xdr:colOff>469900</xdr:colOff>
      <xdr:row>4</xdr:row>
      <xdr:rowOff>241300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CxnSpPr/>
      </xdr:nvCxnSpPr>
      <xdr:spPr>
        <a:xfrm>
          <a:off x="9512300" y="1765300"/>
          <a:ext cx="1663700" cy="4953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406400</xdr:colOff>
      <xdr:row>4</xdr:row>
      <xdr:rowOff>254000</xdr:rowOff>
    </xdr:from>
    <xdr:to>
      <xdr:col>8</xdr:col>
      <xdr:colOff>469900</xdr:colOff>
      <xdr:row>5</xdr:row>
      <xdr:rowOff>190500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CxnSpPr/>
      </xdr:nvCxnSpPr>
      <xdr:spPr>
        <a:xfrm flipV="1">
          <a:off x="8636000" y="2273300"/>
          <a:ext cx="2540000" cy="4572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406400</xdr:colOff>
      <xdr:row>5</xdr:row>
      <xdr:rowOff>203200</xdr:rowOff>
    </xdr:from>
    <xdr:to>
      <xdr:col>5</xdr:col>
      <xdr:colOff>406400</xdr:colOff>
      <xdr:row>6</xdr:row>
      <xdr:rowOff>292100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CxnSpPr/>
      </xdr:nvCxnSpPr>
      <xdr:spPr>
        <a:xfrm>
          <a:off x="8636000" y="2743200"/>
          <a:ext cx="0" cy="5080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406400</xdr:colOff>
      <xdr:row>6</xdr:row>
      <xdr:rowOff>304800</xdr:rowOff>
    </xdr:from>
    <xdr:to>
      <xdr:col>9</xdr:col>
      <xdr:colOff>457200</xdr:colOff>
      <xdr:row>7</xdr:row>
      <xdr:rowOff>228600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CxnSpPr/>
      </xdr:nvCxnSpPr>
      <xdr:spPr>
        <a:xfrm>
          <a:off x="8636000" y="3263900"/>
          <a:ext cx="3479800" cy="4064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9</xdr:row>
      <xdr:rowOff>215900</xdr:rowOff>
    </xdr:from>
    <xdr:to>
      <xdr:col>8</xdr:col>
      <xdr:colOff>495300</xdr:colOff>
      <xdr:row>10</xdr:row>
      <xdr:rowOff>241300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CxnSpPr/>
      </xdr:nvCxnSpPr>
      <xdr:spPr>
        <a:xfrm flipH="1">
          <a:off x="8610600" y="4381500"/>
          <a:ext cx="2590800" cy="5461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10</xdr:row>
      <xdr:rowOff>241300</xdr:rowOff>
    </xdr:from>
    <xdr:to>
      <xdr:col>5</xdr:col>
      <xdr:colOff>393700</xdr:colOff>
      <xdr:row>11</xdr:row>
      <xdr:rowOff>279400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CxnSpPr/>
      </xdr:nvCxnSpPr>
      <xdr:spPr>
        <a:xfrm>
          <a:off x="8610600" y="4927600"/>
          <a:ext cx="12700" cy="4572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393700</xdr:colOff>
      <xdr:row>11</xdr:row>
      <xdr:rowOff>279400</xdr:rowOff>
    </xdr:from>
    <xdr:to>
      <xdr:col>9</xdr:col>
      <xdr:colOff>495300</xdr:colOff>
      <xdr:row>12</xdr:row>
      <xdr:rowOff>292100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CxnSpPr/>
      </xdr:nvCxnSpPr>
      <xdr:spPr>
        <a:xfrm>
          <a:off x="8623300" y="5384800"/>
          <a:ext cx="3530600" cy="4826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406400</xdr:colOff>
      <xdr:row>14</xdr:row>
      <xdr:rowOff>114300</xdr:rowOff>
    </xdr:from>
    <xdr:to>
      <xdr:col>6</xdr:col>
      <xdr:colOff>431800</xdr:colOff>
      <xdr:row>15</xdr:row>
      <xdr:rowOff>381000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CxnSpPr/>
      </xdr:nvCxnSpPr>
      <xdr:spPr>
        <a:xfrm>
          <a:off x="8636000" y="6426200"/>
          <a:ext cx="850900" cy="6604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1</xdr:row>
      <xdr:rowOff>63500</xdr:rowOff>
    </xdr:from>
    <xdr:to>
      <xdr:col>9</xdr:col>
      <xdr:colOff>711200</xdr:colOff>
      <xdr:row>1</xdr:row>
      <xdr:rowOff>584200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/>
      </xdr:nvSpPr>
      <xdr:spPr>
        <a:xfrm>
          <a:off x="11849100" y="368300"/>
          <a:ext cx="520700" cy="520700"/>
        </a:xfrm>
        <a:prstGeom prst="ellipse">
          <a:avLst/>
        </a:prstGeom>
        <a:noFill/>
        <a:ln w="28575" cmpd="sng">
          <a:solidFill>
            <a:schemeClr val="tx1">
              <a:lumMod val="95000"/>
              <a:lumOff val="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9</xdr:col>
      <xdr:colOff>241300</xdr:colOff>
      <xdr:row>1</xdr:row>
      <xdr:rowOff>152400</xdr:rowOff>
    </xdr:from>
    <xdr:to>
      <xdr:col>9</xdr:col>
      <xdr:colOff>698500</xdr:colOff>
      <xdr:row>1</xdr:row>
      <xdr:rowOff>495300</xdr:rowOff>
    </xdr:to>
    <xdr:sp macro="" textlink="">
      <xdr:nvSpPr>
        <xdr:cNvPr id="17" name="Right Arrow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/>
      </xdr:nvSpPr>
      <xdr:spPr>
        <a:xfrm>
          <a:off x="11899900" y="457200"/>
          <a:ext cx="457200" cy="342900"/>
        </a:xfrm>
        <a:prstGeom prst="rightArrow">
          <a:avLst/>
        </a:prstGeom>
        <a:noFill/>
        <a:ln w="28575" cmpd="sng">
          <a:solidFill>
            <a:schemeClr val="tx1">
              <a:lumMod val="95000"/>
              <a:lumOff val="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431800</xdr:colOff>
      <xdr:row>15</xdr:row>
      <xdr:rowOff>381000</xdr:rowOff>
    </xdr:from>
    <xdr:to>
      <xdr:col>9</xdr:col>
      <xdr:colOff>508000</xdr:colOff>
      <xdr:row>16</xdr:row>
      <xdr:rowOff>266700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CxnSpPr/>
      </xdr:nvCxnSpPr>
      <xdr:spPr>
        <a:xfrm>
          <a:off x="9486900" y="7086600"/>
          <a:ext cx="2679700" cy="6350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18</xdr:row>
      <xdr:rowOff>381000</xdr:rowOff>
    </xdr:from>
    <xdr:to>
      <xdr:col>6</xdr:col>
      <xdr:colOff>419100</xdr:colOff>
      <xdr:row>19</xdr:row>
      <xdr:rowOff>254000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CxnSpPr/>
      </xdr:nvCxnSpPr>
      <xdr:spPr>
        <a:xfrm>
          <a:off x="8610600" y="8572500"/>
          <a:ext cx="863600" cy="6477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431800</xdr:colOff>
      <xdr:row>19</xdr:row>
      <xdr:rowOff>254000</xdr:rowOff>
    </xdr:from>
    <xdr:to>
      <xdr:col>8</xdr:col>
      <xdr:colOff>508000</xdr:colOff>
      <xdr:row>20</xdr:row>
      <xdr:rowOff>241300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CxnSpPr/>
      </xdr:nvCxnSpPr>
      <xdr:spPr>
        <a:xfrm>
          <a:off x="9486900" y="9220200"/>
          <a:ext cx="1727200" cy="5080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393700</xdr:colOff>
      <xdr:row>20</xdr:row>
      <xdr:rowOff>241300</xdr:rowOff>
    </xdr:from>
    <xdr:to>
      <xdr:col>8</xdr:col>
      <xdr:colOff>508000</xdr:colOff>
      <xdr:row>21</xdr:row>
      <xdr:rowOff>177800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CxnSpPr/>
      </xdr:nvCxnSpPr>
      <xdr:spPr>
        <a:xfrm flipH="1">
          <a:off x="8623300" y="9728200"/>
          <a:ext cx="2590800" cy="4572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393700</xdr:colOff>
      <xdr:row>21</xdr:row>
      <xdr:rowOff>177800</xdr:rowOff>
    </xdr:from>
    <xdr:to>
      <xdr:col>6</xdr:col>
      <xdr:colOff>368300</xdr:colOff>
      <xdr:row>22</xdr:row>
      <xdr:rowOff>292100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CxnSpPr/>
      </xdr:nvCxnSpPr>
      <xdr:spPr>
        <a:xfrm>
          <a:off x="8623300" y="10185400"/>
          <a:ext cx="800100" cy="4953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457200</xdr:colOff>
      <xdr:row>22</xdr:row>
      <xdr:rowOff>292100</xdr:rowOff>
    </xdr:from>
    <xdr:to>
      <xdr:col>6</xdr:col>
      <xdr:colOff>368300</xdr:colOff>
      <xdr:row>23</xdr:row>
      <xdr:rowOff>228600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CxnSpPr/>
      </xdr:nvCxnSpPr>
      <xdr:spPr>
        <a:xfrm flipH="1">
          <a:off x="8686800" y="10680700"/>
          <a:ext cx="736600" cy="4572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457200</xdr:colOff>
      <xdr:row>23</xdr:row>
      <xdr:rowOff>254000</xdr:rowOff>
    </xdr:from>
    <xdr:to>
      <xdr:col>6</xdr:col>
      <xdr:colOff>368300</xdr:colOff>
      <xdr:row>24</xdr:row>
      <xdr:rowOff>355600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CxnSpPr/>
      </xdr:nvCxnSpPr>
      <xdr:spPr>
        <a:xfrm>
          <a:off x="8686800" y="11163300"/>
          <a:ext cx="736600" cy="584200"/>
        </a:xfrm>
        <a:prstGeom prst="line">
          <a:avLst/>
        </a:prstGeom>
        <a:ln w="28575" cmpd="sng">
          <a:solidFill>
            <a:schemeClr val="tx1">
              <a:lumMod val="95000"/>
              <a:lumOff val="5000"/>
            </a:schemeClr>
          </a:solidFill>
          <a:headEnd type="oval"/>
          <a:tailEnd type="oval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10</xdr:row>
      <xdr:rowOff>44770</xdr:rowOff>
    </xdr:from>
    <xdr:to>
      <xdr:col>10</xdr:col>
      <xdr:colOff>685935</xdr:colOff>
      <xdr:row>19</xdr:row>
      <xdr:rowOff>88901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51CA9E-832B-7340-A9D3-41632CCA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00" y="2076770"/>
          <a:ext cx="5854835" cy="18729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&#225;menes/Soluci&#243;n%20de%20Ex&#225;menes/Gerencia%20de%20Operaciones/1p-I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/Desktop/2P%20GO/Fabia&#769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 1"/>
      <sheetName val="Pregunta 2"/>
      <sheetName val="Pregunta 3"/>
      <sheetName val="Pregunta 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ME 1"/>
      <sheetName val="PYME 2"/>
      <sheetName val="PANDUIT 1"/>
      <sheetName val="GIMAT"/>
    </sheetNames>
    <sheetDataSet>
      <sheetData sheetId="0" refreshError="1"/>
      <sheetData sheetId="1" refreshError="1"/>
      <sheetData sheetId="2" refreshError="1"/>
      <sheetData sheetId="3">
        <row r="10">
          <cell r="C10">
            <v>2400.3000000000002</v>
          </cell>
        </row>
        <row r="25">
          <cell r="C25">
            <v>15</v>
          </cell>
          <cell r="D25">
            <v>24</v>
          </cell>
        </row>
        <row r="32">
          <cell r="J32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863C8-6821-5547-B57D-F3B6D7BE107D}">
  <dimension ref="A1"/>
  <sheetViews>
    <sheetView tabSelected="1" workbookViewId="0">
      <selection activeCell="L15" sqref="L15"/>
    </sheetView>
  </sheetViews>
  <sheetFormatPr baseColWidth="10" defaultRowHeight="16" x14ac:dyDescent="0.2"/>
  <sheetData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O9"/>
  <sheetViews>
    <sheetView zoomScale="130" zoomScaleNormal="130" workbookViewId="0">
      <selection activeCell="B10" sqref="B10"/>
    </sheetView>
  </sheetViews>
  <sheetFormatPr baseColWidth="10" defaultRowHeight="16" x14ac:dyDescent="0.2"/>
  <sheetData>
    <row r="2" spans="1:15" x14ac:dyDescent="0.2">
      <c r="A2" t="s">
        <v>227</v>
      </c>
    </row>
    <row r="3" spans="1:15" x14ac:dyDescent="0.2">
      <c r="A3" t="s">
        <v>228</v>
      </c>
    </row>
    <row r="4" spans="1:15" x14ac:dyDescent="0.2">
      <c r="A4" t="s">
        <v>229</v>
      </c>
    </row>
    <row r="5" spans="1:15" x14ac:dyDescent="0.2">
      <c r="A5" s="94" t="s">
        <v>230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2">
      <c r="A6" s="94" t="s">
        <v>231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9" spans="1:15" x14ac:dyDescent="0.2">
      <c r="B9" s="95" t="s">
        <v>232</v>
      </c>
      <c r="C9" s="95"/>
      <c r="D9" s="95"/>
      <c r="E9" s="95"/>
      <c r="F9" s="95"/>
      <c r="G9" s="95"/>
      <c r="H9" s="9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30"/>
  <sheetViews>
    <sheetView zoomScale="50" zoomScaleNormal="50" zoomScalePageLayoutView="50" workbookViewId="0">
      <selection activeCell="M13" sqref="M13"/>
    </sheetView>
  </sheetViews>
  <sheetFormatPr baseColWidth="10" defaultRowHeight="24" x14ac:dyDescent="0.3"/>
  <cols>
    <col min="2" max="2" width="10.83203125" style="96"/>
    <col min="3" max="3" width="25.6640625" style="36" customWidth="1"/>
    <col min="4" max="4" width="48.5" customWidth="1"/>
    <col min="5" max="5" width="12.1640625" style="96" customWidth="1"/>
    <col min="9" max="10" width="12.5" customWidth="1"/>
    <col min="13" max="13" width="31.6640625" customWidth="1"/>
    <col min="14" max="14" width="29" style="40" customWidth="1"/>
    <col min="15" max="15" width="27.33203125" customWidth="1"/>
    <col min="16" max="16" width="20.6640625" customWidth="1"/>
  </cols>
  <sheetData>
    <row r="1" spans="2:16" ht="25" thickBot="1" x14ac:dyDescent="0.35"/>
    <row r="2" spans="2:16" ht="53" customHeight="1" x14ac:dyDescent="0.2">
      <c r="B2" s="97" t="s">
        <v>233</v>
      </c>
      <c r="C2" s="98" t="s">
        <v>234</v>
      </c>
      <c r="D2" s="98" t="s">
        <v>235</v>
      </c>
      <c r="E2" s="98" t="s">
        <v>236</v>
      </c>
      <c r="F2" s="99"/>
      <c r="G2" s="99"/>
      <c r="H2" s="99"/>
      <c r="I2" s="99"/>
      <c r="J2" s="100"/>
      <c r="K2" s="101"/>
      <c r="L2" s="102"/>
      <c r="N2" s="103" t="s">
        <v>237</v>
      </c>
      <c r="O2" s="103" t="s">
        <v>238</v>
      </c>
      <c r="P2" s="103" t="s">
        <v>239</v>
      </c>
    </row>
    <row r="3" spans="2:16" ht="45" x14ac:dyDescent="0.3">
      <c r="B3" s="104">
        <v>1</v>
      </c>
      <c r="C3" s="105" t="s">
        <v>240</v>
      </c>
      <c r="D3" s="106" t="s">
        <v>241</v>
      </c>
      <c r="E3" s="107">
        <v>20</v>
      </c>
      <c r="F3" s="108"/>
      <c r="G3" s="108"/>
      <c r="H3" s="108"/>
      <c r="I3" s="108"/>
      <c r="J3" s="109"/>
      <c r="K3" s="110"/>
      <c r="L3" s="111"/>
      <c r="N3" s="112">
        <f>+E3+E4+E6</f>
        <v>40</v>
      </c>
      <c r="O3" s="103" t="s">
        <v>242</v>
      </c>
      <c r="P3" s="103"/>
    </row>
    <row r="4" spans="2:16" ht="45" x14ac:dyDescent="0.3">
      <c r="B4" s="104">
        <v>2</v>
      </c>
      <c r="C4" s="105" t="s">
        <v>240</v>
      </c>
      <c r="D4" s="106" t="s">
        <v>243</v>
      </c>
      <c r="E4" s="107">
        <v>5</v>
      </c>
      <c r="F4" s="108"/>
      <c r="G4" s="108"/>
      <c r="H4" s="108"/>
      <c r="I4" s="108"/>
      <c r="J4" s="109"/>
      <c r="K4" s="110"/>
      <c r="L4" s="111"/>
      <c r="N4" s="112"/>
      <c r="O4" s="103" t="s">
        <v>242</v>
      </c>
      <c r="P4" s="103"/>
    </row>
    <row r="5" spans="2:16" ht="45" x14ac:dyDescent="0.3">
      <c r="B5" s="104">
        <v>3</v>
      </c>
      <c r="C5" s="107" t="s">
        <v>244</v>
      </c>
      <c r="D5" s="106" t="s">
        <v>245</v>
      </c>
      <c r="E5" s="107">
        <v>10</v>
      </c>
      <c r="F5" s="108"/>
      <c r="G5" s="108"/>
      <c r="H5" s="108"/>
      <c r="I5" s="108"/>
      <c r="J5" s="109"/>
      <c r="K5" s="110"/>
      <c r="L5" s="111"/>
      <c r="N5" s="112"/>
      <c r="O5" s="103"/>
      <c r="P5" s="103"/>
    </row>
    <row r="6" spans="2:16" ht="33" customHeight="1" x14ac:dyDescent="0.3">
      <c r="B6" s="104">
        <v>4</v>
      </c>
      <c r="C6" s="107" t="s">
        <v>244</v>
      </c>
      <c r="D6" s="113" t="s">
        <v>246</v>
      </c>
      <c r="E6" s="107">
        <v>15</v>
      </c>
      <c r="F6" s="108"/>
      <c r="G6" s="108"/>
      <c r="H6" s="108"/>
      <c r="I6" s="108"/>
      <c r="J6" s="109"/>
      <c r="K6" s="110"/>
      <c r="L6" s="111"/>
      <c r="N6" s="112"/>
      <c r="O6" s="103"/>
      <c r="P6" s="103" t="s">
        <v>242</v>
      </c>
    </row>
    <row r="7" spans="2:16" ht="38" customHeight="1" x14ac:dyDescent="0.3">
      <c r="B7" s="104">
        <v>5</v>
      </c>
      <c r="C7" s="107" t="s">
        <v>244</v>
      </c>
      <c r="D7" s="113" t="s">
        <v>247</v>
      </c>
      <c r="E7" s="107">
        <v>25</v>
      </c>
      <c r="F7" s="108"/>
      <c r="G7" s="108"/>
      <c r="H7" s="108"/>
      <c r="I7" s="108"/>
      <c r="J7" s="109"/>
      <c r="K7" s="110"/>
      <c r="L7" s="111"/>
      <c r="N7" s="112"/>
      <c r="O7" s="103"/>
      <c r="P7" s="103"/>
    </row>
    <row r="8" spans="2:16" ht="46" thickBot="1" x14ac:dyDescent="0.35">
      <c r="B8" s="114">
        <v>6</v>
      </c>
      <c r="C8" s="115" t="s">
        <v>244</v>
      </c>
      <c r="D8" s="116" t="s">
        <v>248</v>
      </c>
      <c r="E8" s="115">
        <v>10</v>
      </c>
      <c r="F8" s="117"/>
      <c r="G8" s="117"/>
      <c r="H8" s="117"/>
      <c r="I8" s="117"/>
      <c r="J8" s="118"/>
      <c r="K8" s="119"/>
      <c r="L8" s="111"/>
      <c r="N8" s="112"/>
      <c r="O8" s="103"/>
      <c r="P8" s="103"/>
    </row>
    <row r="9" spans="2:16" ht="15" customHeight="1" thickBot="1" x14ac:dyDescent="0.35">
      <c r="B9" s="120"/>
      <c r="C9" s="120"/>
      <c r="D9" s="121"/>
      <c r="E9" s="120"/>
      <c r="F9" s="122"/>
      <c r="G9" s="122"/>
      <c r="H9" s="122"/>
      <c r="I9" s="122"/>
      <c r="J9" s="122"/>
      <c r="K9" s="122"/>
      <c r="L9" s="122"/>
      <c r="N9" s="112"/>
      <c r="O9" s="103"/>
      <c r="P9" s="103"/>
    </row>
    <row r="10" spans="2:16" ht="45" x14ac:dyDescent="0.3">
      <c r="B10" s="123">
        <v>7</v>
      </c>
      <c r="C10" s="124" t="s">
        <v>249</v>
      </c>
      <c r="D10" s="125" t="s">
        <v>250</v>
      </c>
      <c r="E10" s="124">
        <v>15</v>
      </c>
      <c r="F10" s="126"/>
      <c r="G10" s="126"/>
      <c r="H10" s="126"/>
      <c r="I10" s="126"/>
      <c r="J10" s="127"/>
      <c r="K10" s="128"/>
      <c r="L10" s="111"/>
      <c r="N10" s="112">
        <f>+E11</f>
        <v>30</v>
      </c>
      <c r="O10" s="103"/>
      <c r="P10" s="103"/>
    </row>
    <row r="11" spans="2:16" ht="33" customHeight="1" x14ac:dyDescent="0.3">
      <c r="B11" s="104">
        <v>8</v>
      </c>
      <c r="C11" s="107" t="s">
        <v>249</v>
      </c>
      <c r="D11" s="129" t="s">
        <v>251</v>
      </c>
      <c r="E11" s="107">
        <v>30</v>
      </c>
      <c r="F11" s="108"/>
      <c r="G11" s="108"/>
      <c r="H11" s="108"/>
      <c r="I11" s="108"/>
      <c r="J11" s="109"/>
      <c r="K11" s="110"/>
      <c r="L11" s="111"/>
      <c r="N11" s="112"/>
      <c r="O11" s="103"/>
      <c r="P11" s="103" t="s">
        <v>242</v>
      </c>
    </row>
    <row r="12" spans="2:16" ht="37" customHeight="1" x14ac:dyDescent="0.3">
      <c r="B12" s="104">
        <v>9</v>
      </c>
      <c r="C12" s="107" t="s">
        <v>249</v>
      </c>
      <c r="D12" s="113" t="s">
        <v>252</v>
      </c>
      <c r="E12" s="107">
        <v>10</v>
      </c>
      <c r="F12" s="108"/>
      <c r="G12" s="108"/>
      <c r="H12" s="108"/>
      <c r="I12" s="108"/>
      <c r="J12" s="109"/>
      <c r="K12" s="110"/>
      <c r="L12" s="111"/>
      <c r="N12" s="112"/>
      <c r="O12" s="103"/>
      <c r="P12" s="103"/>
    </row>
    <row r="13" spans="2:16" ht="46" thickBot="1" x14ac:dyDescent="0.35">
      <c r="B13" s="114">
        <v>10</v>
      </c>
      <c r="C13" s="115" t="s">
        <v>249</v>
      </c>
      <c r="D13" s="116" t="s">
        <v>253</v>
      </c>
      <c r="E13" s="115" t="s">
        <v>242</v>
      </c>
      <c r="F13" s="117"/>
      <c r="G13" s="117"/>
      <c r="H13" s="117"/>
      <c r="I13" s="117"/>
      <c r="J13" s="118"/>
      <c r="K13" s="119"/>
      <c r="L13" s="111"/>
      <c r="N13" s="112"/>
      <c r="O13" s="103"/>
      <c r="P13" s="103"/>
    </row>
    <row r="14" spans="2:16" ht="16" customHeight="1" thickBot="1" x14ac:dyDescent="0.35">
      <c r="B14" s="120"/>
      <c r="C14" s="120"/>
      <c r="D14" s="121"/>
      <c r="E14" s="120"/>
      <c r="F14" s="122"/>
      <c r="G14" s="122"/>
      <c r="H14" s="122"/>
      <c r="I14" s="122"/>
      <c r="J14" s="122"/>
      <c r="K14" s="122"/>
      <c r="L14" s="122"/>
      <c r="N14" s="112"/>
      <c r="O14" s="103"/>
      <c r="P14" s="103"/>
    </row>
    <row r="15" spans="2:16" ht="31" customHeight="1" x14ac:dyDescent="0.3">
      <c r="B15" s="123">
        <v>11</v>
      </c>
      <c r="C15" s="130" t="s">
        <v>254</v>
      </c>
      <c r="D15" s="131" t="s">
        <v>255</v>
      </c>
      <c r="E15" s="124">
        <v>15</v>
      </c>
      <c r="F15" s="126"/>
      <c r="G15" s="126"/>
      <c r="H15" s="126"/>
      <c r="I15" s="126"/>
      <c r="J15" s="126"/>
      <c r="K15" s="128"/>
      <c r="L15" s="111"/>
      <c r="N15" s="112">
        <f>+E15</f>
        <v>15</v>
      </c>
      <c r="O15" s="103"/>
      <c r="P15" s="103" t="s">
        <v>242</v>
      </c>
    </row>
    <row r="16" spans="2:16" ht="59" customHeight="1" x14ac:dyDescent="0.3">
      <c r="B16" s="104">
        <v>12</v>
      </c>
      <c r="C16" s="107" t="s">
        <v>254</v>
      </c>
      <c r="D16" s="113" t="s">
        <v>256</v>
      </c>
      <c r="E16" s="107" t="s">
        <v>242</v>
      </c>
      <c r="F16" s="108"/>
      <c r="G16" s="108"/>
      <c r="H16" s="108"/>
      <c r="I16" s="108"/>
      <c r="J16" s="108"/>
      <c r="K16" s="110"/>
      <c r="L16" s="111"/>
      <c r="N16" s="112"/>
      <c r="O16" s="103"/>
      <c r="P16" s="103"/>
    </row>
    <row r="17" spans="2:16" ht="46" thickBot="1" x14ac:dyDescent="0.35">
      <c r="B17" s="114">
        <v>13</v>
      </c>
      <c r="C17" s="115" t="s">
        <v>254</v>
      </c>
      <c r="D17" s="116" t="s">
        <v>257</v>
      </c>
      <c r="E17" s="115" t="s">
        <v>242</v>
      </c>
      <c r="F17" s="117"/>
      <c r="G17" s="117"/>
      <c r="H17" s="117"/>
      <c r="I17" s="117"/>
      <c r="J17" s="117"/>
      <c r="K17" s="119"/>
      <c r="L17" s="111"/>
      <c r="N17" s="112"/>
      <c r="O17" s="103"/>
      <c r="P17" s="103"/>
    </row>
    <row r="18" spans="2:16" ht="16" customHeight="1" thickBot="1" x14ac:dyDescent="0.35">
      <c r="B18" s="120"/>
      <c r="C18" s="120"/>
      <c r="D18" s="121"/>
      <c r="E18" s="120"/>
      <c r="F18" s="122"/>
      <c r="G18" s="122"/>
      <c r="H18" s="122"/>
      <c r="I18" s="122"/>
      <c r="J18" s="122"/>
      <c r="K18" s="122"/>
      <c r="L18" s="122"/>
      <c r="N18" s="112"/>
      <c r="O18" s="103"/>
      <c r="P18" s="103"/>
    </row>
    <row r="19" spans="2:16" ht="67" x14ac:dyDescent="0.3">
      <c r="B19" s="123">
        <v>14</v>
      </c>
      <c r="C19" s="124" t="s">
        <v>240</v>
      </c>
      <c r="D19" s="125" t="s">
        <v>258</v>
      </c>
      <c r="E19" s="124">
        <v>15</v>
      </c>
      <c r="F19" s="126"/>
      <c r="G19" s="126"/>
      <c r="H19" s="126"/>
      <c r="I19" s="126"/>
      <c r="J19" s="126"/>
      <c r="K19" s="128"/>
      <c r="L19" s="111"/>
      <c r="N19" s="112">
        <f>+E19+E20+E21+E22</f>
        <v>60</v>
      </c>
      <c r="O19" s="132" t="s">
        <v>242</v>
      </c>
      <c r="P19" s="103"/>
    </row>
    <row r="20" spans="2:16" ht="45" x14ac:dyDescent="0.3">
      <c r="B20" s="104">
        <v>15</v>
      </c>
      <c r="C20" s="105" t="s">
        <v>240</v>
      </c>
      <c r="D20" s="106" t="s">
        <v>259</v>
      </c>
      <c r="E20" s="107">
        <v>5</v>
      </c>
      <c r="F20" s="108"/>
      <c r="G20" s="108"/>
      <c r="H20" s="108"/>
      <c r="I20" s="108"/>
      <c r="J20" s="108"/>
      <c r="K20" s="110"/>
      <c r="L20" s="111"/>
      <c r="N20" s="112"/>
      <c r="O20" s="132" t="s">
        <v>242</v>
      </c>
      <c r="P20" s="103"/>
    </row>
    <row r="21" spans="2:16" ht="45" x14ac:dyDescent="0.3">
      <c r="B21" s="104">
        <v>16</v>
      </c>
      <c r="C21" s="107" t="s">
        <v>260</v>
      </c>
      <c r="D21" s="106" t="s">
        <v>261</v>
      </c>
      <c r="E21" s="107">
        <v>10</v>
      </c>
      <c r="F21" s="108"/>
      <c r="G21" s="108"/>
      <c r="H21" s="108"/>
      <c r="I21" s="108"/>
      <c r="J21" s="108"/>
      <c r="K21" s="110"/>
      <c r="L21" s="111"/>
      <c r="N21" s="112"/>
      <c r="O21" s="132" t="s">
        <v>242</v>
      </c>
      <c r="P21" s="103"/>
    </row>
    <row r="22" spans="2:16" ht="30" customHeight="1" x14ac:dyDescent="0.3">
      <c r="B22" s="104">
        <v>17</v>
      </c>
      <c r="C22" s="107" t="s">
        <v>260</v>
      </c>
      <c r="D22" s="129" t="s">
        <v>262</v>
      </c>
      <c r="E22" s="107">
        <v>30</v>
      </c>
      <c r="F22" s="108"/>
      <c r="G22" s="108"/>
      <c r="H22" s="108"/>
      <c r="I22" s="108"/>
      <c r="J22" s="108"/>
      <c r="K22" s="110"/>
      <c r="L22" s="111"/>
      <c r="O22" s="103"/>
      <c r="P22" s="132" t="s">
        <v>242</v>
      </c>
    </row>
    <row r="23" spans="2:16" ht="45" x14ac:dyDescent="0.3">
      <c r="B23" s="104">
        <v>18</v>
      </c>
      <c r="C23" s="107" t="s">
        <v>260</v>
      </c>
      <c r="D23" s="106" t="s">
        <v>263</v>
      </c>
      <c r="E23" s="107" t="s">
        <v>7</v>
      </c>
      <c r="F23" s="108"/>
      <c r="G23" s="108"/>
      <c r="H23" s="108"/>
      <c r="I23" s="108"/>
      <c r="J23" s="108"/>
      <c r="K23" s="110"/>
      <c r="L23" s="111"/>
      <c r="O23" s="103"/>
      <c r="P23" s="103"/>
    </row>
    <row r="24" spans="2:16" ht="38" customHeight="1" x14ac:dyDescent="0.3">
      <c r="B24" s="104">
        <v>19</v>
      </c>
      <c r="C24" s="107" t="s">
        <v>260</v>
      </c>
      <c r="D24" s="129" t="s">
        <v>264</v>
      </c>
      <c r="E24" s="107" t="s">
        <v>242</v>
      </c>
      <c r="F24" s="108"/>
      <c r="G24" s="108"/>
      <c r="H24" s="108"/>
      <c r="I24" s="108"/>
      <c r="J24" s="108"/>
      <c r="K24" s="110"/>
      <c r="L24" s="111"/>
      <c r="O24" s="103"/>
      <c r="P24" s="103"/>
    </row>
    <row r="25" spans="2:16" ht="68" thickBot="1" x14ac:dyDescent="0.35">
      <c r="B25" s="114">
        <v>20</v>
      </c>
      <c r="C25" s="115" t="s">
        <v>260</v>
      </c>
      <c r="D25" s="116" t="s">
        <v>265</v>
      </c>
      <c r="E25" s="115" t="s">
        <v>242</v>
      </c>
      <c r="F25" s="117"/>
      <c r="G25" s="117"/>
      <c r="H25" s="117"/>
      <c r="I25" s="117"/>
      <c r="J25" s="117"/>
      <c r="K25" s="119"/>
      <c r="L25" s="111"/>
      <c r="O25" s="103"/>
      <c r="P25" s="103"/>
    </row>
    <row r="26" spans="2:16" x14ac:dyDescent="0.3">
      <c r="B26" s="120"/>
      <c r="C26" s="133" t="s">
        <v>266</v>
      </c>
      <c r="D26" s="122"/>
      <c r="E26" s="120"/>
      <c r="F26" s="122"/>
      <c r="G26" s="122"/>
      <c r="H26" s="122"/>
      <c r="I26" s="122"/>
      <c r="J26" s="122"/>
      <c r="K26" s="122"/>
      <c r="L26" s="122"/>
      <c r="M26" s="134" t="s">
        <v>267</v>
      </c>
      <c r="N26" s="112" t="s">
        <v>26</v>
      </c>
      <c r="O26" s="112" t="s">
        <v>268</v>
      </c>
      <c r="P26" s="112" t="s">
        <v>269</v>
      </c>
    </row>
    <row r="27" spans="2:16" x14ac:dyDescent="0.3">
      <c r="B27" s="135"/>
      <c r="C27" s="136"/>
      <c r="D27" s="137"/>
      <c r="E27" s="135"/>
      <c r="F27" s="137"/>
      <c r="G27" s="137"/>
      <c r="H27" s="137"/>
      <c r="I27" s="137"/>
      <c r="J27" s="137"/>
      <c r="K27" s="137"/>
      <c r="L27" s="137"/>
      <c r="M27" s="134" t="s">
        <v>270</v>
      </c>
      <c r="N27" s="112">
        <f>N19+N15+N10+N3</f>
        <v>145</v>
      </c>
      <c r="O27" s="103">
        <f>E3+E4+E19+E20+E21</f>
        <v>55</v>
      </c>
      <c r="P27" s="103">
        <f>E6+E11+E15+E22</f>
        <v>90</v>
      </c>
    </row>
    <row r="28" spans="2:16" x14ac:dyDescent="0.3">
      <c r="B28" s="135"/>
      <c r="C28" s="136"/>
      <c r="D28" s="137"/>
      <c r="E28" s="135"/>
      <c r="F28" s="137"/>
      <c r="G28" s="137"/>
      <c r="H28" s="137"/>
      <c r="I28" s="137"/>
      <c r="J28" s="137"/>
      <c r="K28" s="137"/>
      <c r="L28" s="137"/>
      <c r="M28" s="134" t="s">
        <v>271</v>
      </c>
      <c r="N28" s="112">
        <f>N27-P27</f>
        <v>55</v>
      </c>
      <c r="O28" s="138"/>
      <c r="P28" s="138"/>
    </row>
    <row r="29" spans="2:16" x14ac:dyDescent="0.3">
      <c r="B29" s="135"/>
      <c r="C29" s="136"/>
      <c r="D29" s="137"/>
      <c r="E29" s="135"/>
      <c r="F29" s="137"/>
      <c r="G29" s="137"/>
      <c r="H29" s="137"/>
      <c r="I29" s="137"/>
      <c r="J29" s="137"/>
      <c r="K29" s="137"/>
      <c r="L29" s="137"/>
      <c r="M29" s="134" t="s">
        <v>272</v>
      </c>
      <c r="N29" s="112">
        <f>N27-N28</f>
        <v>90</v>
      </c>
    </row>
    <row r="30" spans="2:16" x14ac:dyDescent="0.3">
      <c r="B30" s="135"/>
      <c r="C30" s="136"/>
      <c r="D30" s="137"/>
      <c r="E30" s="135"/>
      <c r="F30" s="137"/>
      <c r="G30" s="137"/>
      <c r="H30" s="137"/>
      <c r="I30" s="137"/>
      <c r="J30" s="137"/>
      <c r="K30" s="137"/>
      <c r="L30" s="13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A7CF-23B0-9E48-9BE9-64F92C3C5157}">
  <dimension ref="B2:S39"/>
  <sheetViews>
    <sheetView zoomScaleNormal="100" workbookViewId="0">
      <selection activeCell="AF24" sqref="AF24"/>
    </sheetView>
  </sheetViews>
  <sheetFormatPr baseColWidth="10" defaultRowHeight="16" x14ac:dyDescent="0.2"/>
  <cols>
    <col min="1" max="1" width="3.1640625" customWidth="1"/>
    <col min="2" max="2" width="10" customWidth="1"/>
    <col min="3" max="3" width="13.6640625" bestFit="1" customWidth="1"/>
    <col min="7" max="7" width="13.6640625" bestFit="1" customWidth="1"/>
    <col min="8" max="8" width="12.33203125" customWidth="1"/>
    <col min="11" max="11" width="12.33203125" customWidth="1"/>
    <col min="13" max="13" width="13" customWidth="1"/>
    <col min="14" max="14" width="12.33203125" customWidth="1"/>
    <col min="15" max="15" width="10.6640625" customWidth="1"/>
    <col min="1988" max="1988" width="2.5" customWidth="1"/>
  </cols>
  <sheetData>
    <row r="2" spans="2:17" x14ac:dyDescent="0.2">
      <c r="C2" t="s">
        <v>583</v>
      </c>
    </row>
    <row r="3" spans="2:17" x14ac:dyDescent="0.2">
      <c r="G3" s="281"/>
    </row>
    <row r="5" spans="2:17" x14ac:dyDescent="0.2">
      <c r="C5" s="300" t="s">
        <v>76</v>
      </c>
      <c r="D5" s="300"/>
      <c r="E5" s="278" t="s">
        <v>9</v>
      </c>
      <c r="F5" s="39" t="s">
        <v>11</v>
      </c>
      <c r="G5" s="279" t="s">
        <v>585</v>
      </c>
      <c r="H5" s="278">
        <v>8</v>
      </c>
      <c r="J5" s="278" t="s">
        <v>21</v>
      </c>
      <c r="K5" s="278" t="s">
        <v>47</v>
      </c>
      <c r="L5" s="278" t="s">
        <v>586</v>
      </c>
      <c r="M5" s="278" t="s">
        <v>173</v>
      </c>
      <c r="N5" s="300" t="s">
        <v>89</v>
      </c>
      <c r="O5" s="300"/>
      <c r="P5" s="278" t="s">
        <v>152</v>
      </c>
    </row>
    <row r="6" spans="2:17" x14ac:dyDescent="0.2">
      <c r="C6" s="278" t="s">
        <v>4</v>
      </c>
      <c r="D6" s="278">
        <v>5000</v>
      </c>
      <c r="E6" s="278">
        <v>2</v>
      </c>
      <c r="F6" s="39">
        <v>3</v>
      </c>
      <c r="G6" s="279" t="s">
        <v>589</v>
      </c>
      <c r="H6" s="278">
        <v>0.95</v>
      </c>
      <c r="J6" s="278" t="s">
        <v>32</v>
      </c>
      <c r="K6" s="73">
        <v>500</v>
      </c>
      <c r="L6" s="278">
        <v>1</v>
      </c>
      <c r="M6" s="278">
        <v>15</v>
      </c>
      <c r="N6" s="278" t="s">
        <v>590</v>
      </c>
      <c r="O6" s="278">
        <v>3</v>
      </c>
      <c r="P6" s="278">
        <v>2</v>
      </c>
    </row>
    <row r="7" spans="2:17" x14ac:dyDescent="0.2">
      <c r="C7" s="278" t="s">
        <v>6</v>
      </c>
      <c r="D7" s="278">
        <v>7000</v>
      </c>
      <c r="E7" s="278">
        <v>3</v>
      </c>
      <c r="F7" s="39">
        <v>1</v>
      </c>
      <c r="G7" s="279" t="s">
        <v>591</v>
      </c>
      <c r="H7" s="278">
        <f>H5*H6</f>
        <v>7.6</v>
      </c>
      <c r="J7" s="278" t="s">
        <v>34</v>
      </c>
      <c r="K7" s="73">
        <v>2000</v>
      </c>
      <c r="L7" s="278">
        <v>3</v>
      </c>
      <c r="M7" s="278">
        <v>10</v>
      </c>
      <c r="N7" s="278" t="s">
        <v>592</v>
      </c>
      <c r="O7" s="278">
        <v>3</v>
      </c>
      <c r="P7" s="278">
        <v>4</v>
      </c>
    </row>
    <row r="8" spans="2:17" x14ac:dyDescent="0.2">
      <c r="C8" s="278" t="s">
        <v>5</v>
      </c>
      <c r="D8" s="278">
        <v>3000</v>
      </c>
      <c r="E8" s="278">
        <v>2</v>
      </c>
      <c r="F8" s="39">
        <v>2</v>
      </c>
      <c r="G8" s="279" t="s">
        <v>593</v>
      </c>
      <c r="H8" s="278">
        <v>24</v>
      </c>
      <c r="J8" s="278" t="s">
        <v>33</v>
      </c>
      <c r="K8" s="73">
        <v>1500</v>
      </c>
      <c r="L8" s="278">
        <v>2</v>
      </c>
      <c r="M8" s="278">
        <v>10</v>
      </c>
      <c r="N8" s="278" t="s">
        <v>594</v>
      </c>
      <c r="O8" s="278">
        <v>4</v>
      </c>
      <c r="P8" s="278">
        <v>3</v>
      </c>
    </row>
    <row r="9" spans="2:17" x14ac:dyDescent="0.2">
      <c r="C9" s="278" t="s">
        <v>8</v>
      </c>
      <c r="D9" s="278">
        <v>2000</v>
      </c>
      <c r="E9" s="278">
        <v>4</v>
      </c>
      <c r="F9" s="39">
        <v>3</v>
      </c>
      <c r="G9" s="279" t="s">
        <v>469</v>
      </c>
      <c r="H9" s="347">
        <v>0.1</v>
      </c>
      <c r="J9" s="278" t="s">
        <v>42</v>
      </c>
      <c r="K9" s="73">
        <v>2500</v>
      </c>
      <c r="L9" s="278">
        <v>4</v>
      </c>
      <c r="M9" s="278">
        <v>20</v>
      </c>
      <c r="N9" s="278" t="s">
        <v>595</v>
      </c>
      <c r="O9" s="278">
        <v>5</v>
      </c>
      <c r="P9" s="278">
        <v>10</v>
      </c>
    </row>
    <row r="10" spans="2:17" x14ac:dyDescent="0.2">
      <c r="C10" s="278" t="s">
        <v>9</v>
      </c>
      <c r="D10" s="278">
        <f>SUMPRODUCT(D6:D9,E6:E9)</f>
        <v>45000</v>
      </c>
      <c r="G10" s="279" t="s">
        <v>596</v>
      </c>
      <c r="H10" s="278">
        <f>H7*H8*60</f>
        <v>10943.999999999998</v>
      </c>
      <c r="N10" s="278" t="s">
        <v>597</v>
      </c>
      <c r="O10" s="278">
        <v>2</v>
      </c>
    </row>
    <row r="11" spans="2:17" x14ac:dyDescent="0.2">
      <c r="C11" s="278" t="s">
        <v>11</v>
      </c>
      <c r="D11" s="278">
        <f>SUMPRODUCT(D6:D9,F6:F9)</f>
        <v>34000</v>
      </c>
      <c r="L11" s="300" t="s">
        <v>49</v>
      </c>
      <c r="M11" s="300"/>
      <c r="N11" s="335" t="s">
        <v>599</v>
      </c>
      <c r="O11" s="335"/>
      <c r="P11" s="335"/>
      <c r="Q11">
        <f>H7*H8*(1-H9)*60</f>
        <v>9849.6</v>
      </c>
    </row>
    <row r="12" spans="2:17" x14ac:dyDescent="0.2">
      <c r="L12" s="278" t="s">
        <v>32</v>
      </c>
      <c r="M12" s="31">
        <f>Q11/(D10+D11)</f>
        <v>0.12467848101265823</v>
      </c>
    </row>
    <row r="13" spans="2:17" x14ac:dyDescent="0.2">
      <c r="B13" s="3" t="s">
        <v>273</v>
      </c>
      <c r="C13" s="278" t="s">
        <v>600</v>
      </c>
      <c r="D13" s="278" t="s">
        <v>601</v>
      </c>
      <c r="L13" s="278" t="s">
        <v>34</v>
      </c>
      <c r="M13" s="31">
        <f>Q11/(D6+D7)</f>
        <v>0.82080000000000009</v>
      </c>
    </row>
    <row r="14" spans="2:17" x14ac:dyDescent="0.2">
      <c r="B14" s="278" t="s">
        <v>4</v>
      </c>
      <c r="C14" s="4">
        <f>D6/$H$8</f>
        <v>208.33333333333334</v>
      </c>
      <c r="D14" s="4">
        <f>C14/$H$7</f>
        <v>27.412280701754387</v>
      </c>
      <c r="L14" s="278" t="s">
        <v>33</v>
      </c>
      <c r="M14" s="31">
        <f>Q11/(D8+D9)</f>
        <v>1.9699200000000001</v>
      </c>
    </row>
    <row r="15" spans="2:17" x14ac:dyDescent="0.2">
      <c r="B15" s="278" t="s">
        <v>6</v>
      </c>
      <c r="C15" s="4">
        <f>D7/$H$8</f>
        <v>291.66666666666669</v>
      </c>
      <c r="D15" s="4">
        <f t="shared" ref="D15:D17" si="0">C15/$H$7</f>
        <v>38.377192982456144</v>
      </c>
      <c r="L15" s="278" t="s">
        <v>42</v>
      </c>
      <c r="M15" s="31">
        <f>Q11/(D6+D7+D8+D9)</f>
        <v>0.57938823529411765</v>
      </c>
    </row>
    <row r="16" spans="2:17" x14ac:dyDescent="0.2">
      <c r="B16" s="278" t="s">
        <v>5</v>
      </c>
      <c r="C16" s="4">
        <f>D8/$H$8</f>
        <v>125</v>
      </c>
      <c r="D16" s="4">
        <f t="shared" si="0"/>
        <v>16.447368421052634</v>
      </c>
      <c r="L16" s="300" t="s">
        <v>584</v>
      </c>
      <c r="M16" s="344"/>
      <c r="N16" s="278" t="s">
        <v>172</v>
      </c>
      <c r="O16" s="278" t="s">
        <v>602</v>
      </c>
    </row>
    <row r="17" spans="2:19" x14ac:dyDescent="0.2">
      <c r="B17" s="278" t="s">
        <v>8</v>
      </c>
      <c r="C17" s="4">
        <f>D9/$H$8</f>
        <v>83.333333333333329</v>
      </c>
      <c r="D17" s="4">
        <f t="shared" si="0"/>
        <v>10.964912280701753</v>
      </c>
      <c r="L17" s="278" t="s">
        <v>32</v>
      </c>
      <c r="M17" s="348">
        <f>ROUNDUP(L6/M12,0)</f>
        <v>9</v>
      </c>
      <c r="N17" s="73">
        <f>K6*M17</f>
        <v>4500</v>
      </c>
      <c r="O17" s="31">
        <f>L6/M17</f>
        <v>0.1111111111111111</v>
      </c>
    </row>
    <row r="18" spans="2:19" x14ac:dyDescent="0.2">
      <c r="L18" s="278" t="s">
        <v>34</v>
      </c>
      <c r="M18" s="348">
        <f t="shared" ref="M18:M20" si="1">ROUNDUP(L7/M13,0)</f>
        <v>4</v>
      </c>
      <c r="N18" s="73">
        <f t="shared" ref="N18:N20" si="2">K7*M18</f>
        <v>8000</v>
      </c>
      <c r="O18" s="31">
        <f t="shared" ref="O18:O20" si="3">L7/M18</f>
        <v>0.75</v>
      </c>
    </row>
    <row r="19" spans="2:19" x14ac:dyDescent="0.2">
      <c r="B19" s="300" t="s">
        <v>81</v>
      </c>
      <c r="C19" s="300"/>
      <c r="D19" s="300"/>
      <c r="L19" s="278" t="s">
        <v>33</v>
      </c>
      <c r="M19" s="348">
        <f t="shared" si="1"/>
        <v>2</v>
      </c>
      <c r="N19" s="73">
        <f t="shared" si="2"/>
        <v>3000</v>
      </c>
      <c r="O19" s="31">
        <f t="shared" si="3"/>
        <v>1</v>
      </c>
    </row>
    <row r="20" spans="2:19" x14ac:dyDescent="0.2">
      <c r="B20" s="278" t="s">
        <v>4</v>
      </c>
      <c r="C20" s="31">
        <f>($H$7*60)/C14</f>
        <v>2.1888000000000001</v>
      </c>
      <c r="D20" s="4">
        <f>ROUNDUP($C$23/C20,0)</f>
        <v>3</v>
      </c>
      <c r="L20" s="278" t="s">
        <v>42</v>
      </c>
      <c r="M20" s="348">
        <f t="shared" si="1"/>
        <v>7</v>
      </c>
      <c r="N20" s="73">
        <f t="shared" si="2"/>
        <v>17500</v>
      </c>
      <c r="O20" s="31">
        <f t="shared" si="3"/>
        <v>0.5714285714285714</v>
      </c>
    </row>
    <row r="21" spans="2:19" x14ac:dyDescent="0.2">
      <c r="B21" s="278" t="s">
        <v>6</v>
      </c>
      <c r="C21" s="31">
        <f>($H$7*60)/C15</f>
        <v>1.5634285714285714</v>
      </c>
      <c r="D21" s="4">
        <f t="shared" ref="D21:D23" si="4">ROUNDUP($C$23/C21,0)</f>
        <v>4</v>
      </c>
      <c r="N21" s="349">
        <f>SUM(N17:N20)</f>
        <v>33000</v>
      </c>
      <c r="O21" s="278"/>
    </row>
    <row r="22" spans="2:19" x14ac:dyDescent="0.2">
      <c r="B22" s="278" t="s">
        <v>5</v>
      </c>
      <c r="C22" s="31">
        <f>($H$7*60)/C16</f>
        <v>3.6480000000000001</v>
      </c>
      <c r="D22" s="4">
        <f t="shared" si="4"/>
        <v>2</v>
      </c>
    </row>
    <row r="23" spans="2:19" x14ac:dyDescent="0.2">
      <c r="B23" s="278" t="s">
        <v>8</v>
      </c>
      <c r="C23" s="31">
        <f>($H$7*60)/C17</f>
        <v>5.4720000000000004</v>
      </c>
      <c r="D23" s="4">
        <f t="shared" si="4"/>
        <v>1</v>
      </c>
    </row>
    <row r="24" spans="2:19" x14ac:dyDescent="0.2">
      <c r="B24" s="300" t="s">
        <v>604</v>
      </c>
      <c r="C24" s="300"/>
      <c r="D24" s="300"/>
    </row>
    <row r="26" spans="2:19" ht="34" customHeight="1" x14ac:dyDescent="0.2">
      <c r="C26" s="280" t="s">
        <v>605</v>
      </c>
      <c r="D26" s="322" t="s">
        <v>606</v>
      </c>
      <c r="E26" s="322"/>
      <c r="F26" s="62" t="s">
        <v>28</v>
      </c>
      <c r="G26" s="280" t="s">
        <v>607</v>
      </c>
      <c r="H26" s="322" t="s">
        <v>608</v>
      </c>
      <c r="I26" s="322"/>
      <c r="J26" s="322"/>
      <c r="K26" s="350" t="s">
        <v>609</v>
      </c>
      <c r="L26" s="350"/>
      <c r="M26" s="350"/>
      <c r="N26" s="350" t="s">
        <v>610</v>
      </c>
      <c r="O26" s="350"/>
      <c r="P26" s="350"/>
      <c r="Q26" s="351" t="s">
        <v>611</v>
      </c>
      <c r="R26" s="351"/>
      <c r="S26" s="351"/>
    </row>
    <row r="27" spans="2:19" x14ac:dyDescent="0.2">
      <c r="C27" s="4">
        <f>(D20*E6)+(D20*F6)</f>
        <v>15</v>
      </c>
      <c r="D27" s="278" t="s">
        <v>32</v>
      </c>
      <c r="E27" s="31">
        <f>(C31*O17)</f>
        <v>5.1111111111111107</v>
      </c>
      <c r="F27" s="62" t="s">
        <v>4</v>
      </c>
      <c r="G27" s="4">
        <f>D14/D20</f>
        <v>9.1374269005847957</v>
      </c>
      <c r="H27" s="279" t="s">
        <v>152</v>
      </c>
      <c r="I27" s="278">
        <f>P6</f>
        <v>2</v>
      </c>
      <c r="J27" s="3"/>
      <c r="K27" s="279" t="s">
        <v>152</v>
      </c>
      <c r="L27" s="278">
        <f>P7</f>
        <v>4</v>
      </c>
      <c r="M27" s="3"/>
      <c r="N27" s="279" t="s">
        <v>152</v>
      </c>
      <c r="O27" s="278">
        <f>P8</f>
        <v>3</v>
      </c>
      <c r="P27" s="3"/>
      <c r="Q27" s="279" t="s">
        <v>152</v>
      </c>
      <c r="R27" s="280">
        <f>P9</f>
        <v>10</v>
      </c>
      <c r="S27" s="278"/>
    </row>
    <row r="28" spans="2:19" x14ac:dyDescent="0.2">
      <c r="C28" s="4">
        <f>(D21*E7)+(D21*F7)</f>
        <v>16</v>
      </c>
      <c r="D28" s="278" t="s">
        <v>34</v>
      </c>
      <c r="E28" s="31">
        <f>(D20*O18)+(D21*O18)</f>
        <v>5.25</v>
      </c>
      <c r="F28" s="62" t="s">
        <v>6</v>
      </c>
      <c r="G28" s="4">
        <f>D15/D21</f>
        <v>9.594298245614036</v>
      </c>
      <c r="H28" s="279" t="s">
        <v>612</v>
      </c>
      <c r="I28" s="31">
        <f>MAX(G27:G30)*E27</f>
        <v>56.042884990253405</v>
      </c>
      <c r="J28" s="3"/>
      <c r="K28" s="279" t="s">
        <v>612</v>
      </c>
      <c r="L28" s="31">
        <f>MAX(G27:G28)*E28</f>
        <v>50.370065789473692</v>
      </c>
      <c r="M28" s="3"/>
      <c r="N28" s="279" t="s">
        <v>612</v>
      </c>
      <c r="O28" s="31">
        <f>MAX(G29:G30)*E29</f>
        <v>32.89473684210526</v>
      </c>
      <c r="P28" s="3"/>
      <c r="Q28" s="279" t="s">
        <v>612</v>
      </c>
      <c r="R28" s="31">
        <f>MAX(G27:G30)*E30</f>
        <v>62.656641604010012</v>
      </c>
      <c r="S28" s="278"/>
    </row>
    <row r="29" spans="2:19" x14ac:dyDescent="0.2">
      <c r="C29" s="4">
        <f>(D22*E8)+(D22*F8)</f>
        <v>8</v>
      </c>
      <c r="D29" s="278" t="s">
        <v>33</v>
      </c>
      <c r="E29" s="31">
        <f>(D22*O19)+(D23*O19)</f>
        <v>3</v>
      </c>
      <c r="F29" s="62" t="s">
        <v>5</v>
      </c>
      <c r="G29" s="4">
        <f>D16/D22</f>
        <v>8.2236842105263168</v>
      </c>
      <c r="H29" s="279" t="s">
        <v>613</v>
      </c>
      <c r="I29" s="278">
        <f>O6</f>
        <v>3</v>
      </c>
      <c r="J29" s="3"/>
      <c r="K29" s="279" t="s">
        <v>613</v>
      </c>
      <c r="L29" s="278">
        <f>O8</f>
        <v>4</v>
      </c>
      <c r="M29" s="3"/>
      <c r="N29" s="279" t="s">
        <v>613</v>
      </c>
      <c r="O29" s="31">
        <f>O9</f>
        <v>5</v>
      </c>
      <c r="P29" s="3"/>
      <c r="Q29" s="279" t="s">
        <v>613</v>
      </c>
      <c r="R29" s="278">
        <f>O10</f>
        <v>2</v>
      </c>
      <c r="S29" s="278"/>
    </row>
    <row r="30" spans="2:19" x14ac:dyDescent="0.2">
      <c r="C30" s="4">
        <f>(D23*E9)+(D23*F9)</f>
        <v>7</v>
      </c>
      <c r="D30" s="278" t="s">
        <v>42</v>
      </c>
      <c r="E30" s="31">
        <f>(D20*O20)+(D21*O20)+(D22*O20)+(D23*O20)</f>
        <v>5.7142857142857135</v>
      </c>
      <c r="F30" s="62" t="s">
        <v>8</v>
      </c>
      <c r="G30" s="4">
        <f>D17/D23</f>
        <v>10.964912280701753</v>
      </c>
      <c r="H30" s="279" t="s">
        <v>173</v>
      </c>
      <c r="I30" s="278">
        <f>M6</f>
        <v>15</v>
      </c>
      <c r="J30" s="3"/>
      <c r="K30" s="279" t="s">
        <v>173</v>
      </c>
      <c r="L30" s="278">
        <f>M7</f>
        <v>10</v>
      </c>
      <c r="M30" s="3"/>
      <c r="N30" s="279" t="s">
        <v>173</v>
      </c>
      <c r="O30" s="31">
        <f>M8</f>
        <v>10</v>
      </c>
      <c r="P30" s="3"/>
      <c r="Q30" s="279" t="s">
        <v>173</v>
      </c>
      <c r="R30" s="278">
        <f>M9</f>
        <v>20</v>
      </c>
      <c r="S30" s="278"/>
    </row>
    <row r="31" spans="2:19" x14ac:dyDescent="0.2">
      <c r="C31" s="4">
        <f>SUM(C27:C30)</f>
        <v>46</v>
      </c>
      <c r="D31" s="3"/>
      <c r="E31" s="3"/>
      <c r="F31" s="3"/>
      <c r="G31" s="3"/>
      <c r="H31" s="279" t="s">
        <v>614</v>
      </c>
      <c r="I31" s="31">
        <f>(I27+I28+I29)/I30</f>
        <v>4.0695256660168937</v>
      </c>
      <c r="J31" s="278">
        <f>ROUNDUP(I31,0)</f>
        <v>5</v>
      </c>
      <c r="K31" s="279" t="s">
        <v>614</v>
      </c>
      <c r="L31" s="31">
        <f>(L27+L28+L29)/L30</f>
        <v>5.8370065789473689</v>
      </c>
      <c r="M31" s="278">
        <f>ROUNDUP(L31,0)</f>
        <v>6</v>
      </c>
      <c r="N31" s="279" t="s">
        <v>614</v>
      </c>
      <c r="O31" s="31">
        <f>(O27+O28+O29)/O30</f>
        <v>4.0894736842105264</v>
      </c>
      <c r="P31" s="278">
        <f>ROUNDUP(O31,0)</f>
        <v>5</v>
      </c>
      <c r="Q31" s="279" t="s">
        <v>614</v>
      </c>
      <c r="R31" s="31">
        <f>(R27+R28+R29)/R30</f>
        <v>3.7328320802005011</v>
      </c>
      <c r="S31" s="278">
        <f>ROUNDUP(R31,0)</f>
        <v>4</v>
      </c>
    </row>
    <row r="33" spans="8:11" x14ac:dyDescent="0.2">
      <c r="H33" s="300" t="s">
        <v>603</v>
      </c>
      <c r="I33" s="300"/>
      <c r="J33" s="300"/>
      <c r="K33" s="300"/>
    </row>
    <row r="34" spans="8:11" x14ac:dyDescent="0.2">
      <c r="H34" s="3"/>
      <c r="I34" s="278" t="s">
        <v>587</v>
      </c>
      <c r="J34" s="278" t="s">
        <v>588</v>
      </c>
      <c r="K34" s="278" t="s">
        <v>26</v>
      </c>
    </row>
    <row r="35" spans="8:11" x14ac:dyDescent="0.2">
      <c r="H35" s="278" t="s">
        <v>32</v>
      </c>
      <c r="I35" s="278">
        <f>J31</f>
        <v>5</v>
      </c>
      <c r="J35" s="278">
        <v>0</v>
      </c>
      <c r="K35" s="278">
        <f>I35+J35</f>
        <v>5</v>
      </c>
    </row>
    <row r="36" spans="8:11" x14ac:dyDescent="0.2">
      <c r="H36" s="278" t="s">
        <v>34</v>
      </c>
      <c r="I36" s="278">
        <f>M31</f>
        <v>6</v>
      </c>
      <c r="J36" s="351">
        <v>5</v>
      </c>
      <c r="K36" s="352">
        <f>I36+I37+J36</f>
        <v>16</v>
      </c>
    </row>
    <row r="37" spans="8:11" x14ac:dyDescent="0.2">
      <c r="H37" s="278" t="s">
        <v>33</v>
      </c>
      <c r="I37" s="278">
        <f>P31</f>
        <v>5</v>
      </c>
      <c r="J37" s="351"/>
      <c r="K37" s="353"/>
    </row>
    <row r="38" spans="8:11" x14ac:dyDescent="0.2">
      <c r="H38" s="278" t="s">
        <v>42</v>
      </c>
      <c r="I38" s="278">
        <v>4</v>
      </c>
      <c r="J38" s="278">
        <f>I36+I37</f>
        <v>11</v>
      </c>
      <c r="K38" s="278">
        <f t="shared" ref="K38" si="5">I38+J38</f>
        <v>15</v>
      </c>
    </row>
    <row r="39" spans="8:11" x14ac:dyDescent="0.2">
      <c r="H39" s="344" t="s">
        <v>598</v>
      </c>
      <c r="I39" s="345"/>
      <c r="J39" s="346"/>
      <c r="K39" s="278">
        <f>K35+K36+K37+K38</f>
        <v>36</v>
      </c>
    </row>
  </sheetData>
  <mergeCells count="16">
    <mergeCell ref="H33:K33"/>
    <mergeCell ref="J36:J37"/>
    <mergeCell ref="K36:K37"/>
    <mergeCell ref="H39:J39"/>
    <mergeCell ref="B24:D24"/>
    <mergeCell ref="D26:E26"/>
    <mergeCell ref="H26:J26"/>
    <mergeCell ref="K26:M26"/>
    <mergeCell ref="N26:P26"/>
    <mergeCell ref="Q26:S26"/>
    <mergeCell ref="L11:M11"/>
    <mergeCell ref="N11:P11"/>
    <mergeCell ref="L16:M16"/>
    <mergeCell ref="B19:D19"/>
    <mergeCell ref="C5:D5"/>
    <mergeCell ref="N5:O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EBCA-5546-BA4B-BDE8-D36E6773067D}">
  <dimension ref="B2:Y39"/>
  <sheetViews>
    <sheetView zoomScaleNormal="100" workbookViewId="0">
      <selection activeCell="Q24" sqref="Q24"/>
    </sheetView>
  </sheetViews>
  <sheetFormatPr baseColWidth="10" defaultRowHeight="16" x14ac:dyDescent="0.2"/>
  <cols>
    <col min="1" max="1" width="3.5" style="355" customWidth="1"/>
    <col min="2" max="2" width="11.6640625" style="355" customWidth="1"/>
    <col min="3" max="3" width="10.6640625" style="355" customWidth="1"/>
    <col min="4" max="4" width="13" style="355" customWidth="1"/>
    <col min="5" max="5" width="10.83203125" style="355" customWidth="1"/>
    <col min="6" max="7" width="12" style="355" bestFit="1" customWidth="1"/>
    <col min="8" max="8" width="9" style="355" customWidth="1"/>
    <col min="9" max="9" width="11" style="355" customWidth="1"/>
    <col min="10" max="10" width="12.5" style="355" bestFit="1" customWidth="1"/>
    <col min="11" max="11" width="9" style="355" customWidth="1"/>
    <col min="12" max="13" width="12.5" style="355" bestFit="1" customWidth="1"/>
    <col min="14" max="15" width="10.83203125" style="355"/>
    <col min="16" max="16" width="7.6640625" style="355" customWidth="1"/>
    <col min="17" max="17" width="8.6640625" style="355" customWidth="1"/>
    <col min="18" max="18" width="6.83203125" style="355" customWidth="1"/>
    <col min="19" max="19" width="9.1640625" style="355" customWidth="1"/>
    <col min="20" max="20" width="7.33203125" style="355" customWidth="1"/>
    <col min="21" max="21" width="8.6640625" style="355" customWidth="1"/>
    <col min="22" max="22" width="6" style="355" customWidth="1"/>
    <col min="23" max="23" width="8.33203125" style="355" customWidth="1"/>
    <col min="24" max="24" width="5.83203125" style="355" customWidth="1"/>
    <col min="25" max="16384" width="10.83203125" style="355"/>
  </cols>
  <sheetData>
    <row r="2" spans="2:12" x14ac:dyDescent="0.2">
      <c r="B2" s="354" t="s">
        <v>615</v>
      </c>
      <c r="C2" s="354">
        <v>24</v>
      </c>
      <c r="D2" s="354" t="s">
        <v>616</v>
      </c>
      <c r="E2" s="354">
        <v>8</v>
      </c>
      <c r="F2" s="355">
        <f>E2*60</f>
        <v>480</v>
      </c>
      <c r="H2" s="356" t="s">
        <v>617</v>
      </c>
      <c r="I2" s="357" t="s">
        <v>618</v>
      </c>
      <c r="J2" s="357"/>
      <c r="K2" s="357"/>
      <c r="L2" s="357"/>
    </row>
    <row r="3" spans="2:12" x14ac:dyDescent="0.2">
      <c r="B3" s="354" t="s">
        <v>28</v>
      </c>
      <c r="C3" s="354" t="s">
        <v>619</v>
      </c>
      <c r="D3" s="354" t="s">
        <v>151</v>
      </c>
      <c r="E3" s="354" t="s">
        <v>620</v>
      </c>
      <c r="F3" s="358">
        <v>5</v>
      </c>
      <c r="H3" s="356"/>
      <c r="I3" s="356" t="s">
        <v>621</v>
      </c>
      <c r="J3" s="356" t="s">
        <v>9</v>
      </c>
      <c r="K3" s="356" t="s">
        <v>11</v>
      </c>
      <c r="L3" s="356" t="s">
        <v>23</v>
      </c>
    </row>
    <row r="4" spans="2:12" x14ac:dyDescent="0.2">
      <c r="B4" s="354" t="s">
        <v>621</v>
      </c>
      <c r="C4" s="354">
        <v>750</v>
      </c>
      <c r="D4" s="359">
        <f>C4/$C$2</f>
        <v>31.25</v>
      </c>
      <c r="H4" s="356" t="s">
        <v>4</v>
      </c>
      <c r="I4" s="356">
        <v>1</v>
      </c>
      <c r="J4" s="356">
        <v>0</v>
      </c>
      <c r="K4" s="356">
        <v>5</v>
      </c>
      <c r="L4" s="356">
        <v>0</v>
      </c>
    </row>
    <row r="5" spans="2:12" x14ac:dyDescent="0.2">
      <c r="B5" s="354" t="s">
        <v>9</v>
      </c>
      <c r="C5" s="354">
        <v>1500</v>
      </c>
      <c r="D5" s="359">
        <f t="shared" ref="D5:D7" si="0">C5/$C$2</f>
        <v>62.5</v>
      </c>
      <c r="H5" s="356" t="s">
        <v>6</v>
      </c>
      <c r="I5" s="356">
        <v>1</v>
      </c>
      <c r="J5" s="356">
        <v>2</v>
      </c>
      <c r="K5" s="356">
        <v>0</v>
      </c>
      <c r="L5" s="356">
        <v>3</v>
      </c>
    </row>
    <row r="6" spans="2:12" x14ac:dyDescent="0.2">
      <c r="B6" s="354" t="s">
        <v>11</v>
      </c>
      <c r="C6" s="354">
        <v>4500</v>
      </c>
      <c r="D6" s="359">
        <f t="shared" si="0"/>
        <v>187.5</v>
      </c>
      <c r="H6" s="356" t="s">
        <v>5</v>
      </c>
      <c r="I6" s="356">
        <v>0</v>
      </c>
      <c r="J6" s="356">
        <v>1</v>
      </c>
      <c r="K6" s="356">
        <v>4</v>
      </c>
      <c r="L6" s="356">
        <v>3</v>
      </c>
    </row>
    <row r="7" spans="2:12" x14ac:dyDescent="0.2">
      <c r="B7" s="354" t="s">
        <v>23</v>
      </c>
      <c r="C7" s="354">
        <v>3000</v>
      </c>
      <c r="D7" s="359">
        <f t="shared" si="0"/>
        <v>125</v>
      </c>
      <c r="H7" s="356" t="s">
        <v>8</v>
      </c>
      <c r="I7" s="356">
        <v>0</v>
      </c>
      <c r="J7" s="356">
        <v>2</v>
      </c>
      <c r="K7" s="356">
        <v>10</v>
      </c>
      <c r="L7" s="356">
        <v>7</v>
      </c>
    </row>
    <row r="8" spans="2:12" x14ac:dyDescent="0.2">
      <c r="H8" s="356" t="s">
        <v>18</v>
      </c>
      <c r="I8" s="356">
        <v>0</v>
      </c>
      <c r="J8" s="356">
        <v>0</v>
      </c>
      <c r="K8" s="356">
        <v>8</v>
      </c>
      <c r="L8" s="356">
        <v>4</v>
      </c>
    </row>
    <row r="9" spans="2:12" x14ac:dyDescent="0.2">
      <c r="B9" s="360" t="s">
        <v>622</v>
      </c>
      <c r="C9" s="360"/>
      <c r="D9" s="354" t="s">
        <v>81</v>
      </c>
      <c r="E9" s="361" t="s">
        <v>623</v>
      </c>
      <c r="F9" s="361"/>
      <c r="I9" s="354">
        <f>SUM(I4:I8)</f>
        <v>2</v>
      </c>
      <c r="J9" s="354">
        <f t="shared" ref="J9:L9" si="1">SUM(J4:J8)</f>
        <v>5</v>
      </c>
      <c r="K9" s="354">
        <f t="shared" si="1"/>
        <v>27</v>
      </c>
      <c r="L9" s="354">
        <f t="shared" si="1"/>
        <v>17</v>
      </c>
    </row>
    <row r="10" spans="2:12" x14ac:dyDescent="0.2">
      <c r="B10" s="354" t="s">
        <v>621</v>
      </c>
      <c r="C10" s="355">
        <f>$F$2/D4</f>
        <v>15.36</v>
      </c>
      <c r="D10" s="354">
        <f>$C$10/C10</f>
        <v>1</v>
      </c>
    </row>
    <row r="11" spans="2:12" x14ac:dyDescent="0.2">
      <c r="B11" s="354" t="s">
        <v>9</v>
      </c>
      <c r="C11" s="355">
        <f t="shared" ref="C11:C13" si="2">$F$2/D5</f>
        <v>7.68</v>
      </c>
      <c r="D11" s="354">
        <f t="shared" ref="D11:D13" si="3">$C$10/C11</f>
        <v>2</v>
      </c>
      <c r="H11" s="354" t="s">
        <v>618</v>
      </c>
      <c r="J11" s="354" t="s">
        <v>624</v>
      </c>
    </row>
    <row r="12" spans="2:12" x14ac:dyDescent="0.2">
      <c r="B12" s="354" t="s">
        <v>11</v>
      </c>
      <c r="C12" s="355">
        <f t="shared" si="2"/>
        <v>2.56</v>
      </c>
      <c r="D12" s="354">
        <f t="shared" si="3"/>
        <v>6</v>
      </c>
      <c r="H12" s="354" t="s">
        <v>4</v>
      </c>
      <c r="I12" s="362" t="s">
        <v>625</v>
      </c>
      <c r="J12" s="363">
        <v>0.37152777777777773</v>
      </c>
    </row>
    <row r="13" spans="2:12" x14ac:dyDescent="0.2">
      <c r="B13" s="354" t="s">
        <v>23</v>
      </c>
      <c r="C13" s="355">
        <f t="shared" si="2"/>
        <v>3.84</v>
      </c>
      <c r="D13" s="354">
        <f t="shared" si="3"/>
        <v>4</v>
      </c>
      <c r="H13" s="354" t="s">
        <v>6</v>
      </c>
      <c r="I13" s="362" t="s">
        <v>626</v>
      </c>
      <c r="J13" s="363">
        <v>0.3923611111111111</v>
      </c>
    </row>
    <row r="14" spans="2:12" x14ac:dyDescent="0.2">
      <c r="D14" s="364"/>
      <c r="H14" s="354" t="s">
        <v>5</v>
      </c>
      <c r="I14" s="362" t="s">
        <v>627</v>
      </c>
      <c r="J14" s="363">
        <v>0.3923611111111111</v>
      </c>
    </row>
    <row r="15" spans="2:12" x14ac:dyDescent="0.2">
      <c r="B15" s="354" t="s">
        <v>628</v>
      </c>
      <c r="C15" s="354" t="s">
        <v>629</v>
      </c>
      <c r="D15" s="354" t="s">
        <v>630</v>
      </c>
      <c r="E15" s="354" t="s">
        <v>631</v>
      </c>
      <c r="F15" s="354"/>
      <c r="H15" s="354" t="s">
        <v>8</v>
      </c>
      <c r="I15" s="362" t="s">
        <v>632</v>
      </c>
      <c r="J15" s="363">
        <v>0.49305555555555558</v>
      </c>
    </row>
    <row r="16" spans="2:12" x14ac:dyDescent="0.2">
      <c r="B16" s="354" t="s">
        <v>621</v>
      </c>
      <c r="C16" s="354">
        <f>D10</f>
        <v>1</v>
      </c>
      <c r="D16" s="354">
        <f>I9</f>
        <v>2</v>
      </c>
      <c r="E16" s="359">
        <f>D16/C16</f>
        <v>2</v>
      </c>
      <c r="F16" s="354"/>
      <c r="H16" s="354" t="s">
        <v>18</v>
      </c>
      <c r="I16" s="362" t="s">
        <v>633</v>
      </c>
      <c r="J16" s="363">
        <v>0.41319444444444442</v>
      </c>
    </row>
    <row r="17" spans="2:25" x14ac:dyDescent="0.2">
      <c r="B17" s="354" t="s">
        <v>9</v>
      </c>
      <c r="C17" s="354">
        <f t="shared" ref="C17:C19" si="4">D11</f>
        <v>2</v>
      </c>
      <c r="D17" s="354">
        <f>J9</f>
        <v>5</v>
      </c>
      <c r="E17" s="359">
        <f t="shared" ref="E17:E19" si="5">D17/C17</f>
        <v>2.5</v>
      </c>
      <c r="F17" s="354"/>
      <c r="H17" s="362" t="s">
        <v>634</v>
      </c>
      <c r="J17" s="358">
        <f>Y26</f>
        <v>70</v>
      </c>
    </row>
    <row r="18" spans="2:25" x14ac:dyDescent="0.2">
      <c r="B18" s="354" t="s">
        <v>11</v>
      </c>
      <c r="C18" s="354">
        <f t="shared" si="4"/>
        <v>6</v>
      </c>
      <c r="D18" s="354">
        <f>K9</f>
        <v>27</v>
      </c>
      <c r="E18" s="359">
        <f t="shared" si="5"/>
        <v>4.5</v>
      </c>
      <c r="F18" s="354"/>
    </row>
    <row r="19" spans="2:25" x14ac:dyDescent="0.2">
      <c r="B19" s="354" t="s">
        <v>23</v>
      </c>
      <c r="C19" s="354">
        <f t="shared" si="4"/>
        <v>4</v>
      </c>
      <c r="D19" s="354">
        <f>L9</f>
        <v>17</v>
      </c>
      <c r="E19" s="359">
        <f t="shared" si="5"/>
        <v>4.25</v>
      </c>
      <c r="F19" s="354"/>
    </row>
    <row r="20" spans="2:25" x14ac:dyDescent="0.2">
      <c r="O20" s="365"/>
      <c r="P20" s="366">
        <v>0.37152777777777773</v>
      </c>
      <c r="Q20" s="357"/>
      <c r="R20" s="366">
        <v>0.3923611111111111</v>
      </c>
      <c r="S20" s="357"/>
      <c r="T20" s="366">
        <v>0.41319444444444442</v>
      </c>
      <c r="U20" s="357"/>
      <c r="V20" s="366">
        <v>0.4513888888888889</v>
      </c>
      <c r="W20" s="357"/>
      <c r="X20" s="366">
        <v>0.49305555555555558</v>
      </c>
      <c r="Y20" s="357"/>
    </row>
    <row r="21" spans="2:25" x14ac:dyDescent="0.2">
      <c r="B21" s="354" t="s">
        <v>152</v>
      </c>
      <c r="C21" s="354" t="s">
        <v>635</v>
      </c>
      <c r="H21" s="360" t="s">
        <v>636</v>
      </c>
      <c r="I21" s="360"/>
      <c r="J21" s="354"/>
      <c r="K21" s="354"/>
      <c r="L21" s="354"/>
      <c r="M21" s="360" t="s">
        <v>637</v>
      </c>
      <c r="N21" s="360"/>
      <c r="O21" s="356" t="s">
        <v>638</v>
      </c>
      <c r="P21" s="367" t="s">
        <v>639</v>
      </c>
      <c r="Q21" s="367" t="s">
        <v>640</v>
      </c>
      <c r="R21" s="367" t="s">
        <v>639</v>
      </c>
      <c r="S21" s="356" t="s">
        <v>640</v>
      </c>
      <c r="T21" s="356" t="s">
        <v>639</v>
      </c>
      <c r="U21" s="367" t="s">
        <v>640</v>
      </c>
      <c r="V21" s="356" t="s">
        <v>639</v>
      </c>
      <c r="W21" s="367" t="s">
        <v>640</v>
      </c>
      <c r="X21" s="356" t="s">
        <v>639</v>
      </c>
      <c r="Y21" s="367" t="s">
        <v>640</v>
      </c>
    </row>
    <row r="22" spans="2:25" x14ac:dyDescent="0.2">
      <c r="H22" s="354" t="s">
        <v>641</v>
      </c>
      <c r="I22" s="354" t="s">
        <v>642</v>
      </c>
      <c r="J22" s="354" t="s">
        <v>643</v>
      </c>
      <c r="K22" s="354"/>
      <c r="L22" s="354" t="s">
        <v>643</v>
      </c>
      <c r="M22" s="354" t="s">
        <v>641</v>
      </c>
      <c r="N22" s="354" t="s">
        <v>642</v>
      </c>
      <c r="O22" s="356" t="s">
        <v>621</v>
      </c>
      <c r="P22" s="356">
        <v>1</v>
      </c>
      <c r="Q22" s="356">
        <f>P22-1</f>
        <v>0</v>
      </c>
      <c r="R22" s="356">
        <f>Q22+C24</f>
        <v>1</v>
      </c>
      <c r="S22" s="356">
        <f>R22-1-0</f>
        <v>0</v>
      </c>
      <c r="T22" s="356">
        <f>S22+C24</f>
        <v>1</v>
      </c>
      <c r="U22" s="356">
        <f>T22-0</f>
        <v>1</v>
      </c>
      <c r="V22" s="356">
        <f>U22+C24</f>
        <v>2</v>
      </c>
      <c r="W22" s="356">
        <f>V22-0</f>
        <v>2</v>
      </c>
      <c r="X22" s="356">
        <f>W22+C24</f>
        <v>3</v>
      </c>
      <c r="Y22" s="356">
        <f>X22-0</f>
        <v>3</v>
      </c>
    </row>
    <row r="23" spans="2:25" x14ac:dyDescent="0.2">
      <c r="B23" s="368" t="s">
        <v>644</v>
      </c>
      <c r="C23" s="354" t="s">
        <v>629</v>
      </c>
      <c r="D23" s="354" t="s">
        <v>645</v>
      </c>
      <c r="F23" s="369">
        <v>0.33333333333333331</v>
      </c>
      <c r="G23" s="354" t="s">
        <v>646</v>
      </c>
      <c r="H23" s="354" t="s">
        <v>7</v>
      </c>
      <c r="I23" s="354" t="s">
        <v>7</v>
      </c>
      <c r="J23" s="354" t="s">
        <v>647</v>
      </c>
      <c r="K23" s="354"/>
      <c r="L23" s="354" t="s">
        <v>648</v>
      </c>
      <c r="M23" s="363">
        <v>0.35416666666666669</v>
      </c>
      <c r="N23" s="363">
        <v>0.37152777777777773</v>
      </c>
      <c r="O23" s="356" t="s">
        <v>9</v>
      </c>
      <c r="P23" s="356">
        <v>2</v>
      </c>
      <c r="Q23" s="356">
        <f>P23</f>
        <v>2</v>
      </c>
      <c r="R23" s="356">
        <f t="shared" ref="R23:R25" si="6">Q23+C25</f>
        <v>4</v>
      </c>
      <c r="S23" s="356">
        <f>R23-2-1</f>
        <v>1</v>
      </c>
      <c r="T23" s="356">
        <f t="shared" ref="T23:T25" si="7">S23+C25</f>
        <v>3</v>
      </c>
      <c r="U23" s="356">
        <f>T23-0</f>
        <v>3</v>
      </c>
      <c r="V23" s="356">
        <f t="shared" ref="V23:V25" si="8">U23+C25</f>
        <v>5</v>
      </c>
      <c r="W23" s="356">
        <f>V23-0</f>
        <v>5</v>
      </c>
      <c r="X23" s="356">
        <f t="shared" ref="X23:X25" si="9">W23+C25</f>
        <v>7</v>
      </c>
      <c r="Y23" s="356">
        <f>X23-2</f>
        <v>5</v>
      </c>
    </row>
    <row r="24" spans="2:25" x14ac:dyDescent="0.2">
      <c r="B24" s="368" t="s">
        <v>621</v>
      </c>
      <c r="C24" s="354">
        <f>D10</f>
        <v>1</v>
      </c>
      <c r="D24" s="370">
        <v>2.5</v>
      </c>
      <c r="E24" s="354"/>
      <c r="F24" s="363">
        <v>0.35416666666666669</v>
      </c>
      <c r="G24" s="354" t="s">
        <v>649</v>
      </c>
      <c r="H24" s="363">
        <f>F24</f>
        <v>0.35416666666666669</v>
      </c>
      <c r="I24" s="363">
        <v>0.37152777777777773</v>
      </c>
      <c r="J24" s="354" t="s">
        <v>650</v>
      </c>
      <c r="K24" s="354"/>
      <c r="L24" s="354" t="s">
        <v>651</v>
      </c>
      <c r="M24" s="363">
        <v>0.375</v>
      </c>
      <c r="N24" s="363">
        <v>0.3923611111111111</v>
      </c>
      <c r="O24" s="356" t="s">
        <v>11</v>
      </c>
      <c r="P24" s="356">
        <v>6</v>
      </c>
      <c r="Q24" s="356">
        <f>P24-5</f>
        <v>1</v>
      </c>
      <c r="R24" s="356">
        <f t="shared" si="6"/>
        <v>7</v>
      </c>
      <c r="S24" s="356">
        <f>R24-0-4</f>
        <v>3</v>
      </c>
      <c r="T24" s="356">
        <f t="shared" si="7"/>
        <v>9</v>
      </c>
      <c r="U24" s="356">
        <f>T24-8</f>
        <v>1</v>
      </c>
      <c r="V24" s="356">
        <f t="shared" si="8"/>
        <v>7</v>
      </c>
      <c r="W24" s="356">
        <f>V24-0</f>
        <v>7</v>
      </c>
      <c r="X24" s="356">
        <f t="shared" si="9"/>
        <v>13</v>
      </c>
      <c r="Y24" s="356">
        <f>X24-10</f>
        <v>3</v>
      </c>
    </row>
    <row r="25" spans="2:25" x14ac:dyDescent="0.2">
      <c r="B25" s="368" t="s">
        <v>9</v>
      </c>
      <c r="C25" s="354">
        <f t="shared" ref="C25:C27" si="10">D11</f>
        <v>2</v>
      </c>
      <c r="D25" s="370">
        <v>1.95</v>
      </c>
      <c r="E25" s="354"/>
      <c r="F25" s="363">
        <v>0.375</v>
      </c>
      <c r="G25" s="354" t="s">
        <v>649</v>
      </c>
      <c r="H25" s="363">
        <f>F25</f>
        <v>0.375</v>
      </c>
      <c r="I25" s="363">
        <v>0.3923611111111111</v>
      </c>
      <c r="J25" s="354" t="s">
        <v>650</v>
      </c>
      <c r="K25" s="354"/>
      <c r="L25" s="354" t="s">
        <v>651</v>
      </c>
      <c r="M25" s="363">
        <v>0.39583333333333331</v>
      </c>
      <c r="N25" s="363">
        <v>0.41319444444444442</v>
      </c>
      <c r="O25" s="356" t="s">
        <v>23</v>
      </c>
      <c r="P25" s="356">
        <v>4</v>
      </c>
      <c r="Q25" s="356">
        <f>P25</f>
        <v>4</v>
      </c>
      <c r="R25" s="356">
        <f t="shared" si="6"/>
        <v>8</v>
      </c>
      <c r="S25" s="356">
        <f>R25-3-3</f>
        <v>2</v>
      </c>
      <c r="T25" s="356">
        <f t="shared" si="7"/>
        <v>6</v>
      </c>
      <c r="U25" s="356">
        <f>T25-4</f>
        <v>2</v>
      </c>
      <c r="V25" s="356">
        <f t="shared" si="8"/>
        <v>6</v>
      </c>
      <c r="W25" s="356">
        <f>V25-0</f>
        <v>6</v>
      </c>
      <c r="X25" s="356">
        <f t="shared" si="9"/>
        <v>10</v>
      </c>
      <c r="Y25" s="356">
        <f>X25-7</f>
        <v>3</v>
      </c>
    </row>
    <row r="26" spans="2:25" x14ac:dyDescent="0.2">
      <c r="B26" s="368" t="s">
        <v>11</v>
      </c>
      <c r="C26" s="354">
        <f t="shared" si="10"/>
        <v>6</v>
      </c>
      <c r="D26" s="370">
        <v>2.1</v>
      </c>
      <c r="E26" s="354"/>
      <c r="F26" s="363">
        <v>0.41319444444444442</v>
      </c>
      <c r="G26" s="354" t="s">
        <v>649</v>
      </c>
      <c r="H26" s="363">
        <f>F26</f>
        <v>0.41319444444444442</v>
      </c>
      <c r="I26" s="363">
        <v>0.43055555555555558</v>
      </c>
      <c r="J26" s="354" t="str">
        <f>J25</f>
        <v>Listo</v>
      </c>
      <c r="K26" s="354"/>
      <c r="L26" s="354" t="str">
        <f>L25</f>
        <v>llega</v>
      </c>
      <c r="M26" s="363">
        <v>0.43402777777777773</v>
      </c>
      <c r="N26" s="363">
        <v>0.4513888888888889</v>
      </c>
      <c r="O26" s="354"/>
      <c r="P26" s="354"/>
      <c r="Q26" s="354"/>
      <c r="R26" s="354"/>
      <c r="S26" s="354"/>
      <c r="T26" s="354"/>
      <c r="U26" s="354"/>
      <c r="V26" s="354"/>
      <c r="W26" s="354"/>
      <c r="X26" s="354" t="s">
        <v>620</v>
      </c>
      <c r="Y26" s="371">
        <f>(Y22+Y23+Y24+Y25)*F3</f>
        <v>70</v>
      </c>
    </row>
    <row r="27" spans="2:25" x14ac:dyDescent="0.2">
      <c r="B27" s="368" t="s">
        <v>23</v>
      </c>
      <c r="C27" s="354">
        <f t="shared" si="10"/>
        <v>4</v>
      </c>
      <c r="D27" s="370">
        <v>1.5</v>
      </c>
      <c r="E27" s="354"/>
      <c r="F27" s="363">
        <f>N26</f>
        <v>0.4513888888888889</v>
      </c>
      <c r="G27" s="354" t="s">
        <v>649</v>
      </c>
      <c r="H27" s="363">
        <f>F27</f>
        <v>0.4513888888888889</v>
      </c>
      <c r="I27" s="363">
        <v>0.46875</v>
      </c>
      <c r="J27" s="354" t="str">
        <f>J26</f>
        <v>Listo</v>
      </c>
      <c r="K27" s="354"/>
      <c r="L27" s="354" t="str">
        <f>L26</f>
        <v>llega</v>
      </c>
      <c r="M27" s="363">
        <v>0.47222222222222227</v>
      </c>
      <c r="N27" s="363">
        <v>0.48958333333333331</v>
      </c>
      <c r="O27" s="354"/>
      <c r="U27" s="354"/>
      <c r="V27" s="354"/>
      <c r="W27" s="354"/>
    </row>
    <row r="28" spans="2:25" x14ac:dyDescent="0.2">
      <c r="B28" s="370">
        <f>SUMPRODUCT(C24:C27,D24:D27)</f>
        <v>25</v>
      </c>
      <c r="C28" s="372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</row>
    <row r="29" spans="2:25" x14ac:dyDescent="0.2">
      <c r="E29" s="354"/>
      <c r="F29" s="354"/>
      <c r="G29" s="354"/>
      <c r="H29" s="354">
        <v>0</v>
      </c>
      <c r="I29" s="354">
        <f>H29+(25/60)</f>
        <v>0.41666666666666669</v>
      </c>
      <c r="J29" s="354"/>
      <c r="K29" s="354"/>
      <c r="L29" s="354"/>
      <c r="M29" s="354"/>
      <c r="N29" s="354"/>
      <c r="O29" s="354"/>
    </row>
    <row r="30" spans="2:25" x14ac:dyDescent="0.2"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</row>
    <row r="31" spans="2:25" x14ac:dyDescent="0.2"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</row>
    <row r="32" spans="2:25" x14ac:dyDescent="0.2"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</row>
    <row r="33" spans="6:15" x14ac:dyDescent="0.2">
      <c r="F33" s="354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6:15" x14ac:dyDescent="0.2">
      <c r="F34" s="354"/>
      <c r="G34" s="354"/>
      <c r="H34" s="354"/>
      <c r="I34" s="354"/>
      <c r="J34" s="354"/>
      <c r="K34" s="354"/>
      <c r="L34" s="354"/>
      <c r="M34" s="354"/>
      <c r="N34" s="354"/>
      <c r="O34" s="354"/>
    </row>
    <row r="35" spans="6:15" x14ac:dyDescent="0.2">
      <c r="F35" s="354"/>
      <c r="G35" s="354"/>
      <c r="H35" s="354"/>
      <c r="I35" s="354"/>
      <c r="J35" s="354"/>
      <c r="K35" s="354"/>
      <c r="L35" s="354"/>
      <c r="M35" s="354"/>
      <c r="N35" s="354"/>
      <c r="O35" s="354"/>
    </row>
    <row r="36" spans="6:15" x14ac:dyDescent="0.2">
      <c r="F36" s="354"/>
      <c r="G36" s="354"/>
      <c r="H36" s="354"/>
      <c r="I36" s="354"/>
      <c r="J36" s="354"/>
      <c r="K36" s="354"/>
      <c r="L36" s="354"/>
      <c r="M36" s="354"/>
      <c r="N36" s="354"/>
      <c r="O36" s="354"/>
    </row>
    <row r="37" spans="6:15" x14ac:dyDescent="0.2">
      <c r="F37" s="354"/>
      <c r="G37" s="354"/>
      <c r="H37" s="354"/>
      <c r="I37" s="354"/>
      <c r="J37" s="354"/>
      <c r="K37" s="354"/>
      <c r="L37" s="354"/>
      <c r="M37" s="354"/>
      <c r="N37" s="354"/>
      <c r="O37" s="354"/>
    </row>
    <row r="38" spans="6:15" x14ac:dyDescent="0.2">
      <c r="F38" s="354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6:15" x14ac:dyDescent="0.2">
      <c r="F39" s="354"/>
      <c r="G39" s="354"/>
      <c r="H39" s="354"/>
      <c r="I39" s="354"/>
      <c r="J39" s="354"/>
      <c r="K39" s="354"/>
      <c r="L39" s="354"/>
      <c r="M39" s="354"/>
      <c r="N39" s="354"/>
      <c r="O39" s="354"/>
    </row>
  </sheetData>
  <mergeCells count="10">
    <mergeCell ref="V20:W20"/>
    <mergeCell ref="X20:Y20"/>
    <mergeCell ref="H21:I21"/>
    <mergeCell ref="M21:N21"/>
    <mergeCell ref="I2:L2"/>
    <mergeCell ref="B9:C9"/>
    <mergeCell ref="E9:F9"/>
    <mergeCell ref="P20:Q20"/>
    <mergeCell ref="R20:S20"/>
    <mergeCell ref="T20:U20"/>
  </mergeCells>
  <pageMargins left="0.7" right="0.7" top="0.75" bottom="0.75" header="0.3" footer="0.3"/>
  <ignoredErrors>
    <ignoredError sqref="V22:V23 X22 Q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M32"/>
  <sheetViews>
    <sheetView workbookViewId="0">
      <selection activeCell="L34" sqref="L34"/>
    </sheetView>
  </sheetViews>
  <sheetFormatPr baseColWidth="10" defaultRowHeight="16" x14ac:dyDescent="0.2"/>
  <cols>
    <col min="1" max="1" width="3.83203125" customWidth="1"/>
    <col min="4" max="4" width="12.33203125" bestFit="1" customWidth="1"/>
    <col min="10" max="10" width="13.83203125" bestFit="1" customWidth="1"/>
  </cols>
  <sheetData>
    <row r="2" spans="2:13" x14ac:dyDescent="0.2">
      <c r="B2" t="s">
        <v>273</v>
      </c>
      <c r="C2" s="36">
        <v>800</v>
      </c>
      <c r="D2" s="36">
        <v>400</v>
      </c>
      <c r="E2" s="36">
        <v>200</v>
      </c>
    </row>
    <row r="3" spans="2:13" x14ac:dyDescent="0.2">
      <c r="B3" t="s">
        <v>31</v>
      </c>
      <c r="C3" s="36" t="s">
        <v>4</v>
      </c>
      <c r="D3" s="36" t="s">
        <v>6</v>
      </c>
      <c r="E3" s="36" t="s">
        <v>5</v>
      </c>
      <c r="F3" s="36" t="s">
        <v>27</v>
      </c>
      <c r="G3" s="36" t="s">
        <v>274</v>
      </c>
      <c r="H3" s="36" t="s">
        <v>207</v>
      </c>
      <c r="K3" s="36" t="s">
        <v>4</v>
      </c>
      <c r="L3" s="36" t="s">
        <v>6</v>
      </c>
      <c r="M3" s="36" t="s">
        <v>5</v>
      </c>
    </row>
    <row r="4" spans="2:13" x14ac:dyDescent="0.2">
      <c r="B4" t="s">
        <v>32</v>
      </c>
      <c r="C4" s="36">
        <v>15</v>
      </c>
      <c r="D4" s="36">
        <v>0</v>
      </c>
      <c r="E4" s="36">
        <v>10</v>
      </c>
      <c r="F4" s="36">
        <f>SUMPRODUCT($C$2:$E$2,C4:E4)</f>
        <v>14000</v>
      </c>
      <c r="G4" s="36">
        <f>(115*60)-(2*60)</f>
        <v>6780</v>
      </c>
      <c r="H4" s="14">
        <f>F4/G4</f>
        <v>2.0648967551622417</v>
      </c>
      <c r="J4" t="s">
        <v>275</v>
      </c>
      <c r="K4">
        <v>750</v>
      </c>
      <c r="L4">
        <v>450</v>
      </c>
      <c r="M4">
        <v>900</v>
      </c>
    </row>
    <row r="5" spans="2:13" x14ac:dyDescent="0.2">
      <c r="B5" t="s">
        <v>34</v>
      </c>
      <c r="C5" s="36">
        <v>10</v>
      </c>
      <c r="D5" s="36">
        <v>0</v>
      </c>
      <c r="E5" s="36">
        <v>5</v>
      </c>
      <c r="F5" s="36">
        <f t="shared" ref="F5:F12" si="0">SUMPRODUCT($C$2:$E$2,C5:E5)</f>
        <v>9000</v>
      </c>
      <c r="G5" s="36">
        <f t="shared" ref="G5:G12" si="1">(115*60)</f>
        <v>6900</v>
      </c>
      <c r="H5" s="14">
        <f t="shared" ref="H5:H12" si="2">F5/G5</f>
        <v>1.3043478260869565</v>
      </c>
      <c r="J5" t="s">
        <v>15</v>
      </c>
      <c r="K5">
        <f>50+50+150</f>
        <v>250</v>
      </c>
      <c r="L5">
        <f>50+50+150</f>
        <v>250</v>
      </c>
      <c r="M5">
        <f>50+100+150</f>
        <v>300</v>
      </c>
    </row>
    <row r="6" spans="2:13" x14ac:dyDescent="0.2">
      <c r="B6" t="s">
        <v>33</v>
      </c>
      <c r="C6" s="36">
        <v>10</v>
      </c>
      <c r="D6" s="36">
        <v>10</v>
      </c>
      <c r="E6" s="36">
        <v>10</v>
      </c>
      <c r="F6" s="36">
        <f t="shared" si="0"/>
        <v>14000</v>
      </c>
      <c r="G6" s="36">
        <f>(115*60)-(2*60)</f>
        <v>6780</v>
      </c>
      <c r="H6" s="14">
        <f t="shared" si="2"/>
        <v>2.0648967551622417</v>
      </c>
      <c r="J6" t="s">
        <v>276</v>
      </c>
      <c r="K6">
        <f>K4-K5</f>
        <v>500</v>
      </c>
      <c r="L6">
        <f t="shared" ref="L6:M6" si="3">L4-L5</f>
        <v>200</v>
      </c>
      <c r="M6">
        <f t="shared" si="3"/>
        <v>600</v>
      </c>
    </row>
    <row r="7" spans="2:13" x14ac:dyDescent="0.2">
      <c r="B7" t="s">
        <v>42</v>
      </c>
      <c r="C7" s="36">
        <v>5</v>
      </c>
      <c r="D7" s="36">
        <v>6</v>
      </c>
      <c r="E7" s="36">
        <v>5</v>
      </c>
      <c r="F7" s="36">
        <f t="shared" si="0"/>
        <v>7400</v>
      </c>
      <c r="G7" s="36">
        <f t="shared" si="1"/>
        <v>6900</v>
      </c>
      <c r="H7" s="14">
        <f t="shared" si="2"/>
        <v>1.0724637681159421</v>
      </c>
      <c r="J7" t="s">
        <v>277</v>
      </c>
      <c r="K7">
        <f>C12</f>
        <v>10</v>
      </c>
      <c r="L7">
        <f>D12</f>
        <v>10</v>
      </c>
      <c r="M7">
        <f>E12</f>
        <v>20</v>
      </c>
    </row>
    <row r="8" spans="2:13" x14ac:dyDescent="0.2">
      <c r="B8" t="s">
        <v>43</v>
      </c>
      <c r="C8" s="36">
        <v>5</v>
      </c>
      <c r="D8" s="36">
        <v>10</v>
      </c>
      <c r="E8" s="36">
        <v>5</v>
      </c>
      <c r="F8" s="36">
        <f t="shared" si="0"/>
        <v>9000</v>
      </c>
      <c r="G8" s="36">
        <f>(115*60)-(2*60)</f>
        <v>6780</v>
      </c>
      <c r="H8" s="14">
        <f t="shared" si="2"/>
        <v>1.3274336283185841</v>
      </c>
      <c r="J8" t="s">
        <v>221</v>
      </c>
      <c r="K8">
        <f>K6/K7</f>
        <v>50</v>
      </c>
      <c r="L8">
        <f t="shared" ref="L8:M8" si="4">L6/L7</f>
        <v>20</v>
      </c>
      <c r="M8">
        <f t="shared" si="4"/>
        <v>30</v>
      </c>
    </row>
    <row r="9" spans="2:13" x14ac:dyDescent="0.2">
      <c r="B9" t="s">
        <v>35</v>
      </c>
      <c r="C9" s="36">
        <v>10</v>
      </c>
      <c r="D9" s="36">
        <v>5</v>
      </c>
      <c r="E9" s="36">
        <v>10</v>
      </c>
      <c r="F9" s="36">
        <f t="shared" si="0"/>
        <v>12000</v>
      </c>
      <c r="G9" s="36">
        <f t="shared" si="1"/>
        <v>6900</v>
      </c>
      <c r="H9" s="14">
        <f t="shared" si="2"/>
        <v>1.7391304347826086</v>
      </c>
    </row>
    <row r="10" spans="2:13" x14ac:dyDescent="0.2">
      <c r="B10" t="s">
        <v>36</v>
      </c>
      <c r="C10" s="36">
        <v>5</v>
      </c>
      <c r="D10" s="36">
        <v>5</v>
      </c>
      <c r="E10" s="36">
        <v>10</v>
      </c>
      <c r="F10" s="36">
        <f t="shared" si="0"/>
        <v>8000</v>
      </c>
      <c r="G10" s="36">
        <f>(115*60)-(2*60)</f>
        <v>6780</v>
      </c>
      <c r="H10" s="14">
        <f t="shared" si="2"/>
        <v>1.1799410029498525</v>
      </c>
    </row>
    <row r="11" spans="2:13" x14ac:dyDescent="0.2">
      <c r="B11" t="s">
        <v>40</v>
      </c>
      <c r="C11" s="36">
        <v>5</v>
      </c>
      <c r="D11" s="36">
        <v>5</v>
      </c>
      <c r="E11" s="36">
        <v>10</v>
      </c>
      <c r="F11" s="36">
        <f t="shared" si="0"/>
        <v>8000</v>
      </c>
      <c r="G11" s="36">
        <f>(115*60)-(2*60)</f>
        <v>6780</v>
      </c>
      <c r="H11" s="14">
        <f t="shared" si="2"/>
        <v>1.1799410029498525</v>
      </c>
    </row>
    <row r="12" spans="2:13" x14ac:dyDescent="0.2">
      <c r="B12" s="94" t="s">
        <v>41</v>
      </c>
      <c r="C12" s="139">
        <v>10</v>
      </c>
      <c r="D12" s="139">
        <v>10</v>
      </c>
      <c r="E12" s="139">
        <v>20</v>
      </c>
      <c r="F12" s="139">
        <f t="shared" si="0"/>
        <v>16000</v>
      </c>
      <c r="G12" s="139">
        <f t="shared" si="1"/>
        <v>6900</v>
      </c>
      <c r="H12" s="140">
        <f t="shared" si="2"/>
        <v>2.318840579710145</v>
      </c>
      <c r="I12" s="139" t="s">
        <v>278</v>
      </c>
    </row>
    <row r="14" spans="2:13" x14ac:dyDescent="0.2">
      <c r="B14" s="29" t="s">
        <v>279</v>
      </c>
    </row>
    <row r="16" spans="2:13" x14ac:dyDescent="0.2">
      <c r="B16" t="s">
        <v>280</v>
      </c>
      <c r="C16">
        <f>G12/E12</f>
        <v>345</v>
      </c>
      <c r="D16" t="s">
        <v>281</v>
      </c>
    </row>
    <row r="17" spans="2:6" x14ac:dyDescent="0.2">
      <c r="B17" t="s">
        <v>280</v>
      </c>
      <c r="C17">
        <f>E2</f>
        <v>200</v>
      </c>
      <c r="D17" t="s">
        <v>282</v>
      </c>
    </row>
    <row r="18" spans="2:6" x14ac:dyDescent="0.2">
      <c r="B18" t="s">
        <v>283</v>
      </c>
      <c r="C18">
        <f>(G12-(C17*E12))/C12</f>
        <v>290</v>
      </c>
      <c r="D18" s="325" t="s">
        <v>284</v>
      </c>
      <c r="E18" s="325"/>
      <c r="F18" s="325"/>
    </row>
    <row r="19" spans="2:6" x14ac:dyDescent="0.2">
      <c r="B19" t="s">
        <v>285</v>
      </c>
      <c r="C19" s="12">
        <f>(G4-(C17*E4))/C4</f>
        <v>318.66666666666669</v>
      </c>
      <c r="D19" s="325"/>
      <c r="E19" s="325"/>
      <c r="F19" s="325"/>
    </row>
    <row r="21" spans="2:6" x14ac:dyDescent="0.2">
      <c r="B21" t="s">
        <v>286</v>
      </c>
    </row>
    <row r="22" spans="2:6" x14ac:dyDescent="0.2">
      <c r="B22" t="s">
        <v>287</v>
      </c>
      <c r="C22">
        <f>C18</f>
        <v>290</v>
      </c>
      <c r="D22" s="141">
        <f>C22*K6</f>
        <v>145000</v>
      </c>
    </row>
    <row r="23" spans="2:6" x14ac:dyDescent="0.2">
      <c r="B23" t="s">
        <v>280</v>
      </c>
      <c r="C23">
        <f>C17</f>
        <v>200</v>
      </c>
      <c r="D23" s="141">
        <f>C23*M6</f>
        <v>120000</v>
      </c>
    </row>
    <row r="24" spans="2:6" x14ac:dyDescent="0.2">
      <c r="C24" t="s">
        <v>288</v>
      </c>
      <c r="D24" s="141">
        <v>60000</v>
      </c>
    </row>
    <row r="25" spans="2:6" x14ac:dyDescent="0.2">
      <c r="C25" t="s">
        <v>289</v>
      </c>
      <c r="D25" s="28">
        <f>D22+D23-D24</f>
        <v>205000</v>
      </c>
    </row>
    <row r="27" spans="2:6" x14ac:dyDescent="0.2">
      <c r="B27" s="29" t="s">
        <v>290</v>
      </c>
    </row>
    <row r="28" spans="2:6" x14ac:dyDescent="0.2">
      <c r="B28" t="s">
        <v>45</v>
      </c>
    </row>
    <row r="29" spans="2:6" x14ac:dyDescent="0.2">
      <c r="B29" t="s">
        <v>287</v>
      </c>
      <c r="C29">
        <f>G4/C4</f>
        <v>452</v>
      </c>
      <c r="D29" s="141">
        <f>C29*K6</f>
        <v>226000</v>
      </c>
    </row>
    <row r="30" spans="2:6" x14ac:dyDescent="0.2">
      <c r="B30" t="s">
        <v>291</v>
      </c>
      <c r="C30">
        <f>(G6-(C29*C6))/D6</f>
        <v>226</v>
      </c>
      <c r="D30" s="141">
        <f>C30*L6</f>
        <v>45200</v>
      </c>
    </row>
    <row r="31" spans="2:6" x14ac:dyDescent="0.2">
      <c r="C31" t="s">
        <v>288</v>
      </c>
      <c r="D31" s="141">
        <v>60000</v>
      </c>
    </row>
    <row r="32" spans="2:6" x14ac:dyDescent="0.2">
      <c r="C32" t="s">
        <v>289</v>
      </c>
      <c r="D32" s="28">
        <f>D29+D30-D31</f>
        <v>211200</v>
      </c>
    </row>
  </sheetData>
  <mergeCells count="1">
    <mergeCell ref="D18:F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48"/>
  <sheetViews>
    <sheetView workbookViewId="0">
      <selection activeCell="J17" sqref="J17"/>
    </sheetView>
  </sheetViews>
  <sheetFormatPr baseColWidth="10" defaultRowHeight="16" x14ac:dyDescent="0.2"/>
  <cols>
    <col min="1" max="1" width="15" customWidth="1"/>
    <col min="2" max="2" width="11.5" customWidth="1"/>
    <col min="5" max="5" width="11.5" bestFit="1" customWidth="1"/>
    <col min="6" max="6" width="12.1640625" bestFit="1" customWidth="1"/>
    <col min="8" max="8" width="13.1640625" customWidth="1"/>
  </cols>
  <sheetData>
    <row r="1" spans="1:9" ht="34" x14ac:dyDescent="0.2">
      <c r="A1" s="62" t="s">
        <v>28</v>
      </c>
      <c r="B1" s="64" t="s">
        <v>292</v>
      </c>
      <c r="C1" s="62" t="s">
        <v>14</v>
      </c>
      <c r="D1" s="62" t="s">
        <v>47</v>
      </c>
      <c r="E1" s="142" t="s">
        <v>11</v>
      </c>
      <c r="F1" s="142" t="s">
        <v>9</v>
      </c>
      <c r="G1" s="143" t="s">
        <v>293</v>
      </c>
      <c r="H1" s="143" t="s">
        <v>277</v>
      </c>
      <c r="I1" s="142" t="s">
        <v>221</v>
      </c>
    </row>
    <row r="2" spans="1:9" x14ac:dyDescent="0.2">
      <c r="A2" s="38" t="s">
        <v>4</v>
      </c>
      <c r="B2" s="38">
        <v>2200</v>
      </c>
      <c r="C2" s="38">
        <v>235</v>
      </c>
      <c r="D2" s="38">
        <v>225</v>
      </c>
      <c r="E2" s="63">
        <v>4</v>
      </c>
      <c r="F2" s="63">
        <v>3</v>
      </c>
      <c r="G2" s="3">
        <f>C2-D2</f>
        <v>10</v>
      </c>
      <c r="H2" s="3">
        <f>B9</f>
        <v>80</v>
      </c>
      <c r="I2" s="3">
        <f>G2/H2</f>
        <v>0.125</v>
      </c>
    </row>
    <row r="3" spans="1:9" x14ac:dyDescent="0.2">
      <c r="A3" s="38" t="s">
        <v>6</v>
      </c>
      <c r="B3" s="38">
        <v>7000</v>
      </c>
      <c r="C3" s="38">
        <v>333</v>
      </c>
      <c r="D3" s="38">
        <v>325</v>
      </c>
      <c r="E3" s="63">
        <v>4</v>
      </c>
      <c r="F3" s="63">
        <v>4</v>
      </c>
      <c r="G3" s="3">
        <f>C3-D3</f>
        <v>8</v>
      </c>
      <c r="H3" s="3">
        <f>C9</f>
        <v>100</v>
      </c>
      <c r="I3" s="3">
        <f t="shared" ref="I3:I4" si="0">G3/H3</f>
        <v>0.08</v>
      </c>
    </row>
    <row r="4" spans="1:9" x14ac:dyDescent="0.2">
      <c r="A4" s="38" t="s">
        <v>5</v>
      </c>
      <c r="B4" s="38">
        <v>5500</v>
      </c>
      <c r="C4" s="38">
        <v>125</v>
      </c>
      <c r="D4" s="38">
        <v>118</v>
      </c>
      <c r="E4" s="63">
        <v>1</v>
      </c>
      <c r="F4" s="63">
        <v>1</v>
      </c>
      <c r="G4" s="3">
        <f>C4-D4</f>
        <v>7</v>
      </c>
      <c r="H4" s="3">
        <f>D9</f>
        <v>25</v>
      </c>
      <c r="I4" s="3">
        <f t="shared" si="0"/>
        <v>0.28000000000000003</v>
      </c>
    </row>
    <row r="7" spans="1:9" x14ac:dyDescent="0.2">
      <c r="B7" s="144">
        <v>2200</v>
      </c>
      <c r="C7" s="144">
        <v>7000</v>
      </c>
      <c r="D7" s="144">
        <v>5500</v>
      </c>
      <c r="E7" s="36" t="s">
        <v>27</v>
      </c>
      <c r="F7" s="36" t="s">
        <v>294</v>
      </c>
      <c r="G7" s="36" t="s">
        <v>295</v>
      </c>
    </row>
    <row r="8" spans="1:9" x14ac:dyDescent="0.2">
      <c r="A8" t="s">
        <v>21</v>
      </c>
      <c r="B8" s="36" t="s">
        <v>4</v>
      </c>
      <c r="C8" s="36" t="s">
        <v>6</v>
      </c>
      <c r="D8" s="36" t="s">
        <v>5</v>
      </c>
      <c r="E8" s="36" t="s">
        <v>296</v>
      </c>
      <c r="F8" s="36" t="s">
        <v>1</v>
      </c>
      <c r="G8" s="36" t="s">
        <v>297</v>
      </c>
    </row>
    <row r="9" spans="1:9" x14ac:dyDescent="0.2">
      <c r="A9" t="s">
        <v>298</v>
      </c>
      <c r="B9" s="36">
        <f>(F2*20)+(E2*5)</f>
        <v>80</v>
      </c>
      <c r="C9" s="36">
        <f>(F3*20)+(E3*5)</f>
        <v>100</v>
      </c>
      <c r="D9" s="36">
        <f>(F4*20)+(E4*5)</f>
        <v>25</v>
      </c>
      <c r="E9">
        <f>SUMPRODUCT($B$7:$D$7,B9:D9)</f>
        <v>1013500</v>
      </c>
      <c r="F9">
        <f>95000*0.85</f>
        <v>80750</v>
      </c>
      <c r="G9" s="11">
        <f>E9/F9</f>
        <v>12.551083591331269</v>
      </c>
    </row>
    <row r="10" spans="1:9" x14ac:dyDescent="0.2">
      <c r="A10" t="s">
        <v>299</v>
      </c>
      <c r="B10" s="36">
        <f>F2*10</f>
        <v>30</v>
      </c>
      <c r="C10" s="36">
        <f>F3*10</f>
        <v>40</v>
      </c>
      <c r="D10" s="36">
        <f>F4*10</f>
        <v>10</v>
      </c>
      <c r="E10">
        <f t="shared" ref="E10:E15" si="1">SUMPRODUCT($B$7:$D$7,B10:D10)</f>
        <v>401000</v>
      </c>
      <c r="F10">
        <f t="shared" ref="F10:F15" si="2">95000*0.85</f>
        <v>80750</v>
      </c>
      <c r="G10" s="11">
        <f t="shared" ref="G10:G15" si="3">E10/F10</f>
        <v>4.96594427244582</v>
      </c>
    </row>
    <row r="11" spans="1:9" x14ac:dyDescent="0.2">
      <c r="A11" t="s">
        <v>300</v>
      </c>
      <c r="B11" s="36">
        <f>(F2*10)</f>
        <v>30</v>
      </c>
      <c r="C11" s="36">
        <f>(F3*10)</f>
        <v>40</v>
      </c>
      <c r="D11" s="36">
        <f>(F4*10)+(1*25)</f>
        <v>35</v>
      </c>
      <c r="E11">
        <f t="shared" si="1"/>
        <v>538500</v>
      </c>
      <c r="F11">
        <f t="shared" si="2"/>
        <v>80750</v>
      </c>
      <c r="G11" s="11">
        <f t="shared" si="3"/>
        <v>6.6687306501547985</v>
      </c>
    </row>
    <row r="12" spans="1:9" x14ac:dyDescent="0.2">
      <c r="A12" t="s">
        <v>301</v>
      </c>
      <c r="B12" s="36">
        <f>(F2*5)+(1*10)</f>
        <v>25</v>
      </c>
      <c r="C12" s="36">
        <f>(F3*5)+(1*10)</f>
        <v>30</v>
      </c>
      <c r="D12" s="36">
        <f>(F4*5)+(1*10)</f>
        <v>15</v>
      </c>
      <c r="E12">
        <f t="shared" si="1"/>
        <v>347500</v>
      </c>
      <c r="F12">
        <f t="shared" si="2"/>
        <v>80750</v>
      </c>
      <c r="G12" s="11">
        <f t="shared" si="3"/>
        <v>4.3034055727554179</v>
      </c>
    </row>
    <row r="13" spans="1:9" x14ac:dyDescent="0.2">
      <c r="A13" t="s">
        <v>302</v>
      </c>
      <c r="B13" s="36">
        <f>(F2*10)+(1*30)</f>
        <v>60</v>
      </c>
      <c r="C13" s="36">
        <f>F3*10</f>
        <v>40</v>
      </c>
      <c r="D13" s="36">
        <f>F4*10</f>
        <v>10</v>
      </c>
      <c r="E13">
        <f t="shared" si="1"/>
        <v>467000</v>
      </c>
      <c r="F13">
        <f t="shared" si="2"/>
        <v>80750</v>
      </c>
      <c r="G13" s="11">
        <f t="shared" si="3"/>
        <v>5.7832817337461302</v>
      </c>
    </row>
    <row r="14" spans="1:9" x14ac:dyDescent="0.2">
      <c r="A14" t="s">
        <v>303</v>
      </c>
      <c r="B14" s="36">
        <f>E2*10</f>
        <v>40</v>
      </c>
      <c r="C14" s="36">
        <f>(E3*10)+(1*20)</f>
        <v>60</v>
      </c>
      <c r="D14" s="36">
        <f>E4*10</f>
        <v>10</v>
      </c>
      <c r="E14">
        <f t="shared" si="1"/>
        <v>563000</v>
      </c>
      <c r="F14">
        <f t="shared" si="2"/>
        <v>80750</v>
      </c>
      <c r="G14" s="11">
        <f t="shared" si="3"/>
        <v>6.9721362229102164</v>
      </c>
    </row>
    <row r="15" spans="1:9" x14ac:dyDescent="0.2">
      <c r="A15" t="s">
        <v>304</v>
      </c>
      <c r="B15" s="36">
        <f>E2*7.5</f>
        <v>30</v>
      </c>
      <c r="C15" s="36">
        <f>E3*7.5</f>
        <v>30</v>
      </c>
      <c r="D15" s="36">
        <f>E4*7.5</f>
        <v>7.5</v>
      </c>
      <c r="E15">
        <f t="shared" si="1"/>
        <v>317250</v>
      </c>
      <c r="F15">
        <f t="shared" si="2"/>
        <v>80750</v>
      </c>
      <c r="G15" s="11">
        <f t="shared" si="3"/>
        <v>3.9287925696594428</v>
      </c>
    </row>
    <row r="17" spans="1:7" x14ac:dyDescent="0.2">
      <c r="A17" s="145" t="s">
        <v>305</v>
      </c>
    </row>
    <row r="18" spans="1:7" x14ac:dyDescent="0.2">
      <c r="B18" s="36">
        <v>1</v>
      </c>
      <c r="C18" s="36">
        <v>5</v>
      </c>
      <c r="D18" s="36">
        <v>3</v>
      </c>
    </row>
    <row r="19" spans="1:7" x14ac:dyDescent="0.2">
      <c r="B19" s="36" t="s">
        <v>4</v>
      </c>
      <c r="C19" s="36" t="s">
        <v>6</v>
      </c>
      <c r="D19" s="36" t="s">
        <v>5</v>
      </c>
    </row>
    <row r="20" spans="1:7" x14ac:dyDescent="0.2">
      <c r="B20" s="36">
        <v>80</v>
      </c>
      <c r="C20" s="36">
        <v>100</v>
      </c>
      <c r="D20" s="36">
        <v>25</v>
      </c>
      <c r="E20" s="36">
        <v>80750</v>
      </c>
    </row>
    <row r="21" spans="1:7" x14ac:dyDescent="0.2">
      <c r="B21" s="36"/>
      <c r="C21" s="36"/>
      <c r="D21" s="36">
        <f>(B20*B18)+(C20*C18)+(D20*D18)</f>
        <v>655</v>
      </c>
      <c r="E21" s="36">
        <f>E20</f>
        <v>80750</v>
      </c>
      <c r="F21" s="6">
        <f>E21/D21</f>
        <v>123.2824427480916</v>
      </c>
    </row>
    <row r="22" spans="1:7" x14ac:dyDescent="0.2">
      <c r="B22" s="36"/>
      <c r="C22" s="36"/>
      <c r="E22" s="36" t="s">
        <v>306</v>
      </c>
      <c r="F22" t="s">
        <v>80</v>
      </c>
      <c r="G22" s="36" t="s">
        <v>307</v>
      </c>
    </row>
    <row r="23" spans="1:7" x14ac:dyDescent="0.2">
      <c r="B23" s="326" t="s">
        <v>45</v>
      </c>
      <c r="C23" s="36" t="s">
        <v>4</v>
      </c>
      <c r="D23" s="6">
        <f>F21*B18</f>
        <v>123.2824427480916</v>
      </c>
      <c r="E23" s="146">
        <f>D23*G2</f>
        <v>1232.824427480916</v>
      </c>
    </row>
    <row r="24" spans="1:7" x14ac:dyDescent="0.2">
      <c r="B24" s="326"/>
      <c r="C24" s="36" t="s">
        <v>6</v>
      </c>
      <c r="D24" s="6">
        <f>F21*C18</f>
        <v>616.41221374045801</v>
      </c>
      <c r="E24" s="146">
        <f>D24*G3</f>
        <v>4931.2977099236641</v>
      </c>
    </row>
    <row r="25" spans="1:7" x14ac:dyDescent="0.2">
      <c r="B25" s="326"/>
      <c r="C25" s="36" t="s">
        <v>5</v>
      </c>
      <c r="D25" s="6">
        <f>F21*D18</f>
        <v>369.84732824427476</v>
      </c>
      <c r="E25" s="146">
        <f>D25*G4</f>
        <v>2588.9312977099235</v>
      </c>
    </row>
    <row r="26" spans="1:7" x14ac:dyDescent="0.2">
      <c r="B26" s="36"/>
      <c r="C26" s="36"/>
      <c r="D26" s="36"/>
      <c r="E26" s="146">
        <f>SUM(E23:E25)</f>
        <v>8753.0534351145034</v>
      </c>
      <c r="F26" s="146">
        <v>5000</v>
      </c>
      <c r="G26" s="15">
        <f>E26-F26</f>
        <v>3753.0534351145034</v>
      </c>
    </row>
    <row r="27" spans="1:7" x14ac:dyDescent="0.2">
      <c r="D27" s="36"/>
      <c r="E27" s="36"/>
    </row>
    <row r="28" spans="1:7" x14ac:dyDescent="0.2">
      <c r="A28" s="145" t="s">
        <v>279</v>
      </c>
    </row>
    <row r="29" spans="1:7" x14ac:dyDescent="0.2">
      <c r="B29" s="36">
        <v>5</v>
      </c>
      <c r="C29" s="36">
        <v>3</v>
      </c>
      <c r="D29" s="36">
        <v>1</v>
      </c>
    </row>
    <row r="30" spans="1:7" x14ac:dyDescent="0.2">
      <c r="B30" s="36" t="s">
        <v>4</v>
      </c>
      <c r="C30" s="36" t="s">
        <v>6</v>
      </c>
      <c r="D30" s="36" t="s">
        <v>5</v>
      </c>
    </row>
    <row r="31" spans="1:7" x14ac:dyDescent="0.2">
      <c r="B31" s="36">
        <v>80</v>
      </c>
      <c r="C31" s="36">
        <v>100</v>
      </c>
      <c r="D31" s="36">
        <v>25</v>
      </c>
      <c r="E31" s="36">
        <v>80750</v>
      </c>
    </row>
    <row r="32" spans="1:7" x14ac:dyDescent="0.2">
      <c r="B32" s="36"/>
      <c r="C32" s="36"/>
      <c r="D32" s="36">
        <f>(B31*B29)+(C31*C29)+(D31*D29)</f>
        <v>725</v>
      </c>
      <c r="E32" s="36">
        <f>E31</f>
        <v>80750</v>
      </c>
      <c r="F32" s="6">
        <f>E32/D32</f>
        <v>111.37931034482759</v>
      </c>
    </row>
    <row r="33" spans="1:7" x14ac:dyDescent="0.2">
      <c r="B33" s="36"/>
      <c r="C33" s="36"/>
      <c r="E33" s="36" t="s">
        <v>306</v>
      </c>
      <c r="F33" t="s">
        <v>80</v>
      </c>
      <c r="G33" s="36" t="s">
        <v>307</v>
      </c>
    </row>
    <row r="34" spans="1:7" x14ac:dyDescent="0.2">
      <c r="B34" s="326" t="s">
        <v>45</v>
      </c>
      <c r="C34" s="36" t="s">
        <v>4</v>
      </c>
      <c r="D34" s="6">
        <f>F32*B29</f>
        <v>556.89655172413791</v>
      </c>
      <c r="E34" s="146">
        <f>D34*G2</f>
        <v>5568.9655172413786</v>
      </c>
    </row>
    <row r="35" spans="1:7" x14ac:dyDescent="0.2">
      <c r="B35" s="326"/>
      <c r="C35" s="36" t="s">
        <v>6</v>
      </c>
      <c r="D35" s="6">
        <f>F32*C29</f>
        <v>334.13793103448279</v>
      </c>
      <c r="E35" s="146">
        <f>D35*G3</f>
        <v>2673.1034482758623</v>
      </c>
    </row>
    <row r="36" spans="1:7" x14ac:dyDescent="0.2">
      <c r="B36" s="326"/>
      <c r="C36" s="36" t="s">
        <v>5</v>
      </c>
      <c r="D36" s="6">
        <f>F32*D29</f>
        <v>111.37931034482759</v>
      </c>
      <c r="E36" s="146">
        <f>D36*G4</f>
        <v>779.65517241379314</v>
      </c>
    </row>
    <row r="37" spans="1:7" x14ac:dyDescent="0.2">
      <c r="B37" s="36"/>
      <c r="C37" s="36"/>
      <c r="D37" s="36"/>
      <c r="E37" s="146">
        <f>SUM(E34:E36)</f>
        <v>9021.7241379310344</v>
      </c>
      <c r="F37" s="146">
        <v>5000</v>
      </c>
      <c r="G37" s="15">
        <f>E37-F37</f>
        <v>4021.7241379310344</v>
      </c>
    </row>
    <row r="39" spans="1:7" x14ac:dyDescent="0.2">
      <c r="A39" s="145" t="s">
        <v>290</v>
      </c>
    </row>
    <row r="40" spans="1:7" x14ac:dyDescent="0.2">
      <c r="B40" s="36">
        <v>3</v>
      </c>
      <c r="C40" s="36">
        <v>1</v>
      </c>
      <c r="D40" s="36">
        <v>5</v>
      </c>
    </row>
    <row r="41" spans="1:7" x14ac:dyDescent="0.2">
      <c r="B41" s="36" t="s">
        <v>4</v>
      </c>
      <c r="C41" s="36" t="s">
        <v>6</v>
      </c>
      <c r="D41" s="36" t="s">
        <v>5</v>
      </c>
    </row>
    <row r="42" spans="1:7" x14ac:dyDescent="0.2">
      <c r="B42" s="36">
        <v>80</v>
      </c>
      <c r="C42" s="36">
        <v>100</v>
      </c>
      <c r="D42" s="36">
        <v>25</v>
      </c>
      <c r="E42" s="36">
        <v>80750</v>
      </c>
    </row>
    <row r="43" spans="1:7" x14ac:dyDescent="0.2">
      <c r="B43" s="36"/>
      <c r="C43" s="36"/>
      <c r="D43" s="36">
        <f>(B42*B40)+(C42*C40)+(D42*D40)</f>
        <v>465</v>
      </c>
      <c r="E43" s="36">
        <f>E42</f>
        <v>80750</v>
      </c>
      <c r="F43" s="6">
        <f>E43/D43</f>
        <v>173.65591397849462</v>
      </c>
    </row>
    <row r="44" spans="1:7" x14ac:dyDescent="0.2">
      <c r="B44" s="36"/>
      <c r="C44" s="36"/>
      <c r="E44" s="36" t="s">
        <v>306</v>
      </c>
      <c r="F44" t="s">
        <v>80</v>
      </c>
      <c r="G44" s="36" t="s">
        <v>307</v>
      </c>
    </row>
    <row r="45" spans="1:7" x14ac:dyDescent="0.2">
      <c r="B45" s="326" t="s">
        <v>45</v>
      </c>
      <c r="C45" s="36" t="s">
        <v>4</v>
      </c>
      <c r="D45" s="6">
        <f>F43*B40</f>
        <v>520.9677419354839</v>
      </c>
      <c r="E45" s="146">
        <f>D45*G2</f>
        <v>5209.677419354839</v>
      </c>
    </row>
    <row r="46" spans="1:7" x14ac:dyDescent="0.2">
      <c r="B46" s="326"/>
      <c r="C46" s="36" t="s">
        <v>6</v>
      </c>
      <c r="D46" s="6">
        <f>F43*C40</f>
        <v>173.65591397849462</v>
      </c>
      <c r="E46" s="146">
        <f>D46*G3</f>
        <v>1389.247311827957</v>
      </c>
    </row>
    <row r="47" spans="1:7" x14ac:dyDescent="0.2">
      <c r="B47" s="326"/>
      <c r="C47" s="36" t="s">
        <v>5</v>
      </c>
      <c r="D47" s="6">
        <f>F43*D40</f>
        <v>868.27956989247309</v>
      </c>
      <c r="E47" s="146">
        <f>D47*G4</f>
        <v>6077.9569892473119</v>
      </c>
    </row>
    <row r="48" spans="1:7" x14ac:dyDescent="0.2">
      <c r="B48" s="36"/>
      <c r="C48" s="36"/>
      <c r="D48" s="36"/>
      <c r="E48" s="146">
        <f>SUM(E45:E47)</f>
        <v>12676.881720430109</v>
      </c>
      <c r="F48" s="146">
        <v>5000</v>
      </c>
      <c r="G48" s="15">
        <f>E48-F48</f>
        <v>7676.8817204301085</v>
      </c>
    </row>
  </sheetData>
  <mergeCells count="3">
    <mergeCell ref="B23:B25"/>
    <mergeCell ref="B34:B36"/>
    <mergeCell ref="B45:B4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52"/>
  <sheetViews>
    <sheetView workbookViewId="0">
      <selection activeCell="I42" sqref="I42"/>
    </sheetView>
  </sheetViews>
  <sheetFormatPr baseColWidth="10" defaultRowHeight="16" x14ac:dyDescent="0.2"/>
  <cols>
    <col min="4" max="4" width="13.6640625" customWidth="1"/>
    <col min="5" max="5" width="14" bestFit="1" customWidth="1"/>
    <col min="9" max="9" width="14" customWidth="1"/>
    <col min="10" max="10" width="13.6640625" customWidth="1"/>
  </cols>
  <sheetData>
    <row r="1" spans="1:15" x14ac:dyDescent="0.2">
      <c r="B1" t="s">
        <v>308</v>
      </c>
      <c r="C1">
        <f>9100*0.95</f>
        <v>8645</v>
      </c>
      <c r="J1" s="3"/>
      <c r="K1" s="38" t="s">
        <v>4</v>
      </c>
      <c r="L1" s="38" t="s">
        <v>6</v>
      </c>
      <c r="M1" s="39" t="s">
        <v>5</v>
      </c>
      <c r="N1" s="63" t="s">
        <v>54</v>
      </c>
      <c r="O1" s="38">
        <v>0.25</v>
      </c>
    </row>
    <row r="2" spans="1:15" x14ac:dyDescent="0.2">
      <c r="B2" t="s">
        <v>37</v>
      </c>
      <c r="C2" s="36">
        <v>2000</v>
      </c>
      <c r="D2" s="36">
        <v>5000</v>
      </c>
      <c r="E2" s="36">
        <v>2000</v>
      </c>
      <c r="J2" s="38" t="s">
        <v>9</v>
      </c>
      <c r="K2" s="38">
        <v>2</v>
      </c>
      <c r="L2" s="38">
        <v>2</v>
      </c>
      <c r="M2" s="39">
        <v>1</v>
      </c>
      <c r="N2" s="38" t="s">
        <v>55</v>
      </c>
      <c r="O2" s="63">
        <v>0.3</v>
      </c>
    </row>
    <row r="3" spans="1:15" x14ac:dyDescent="0.2">
      <c r="B3" t="s">
        <v>13</v>
      </c>
      <c r="C3" s="36">
        <v>4000</v>
      </c>
      <c r="D3" s="36">
        <v>4000</v>
      </c>
      <c r="E3" s="36">
        <v>3500</v>
      </c>
      <c r="F3" s="36"/>
      <c r="G3" s="36"/>
      <c r="H3" s="36"/>
      <c r="J3" s="38" t="s">
        <v>11</v>
      </c>
      <c r="K3" s="38">
        <v>3</v>
      </c>
      <c r="L3" s="38">
        <v>2</v>
      </c>
      <c r="M3" s="39">
        <v>1</v>
      </c>
      <c r="N3" s="38" t="s">
        <v>56</v>
      </c>
      <c r="O3" s="63">
        <v>0.3</v>
      </c>
    </row>
    <row r="4" spans="1:15" x14ac:dyDescent="0.2">
      <c r="C4" s="36" t="s">
        <v>9</v>
      </c>
      <c r="D4" s="36" t="s">
        <v>11</v>
      </c>
      <c r="E4" s="36" t="s">
        <v>23</v>
      </c>
      <c r="F4" s="36" t="s">
        <v>51</v>
      </c>
      <c r="G4" s="36" t="s">
        <v>52</v>
      </c>
      <c r="H4" s="36" t="s">
        <v>309</v>
      </c>
      <c r="I4" s="36" t="s">
        <v>310</v>
      </c>
      <c r="J4" s="38" t="s">
        <v>23</v>
      </c>
      <c r="K4" s="38" t="s">
        <v>7</v>
      </c>
      <c r="L4" s="38">
        <v>2</v>
      </c>
      <c r="M4" s="39">
        <v>3</v>
      </c>
      <c r="N4" s="38" t="s">
        <v>57</v>
      </c>
      <c r="O4" s="38">
        <v>0.3</v>
      </c>
    </row>
    <row r="5" spans="1:15" x14ac:dyDescent="0.2">
      <c r="B5" t="s">
        <v>311</v>
      </c>
      <c r="C5" s="36">
        <f>(K2*O1)+(L2*O4)</f>
        <v>1.1000000000000001</v>
      </c>
      <c r="D5" s="36">
        <f>(K3*O1)+(L3*O4)</f>
        <v>1.35</v>
      </c>
      <c r="E5" s="36">
        <f>L4*O4</f>
        <v>0.6</v>
      </c>
      <c r="F5" s="36">
        <f>SUMPRODUCT($C$2:$E$2,C5:E5)</f>
        <v>10150</v>
      </c>
      <c r="G5" s="36">
        <f>SUMPRODUCT($C$3:$E$3,C5:E5)</f>
        <v>11900</v>
      </c>
      <c r="H5" s="147">
        <f>F5/$C$1</f>
        <v>1.1740890688259109</v>
      </c>
      <c r="I5" s="148">
        <f>G5/$C$1</f>
        <v>1.3765182186234817</v>
      </c>
      <c r="N5" s="38" t="s">
        <v>58</v>
      </c>
      <c r="O5" s="38">
        <v>0.2</v>
      </c>
    </row>
    <row r="6" spans="1:15" x14ac:dyDescent="0.2">
      <c r="B6" t="s">
        <v>55</v>
      </c>
      <c r="C6" s="36">
        <f>K2*O2</f>
        <v>0.6</v>
      </c>
      <c r="D6" s="36">
        <f>K3*O2</f>
        <v>0.89999999999999991</v>
      </c>
      <c r="E6" s="36" t="s">
        <v>7</v>
      </c>
      <c r="F6" s="36">
        <f t="shared" ref="F6:F13" si="0">SUMPRODUCT($C$2:$E$2,C6:E6)</f>
        <v>5700</v>
      </c>
      <c r="G6" s="36">
        <f t="shared" ref="G6:G13" si="1">SUMPRODUCT($C$3:$E$3,C6:E6)</f>
        <v>6000</v>
      </c>
      <c r="H6" s="147">
        <f t="shared" ref="H6:I13" si="2">F6/$C$1</f>
        <v>0.65934065934065933</v>
      </c>
      <c r="I6" s="148">
        <f t="shared" si="2"/>
        <v>0.69404279930595725</v>
      </c>
      <c r="K6" s="36" t="s">
        <v>9</v>
      </c>
      <c r="L6" s="36" t="s">
        <v>11</v>
      </c>
      <c r="M6" s="36" t="s">
        <v>23</v>
      </c>
      <c r="N6" s="38" t="s">
        <v>59</v>
      </c>
      <c r="O6" s="38">
        <v>0.25</v>
      </c>
    </row>
    <row r="7" spans="1:15" x14ac:dyDescent="0.2">
      <c r="B7" t="s">
        <v>56</v>
      </c>
      <c r="C7" s="36">
        <f>K2*O3</f>
        <v>0.6</v>
      </c>
      <c r="D7" s="36">
        <f>K3*O3</f>
        <v>0.89999999999999991</v>
      </c>
      <c r="E7" s="36" t="s">
        <v>7</v>
      </c>
      <c r="F7" s="36">
        <f t="shared" si="0"/>
        <v>5700</v>
      </c>
      <c r="G7" s="36">
        <f t="shared" si="1"/>
        <v>6000</v>
      </c>
      <c r="H7" s="147">
        <f t="shared" si="2"/>
        <v>0.65934065934065933</v>
      </c>
      <c r="I7" s="148">
        <f t="shared" si="2"/>
        <v>0.69404279930595725</v>
      </c>
      <c r="J7" s="144" t="s">
        <v>161</v>
      </c>
      <c r="K7" s="36">
        <v>800</v>
      </c>
      <c r="L7" s="36">
        <v>1000</v>
      </c>
      <c r="M7" s="36">
        <v>900</v>
      </c>
      <c r="N7" s="38" t="s">
        <v>60</v>
      </c>
      <c r="O7" s="38">
        <v>0.1</v>
      </c>
    </row>
    <row r="8" spans="1:15" x14ac:dyDescent="0.2">
      <c r="B8" t="s">
        <v>58</v>
      </c>
      <c r="C8" s="36">
        <f>L2*O5</f>
        <v>0.4</v>
      </c>
      <c r="D8" s="36">
        <f>L3*O5</f>
        <v>0.4</v>
      </c>
      <c r="E8" s="36">
        <f>L4*O5</f>
        <v>0.4</v>
      </c>
      <c r="F8" s="36">
        <f t="shared" si="0"/>
        <v>3600</v>
      </c>
      <c r="G8" s="36">
        <f t="shared" si="1"/>
        <v>4600</v>
      </c>
      <c r="H8" s="147">
        <f t="shared" si="2"/>
        <v>0.41642567958357429</v>
      </c>
      <c r="I8" s="148">
        <f t="shared" si="2"/>
        <v>0.53209947946790048</v>
      </c>
      <c r="J8" s="144" t="s">
        <v>15</v>
      </c>
      <c r="K8" s="36">
        <v>400</v>
      </c>
      <c r="L8" s="36">
        <v>450</v>
      </c>
      <c r="M8" s="36">
        <v>725</v>
      </c>
      <c r="N8" s="38" t="s">
        <v>61</v>
      </c>
      <c r="O8" s="38">
        <v>0.45</v>
      </c>
    </row>
    <row r="9" spans="1:15" x14ac:dyDescent="0.2">
      <c r="B9" t="s">
        <v>59</v>
      </c>
      <c r="C9" s="36">
        <f>L2*O6</f>
        <v>0.5</v>
      </c>
      <c r="D9" s="36">
        <f>L3*O6</f>
        <v>0.5</v>
      </c>
      <c r="E9" s="36">
        <f>L4*O6</f>
        <v>0.5</v>
      </c>
      <c r="F9" s="36">
        <f t="shared" si="0"/>
        <v>4500</v>
      </c>
      <c r="G9" s="36">
        <f t="shared" si="1"/>
        <v>5750</v>
      </c>
      <c r="H9" s="147">
        <f t="shared" si="2"/>
        <v>0.52053209947946788</v>
      </c>
      <c r="I9" s="148">
        <f t="shared" si="2"/>
        <v>0.66512434933487563</v>
      </c>
      <c r="J9" s="144" t="s">
        <v>276</v>
      </c>
      <c r="K9" s="36">
        <f>K7-K8</f>
        <v>400</v>
      </c>
      <c r="L9" s="139">
        <f>L7-L8</f>
        <v>550</v>
      </c>
      <c r="M9" s="36">
        <f>M7-M8</f>
        <v>175</v>
      </c>
      <c r="N9" s="38" t="s">
        <v>62</v>
      </c>
      <c r="O9" s="38">
        <v>0.4</v>
      </c>
    </row>
    <row r="10" spans="1:15" x14ac:dyDescent="0.2">
      <c r="B10" t="s">
        <v>60</v>
      </c>
      <c r="C10" s="36">
        <f>L2*O7</f>
        <v>0.2</v>
      </c>
      <c r="D10" s="36">
        <f>L3*O7</f>
        <v>0.2</v>
      </c>
      <c r="E10" s="36">
        <f>L4*O7</f>
        <v>0.2</v>
      </c>
      <c r="F10" s="36">
        <f t="shared" si="0"/>
        <v>1800</v>
      </c>
      <c r="G10" s="36">
        <f t="shared" si="1"/>
        <v>2300</v>
      </c>
      <c r="H10" s="147">
        <f t="shared" si="2"/>
        <v>0.20821283979178715</v>
      </c>
      <c r="I10" s="148">
        <f t="shared" si="2"/>
        <v>0.26604973973395024</v>
      </c>
      <c r="J10" s="144" t="s">
        <v>277</v>
      </c>
      <c r="K10" s="36">
        <f>C5</f>
        <v>1.1000000000000001</v>
      </c>
      <c r="L10" s="36">
        <f>D5</f>
        <v>1.35</v>
      </c>
      <c r="M10" s="36">
        <f>E5</f>
        <v>0.6</v>
      </c>
      <c r="N10" s="38" t="s">
        <v>63</v>
      </c>
      <c r="O10" s="38">
        <v>0.4</v>
      </c>
    </row>
    <row r="11" spans="1:15" x14ac:dyDescent="0.2">
      <c r="B11" t="s">
        <v>61</v>
      </c>
      <c r="C11" s="36">
        <f>M2*O8</f>
        <v>0.45</v>
      </c>
      <c r="D11" s="36">
        <f>M3*O8</f>
        <v>0.45</v>
      </c>
      <c r="E11" s="36">
        <f>M4*O8</f>
        <v>1.35</v>
      </c>
      <c r="F11" s="36">
        <f t="shared" si="0"/>
        <v>5850</v>
      </c>
      <c r="G11" s="36">
        <f t="shared" si="1"/>
        <v>8325</v>
      </c>
      <c r="H11" s="147">
        <f t="shared" si="2"/>
        <v>0.67669172932330823</v>
      </c>
      <c r="I11" s="148">
        <f t="shared" si="2"/>
        <v>0.96298438403701558</v>
      </c>
      <c r="J11" s="144" t="s">
        <v>221</v>
      </c>
      <c r="K11" s="11">
        <f>K9/K10</f>
        <v>363.63636363636363</v>
      </c>
      <c r="L11" s="149">
        <f>L9/L10</f>
        <v>407.40740740740739</v>
      </c>
      <c r="M11" s="11">
        <f>M9/M10</f>
        <v>291.66666666666669</v>
      </c>
    </row>
    <row r="12" spans="1:15" x14ac:dyDescent="0.2">
      <c r="B12" t="s">
        <v>62</v>
      </c>
      <c r="C12" s="36">
        <f>M2*O9</f>
        <v>0.4</v>
      </c>
      <c r="D12" s="36">
        <f>M3*O9</f>
        <v>0.4</v>
      </c>
      <c r="E12" s="36">
        <f>M4*O9</f>
        <v>1.2000000000000002</v>
      </c>
      <c r="F12" s="36">
        <f t="shared" si="0"/>
        <v>5200</v>
      </c>
      <c r="G12" s="36">
        <f t="shared" si="1"/>
        <v>7400.0000000000009</v>
      </c>
      <c r="H12" s="147">
        <f t="shared" si="2"/>
        <v>0.60150375939849621</v>
      </c>
      <c r="I12" s="148">
        <f t="shared" si="2"/>
        <v>0.85598611914401401</v>
      </c>
      <c r="K12" s="36"/>
      <c r="L12" s="36"/>
      <c r="M12" s="36"/>
    </row>
    <row r="13" spans="1:15" x14ac:dyDescent="0.2">
      <c r="B13" t="s">
        <v>63</v>
      </c>
      <c r="C13" s="36">
        <f>M2*O10</f>
        <v>0.4</v>
      </c>
      <c r="D13" s="36">
        <f>M3*O10</f>
        <v>0.4</v>
      </c>
      <c r="E13" s="36">
        <f>M4*O10</f>
        <v>1.2000000000000002</v>
      </c>
      <c r="F13" s="36">
        <f t="shared" si="0"/>
        <v>5200</v>
      </c>
      <c r="G13" s="36">
        <f t="shared" si="1"/>
        <v>7400.0000000000009</v>
      </c>
      <c r="H13" s="147">
        <f t="shared" si="2"/>
        <v>0.60150375939849621</v>
      </c>
      <c r="I13" s="148">
        <f t="shared" si="2"/>
        <v>0.85598611914401401</v>
      </c>
    </row>
    <row r="15" spans="1:15" x14ac:dyDescent="0.2">
      <c r="A15" s="145" t="s">
        <v>312</v>
      </c>
      <c r="B15" s="29" t="s">
        <v>313</v>
      </c>
      <c r="G15" s="29" t="s">
        <v>290</v>
      </c>
    </row>
    <row r="17" spans="1:7" x14ac:dyDescent="0.2">
      <c r="B17" t="s">
        <v>45</v>
      </c>
      <c r="C17" s="36" t="s">
        <v>9</v>
      </c>
      <c r="D17" s="36" t="s">
        <v>11</v>
      </c>
      <c r="E17" s="36" t="s">
        <v>23</v>
      </c>
      <c r="G17" s="36" t="s">
        <v>314</v>
      </c>
    </row>
    <row r="18" spans="1:7" x14ac:dyDescent="0.2">
      <c r="B18" t="s">
        <v>315</v>
      </c>
      <c r="C18">
        <v>1</v>
      </c>
      <c r="D18">
        <v>2.5</v>
      </c>
      <c r="E18">
        <v>1</v>
      </c>
    </row>
    <row r="19" spans="1:7" x14ac:dyDescent="0.2">
      <c r="C19">
        <f>C18*$C$5</f>
        <v>1.1000000000000001</v>
      </c>
      <c r="D19">
        <f>D18*$D$5</f>
        <v>3.375</v>
      </c>
      <c r="E19">
        <f>E18*$E$5</f>
        <v>0.6</v>
      </c>
    </row>
    <row r="20" spans="1:7" x14ac:dyDescent="0.2">
      <c r="E20">
        <f>E19+D19+C19</f>
        <v>5.0750000000000002</v>
      </c>
    </row>
    <row r="21" spans="1:7" x14ac:dyDescent="0.2">
      <c r="D21" t="s">
        <v>75</v>
      </c>
      <c r="E21" s="12">
        <f>$C$1/E20</f>
        <v>1703.4482758620688</v>
      </c>
    </row>
    <row r="22" spans="1:7" x14ac:dyDescent="0.2">
      <c r="C22" s="36" t="s">
        <v>9</v>
      </c>
      <c r="D22" s="12">
        <f>E21*C18</f>
        <v>1703.4482758620688</v>
      </c>
      <c r="E22" s="16">
        <f>D22*$K$9</f>
        <v>681379.31034482759</v>
      </c>
    </row>
    <row r="23" spans="1:7" x14ac:dyDescent="0.2">
      <c r="C23" s="36" t="s">
        <v>11</v>
      </c>
      <c r="D23" s="12">
        <f>E21*D18</f>
        <v>4258.6206896551721</v>
      </c>
      <c r="E23" s="16">
        <f>D23*$L$9</f>
        <v>2342241.3793103448</v>
      </c>
    </row>
    <row r="24" spans="1:7" x14ac:dyDescent="0.2">
      <c r="C24" s="36" t="s">
        <v>23</v>
      </c>
      <c r="D24" s="12">
        <f>E21*E18</f>
        <v>1703.4482758620688</v>
      </c>
      <c r="E24" s="16">
        <f>D24*$M$9</f>
        <v>298103.44827586203</v>
      </c>
    </row>
    <row r="25" spans="1:7" x14ac:dyDescent="0.2">
      <c r="D25" t="s">
        <v>79</v>
      </c>
      <c r="E25" s="28">
        <f>SUM(E22:E24)</f>
        <v>3321724.1379310349</v>
      </c>
    </row>
    <row r="26" spans="1:7" x14ac:dyDescent="0.2">
      <c r="D26" t="s">
        <v>316</v>
      </c>
      <c r="E26" s="16">
        <v>3250000</v>
      </c>
    </row>
    <row r="27" spans="1:7" x14ac:dyDescent="0.2">
      <c r="D27" t="s">
        <v>317</v>
      </c>
      <c r="E27" s="28">
        <f>E25-E26</f>
        <v>71724.1379310349</v>
      </c>
    </row>
    <row r="30" spans="1:7" x14ac:dyDescent="0.2">
      <c r="A30" s="145" t="s">
        <v>318</v>
      </c>
      <c r="B30" s="29" t="s">
        <v>313</v>
      </c>
      <c r="G30" s="29" t="s">
        <v>290</v>
      </c>
    </row>
    <row r="32" spans="1:7" x14ac:dyDescent="0.2">
      <c r="B32" s="36" t="s">
        <v>45</v>
      </c>
      <c r="C32" s="36" t="s">
        <v>75</v>
      </c>
      <c r="G32" t="s">
        <v>314</v>
      </c>
    </row>
    <row r="33" spans="2:5" x14ac:dyDescent="0.2">
      <c r="B33" s="36" t="s">
        <v>9</v>
      </c>
      <c r="C33">
        <v>1703</v>
      </c>
    </row>
    <row r="34" spans="2:5" x14ac:dyDescent="0.2">
      <c r="B34" s="36" t="s">
        <v>11</v>
      </c>
      <c r="C34">
        <v>4259</v>
      </c>
      <c r="D34" t="s">
        <v>319</v>
      </c>
    </row>
    <row r="35" spans="2:5" x14ac:dyDescent="0.2">
      <c r="B35" s="36" t="s">
        <v>23</v>
      </c>
      <c r="C35">
        <v>1703</v>
      </c>
    </row>
    <row r="36" spans="2:5" x14ac:dyDescent="0.2">
      <c r="B36" s="35" t="s">
        <v>320</v>
      </c>
    </row>
    <row r="37" spans="2:5" x14ac:dyDescent="0.2">
      <c r="B37" s="36" t="s">
        <v>11</v>
      </c>
      <c r="C37" s="36">
        <v>4000</v>
      </c>
    </row>
    <row r="38" spans="2:5" x14ac:dyDescent="0.2">
      <c r="B38" s="36" t="s">
        <v>9</v>
      </c>
      <c r="C38" s="36" t="s">
        <v>23</v>
      </c>
    </row>
    <row r="39" spans="2:5" x14ac:dyDescent="0.2">
      <c r="B39" s="36">
        <v>2.5</v>
      </c>
      <c r="C39" s="36">
        <v>1</v>
      </c>
    </row>
    <row r="40" spans="2:5" x14ac:dyDescent="0.2">
      <c r="B40" s="36">
        <f>B39*$C$5</f>
        <v>2.75</v>
      </c>
      <c r="C40" s="36">
        <f>C39*$E$5</f>
        <v>0.6</v>
      </c>
    </row>
    <row r="41" spans="2:5" x14ac:dyDescent="0.2">
      <c r="B41" s="36"/>
      <c r="C41" s="36">
        <f>B40+C40</f>
        <v>3.35</v>
      </c>
      <c r="D41" s="36"/>
      <c r="E41" s="36"/>
    </row>
    <row r="42" spans="2:5" x14ac:dyDescent="0.2">
      <c r="B42" s="36" t="s">
        <v>75</v>
      </c>
      <c r="C42" s="6">
        <f>($C$1-($C$37*$D$5))/C41</f>
        <v>968.65671641791039</v>
      </c>
      <c r="D42" s="36"/>
      <c r="E42" s="36"/>
    </row>
    <row r="43" spans="2:5" x14ac:dyDescent="0.2">
      <c r="B43" s="36" t="s">
        <v>45</v>
      </c>
      <c r="C43" s="36"/>
      <c r="D43" s="36"/>
      <c r="E43" s="36"/>
    </row>
    <row r="44" spans="2:5" x14ac:dyDescent="0.2">
      <c r="B44" s="36" t="s">
        <v>9</v>
      </c>
      <c r="C44" s="6">
        <f>C42*B39</f>
        <v>2421.6417910447758</v>
      </c>
      <c r="D44" s="16">
        <f>C44*$K$9</f>
        <v>968656.7164179103</v>
      </c>
      <c r="E44" s="36"/>
    </row>
    <row r="45" spans="2:5" x14ac:dyDescent="0.2">
      <c r="B45" s="36" t="s">
        <v>11</v>
      </c>
      <c r="C45" s="6">
        <f>C37</f>
        <v>4000</v>
      </c>
      <c r="D45" s="16">
        <f>C45*$L$9</f>
        <v>2200000</v>
      </c>
      <c r="E45" s="36"/>
    </row>
    <row r="46" spans="2:5" x14ac:dyDescent="0.2">
      <c r="B46" s="36" t="s">
        <v>23</v>
      </c>
      <c r="C46" s="6">
        <f>C42*C39</f>
        <v>968.65671641791039</v>
      </c>
      <c r="D46" s="16">
        <f>C46*$M$9</f>
        <v>169514.92537313432</v>
      </c>
      <c r="E46" s="36"/>
    </row>
    <row r="47" spans="2:5" x14ac:dyDescent="0.2">
      <c r="B47" s="35"/>
      <c r="C47" s="36" t="s">
        <v>79</v>
      </c>
      <c r="D47" s="28">
        <f>SUM(D44:D46)</f>
        <v>3338171.6417910447</v>
      </c>
      <c r="E47" s="36"/>
    </row>
    <row r="48" spans="2:5" x14ac:dyDescent="0.2">
      <c r="B48" s="36"/>
      <c r="C48" s="36" t="s">
        <v>316</v>
      </c>
      <c r="D48" s="16">
        <v>3250000</v>
      </c>
      <c r="E48" s="36"/>
    </row>
    <row r="49" spans="2:5" x14ac:dyDescent="0.2">
      <c r="B49" s="36"/>
      <c r="C49" s="36" t="s">
        <v>317</v>
      </c>
      <c r="D49" s="28">
        <f>D47-D48</f>
        <v>88171.641791044734</v>
      </c>
      <c r="E49" s="36"/>
    </row>
    <row r="50" spans="2:5" x14ac:dyDescent="0.2">
      <c r="B50" s="36"/>
      <c r="C50" s="36"/>
      <c r="D50" s="36"/>
      <c r="E50" s="36"/>
    </row>
    <row r="51" spans="2:5" x14ac:dyDescent="0.2">
      <c r="B51" s="36"/>
      <c r="C51" s="36"/>
      <c r="D51" s="36"/>
      <c r="E51" s="36"/>
    </row>
    <row r="52" spans="2:5" x14ac:dyDescent="0.2">
      <c r="B52" s="36"/>
      <c r="C52" s="36"/>
      <c r="D52" s="36"/>
      <c r="E52" s="3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42"/>
  <sheetViews>
    <sheetView workbookViewId="0">
      <selection activeCell="M42" sqref="M42"/>
    </sheetView>
  </sheetViews>
  <sheetFormatPr baseColWidth="10" defaultRowHeight="16" x14ac:dyDescent="0.2"/>
  <cols>
    <col min="7" max="7" width="12.33203125" bestFit="1" customWidth="1"/>
    <col min="9" max="9" width="11.1640625" customWidth="1"/>
    <col min="20" max="20" width="11.33203125" bestFit="1" customWidth="1"/>
  </cols>
  <sheetData>
    <row r="1" spans="1:14" x14ac:dyDescent="0.2">
      <c r="A1" s="36"/>
      <c r="B1" s="36" t="s">
        <v>4</v>
      </c>
      <c r="C1" s="36" t="s">
        <v>6</v>
      </c>
      <c r="D1" s="36" t="s">
        <v>5</v>
      </c>
      <c r="E1" s="36" t="s">
        <v>8</v>
      </c>
      <c r="F1" s="36" t="s">
        <v>18</v>
      </c>
      <c r="G1" t="s">
        <v>21</v>
      </c>
      <c r="H1" s="36" t="s">
        <v>32</v>
      </c>
      <c r="I1" s="36" t="s">
        <v>34</v>
      </c>
      <c r="J1" s="36" t="s">
        <v>33</v>
      </c>
      <c r="K1" s="36" t="s">
        <v>42</v>
      </c>
      <c r="L1" s="36" t="s">
        <v>43</v>
      </c>
      <c r="M1" s="36" t="s">
        <v>35</v>
      </c>
      <c r="N1" s="36" t="s">
        <v>36</v>
      </c>
    </row>
    <row r="2" spans="1:14" x14ac:dyDescent="0.2">
      <c r="A2" s="36" t="s">
        <v>9</v>
      </c>
      <c r="B2" s="36" t="s">
        <v>7</v>
      </c>
      <c r="C2" s="36">
        <v>2</v>
      </c>
      <c r="D2" s="36">
        <v>1</v>
      </c>
      <c r="E2" s="36">
        <v>2</v>
      </c>
      <c r="F2" s="36">
        <v>3</v>
      </c>
      <c r="G2" t="s">
        <v>321</v>
      </c>
      <c r="H2" s="36">
        <v>5</v>
      </c>
      <c r="I2" s="36">
        <v>4</v>
      </c>
      <c r="J2" s="36">
        <v>4</v>
      </c>
      <c r="K2" s="36">
        <v>10</v>
      </c>
      <c r="L2" s="36">
        <v>6</v>
      </c>
      <c r="M2" s="36">
        <v>5</v>
      </c>
      <c r="N2" s="36">
        <v>22</v>
      </c>
    </row>
    <row r="3" spans="1:14" x14ac:dyDescent="0.2">
      <c r="A3" s="36" t="s">
        <v>11</v>
      </c>
      <c r="B3" s="36">
        <v>1</v>
      </c>
      <c r="C3" s="36">
        <v>1</v>
      </c>
      <c r="D3" s="36">
        <v>1</v>
      </c>
      <c r="E3" s="36">
        <v>1</v>
      </c>
      <c r="F3" s="36">
        <v>1</v>
      </c>
      <c r="G3" t="s">
        <v>322</v>
      </c>
      <c r="H3" s="36">
        <v>2000</v>
      </c>
      <c r="I3" s="36">
        <v>1500</v>
      </c>
      <c r="J3" s="36">
        <v>1000</v>
      </c>
      <c r="K3" s="36">
        <v>2500</v>
      </c>
      <c r="L3" s="36">
        <v>500</v>
      </c>
      <c r="M3" s="36">
        <v>1000</v>
      </c>
      <c r="N3" s="36">
        <v>2500</v>
      </c>
    </row>
    <row r="4" spans="1:14" x14ac:dyDescent="0.2">
      <c r="A4" s="36" t="s">
        <v>10</v>
      </c>
      <c r="B4" s="36" t="s">
        <v>7</v>
      </c>
      <c r="C4" s="36">
        <v>2</v>
      </c>
      <c r="D4" s="36">
        <v>1</v>
      </c>
      <c r="E4" s="36">
        <v>2</v>
      </c>
      <c r="F4" s="36">
        <v>1</v>
      </c>
      <c r="G4" t="s">
        <v>323</v>
      </c>
      <c r="H4" s="36">
        <f>(350*60)-H3</f>
        <v>19000</v>
      </c>
      <c r="I4" s="36">
        <f t="shared" ref="I4:N4" si="0">(350*60)-I3</f>
        <v>19500</v>
      </c>
      <c r="J4" s="36">
        <f t="shared" si="0"/>
        <v>20000</v>
      </c>
      <c r="K4" s="36">
        <f t="shared" si="0"/>
        <v>18500</v>
      </c>
      <c r="L4" s="36">
        <f t="shared" si="0"/>
        <v>20500</v>
      </c>
      <c r="M4" s="36">
        <f t="shared" si="0"/>
        <v>20000</v>
      </c>
      <c r="N4" s="36">
        <f t="shared" si="0"/>
        <v>18500</v>
      </c>
    </row>
    <row r="5" spans="1:14" x14ac:dyDescent="0.2">
      <c r="A5" s="36" t="s">
        <v>23</v>
      </c>
      <c r="B5" s="36">
        <v>2</v>
      </c>
      <c r="C5" s="36">
        <v>1</v>
      </c>
      <c r="D5" s="36">
        <v>1</v>
      </c>
      <c r="E5" s="36">
        <v>1</v>
      </c>
      <c r="F5" s="36">
        <v>1</v>
      </c>
      <c r="H5" s="36"/>
      <c r="I5" s="36"/>
      <c r="J5" s="36"/>
      <c r="K5" s="36"/>
      <c r="L5" s="36"/>
      <c r="M5" s="36"/>
      <c r="N5" s="36"/>
    </row>
    <row r="6" spans="1:14" x14ac:dyDescent="0.2">
      <c r="H6" s="36"/>
      <c r="I6" s="36"/>
      <c r="J6" s="36"/>
      <c r="K6" s="36"/>
      <c r="L6" s="36"/>
      <c r="M6" s="36"/>
      <c r="N6" s="36"/>
    </row>
    <row r="7" spans="1:14" x14ac:dyDescent="0.2">
      <c r="B7" t="s">
        <v>0</v>
      </c>
      <c r="C7" s="36">
        <v>300</v>
      </c>
      <c r="D7" s="36">
        <v>300</v>
      </c>
      <c r="E7" s="36">
        <v>300</v>
      </c>
      <c r="F7" s="36">
        <v>300</v>
      </c>
      <c r="G7" s="36">
        <v>300</v>
      </c>
      <c r="H7" s="36"/>
      <c r="I7" s="36"/>
      <c r="J7" s="36"/>
      <c r="K7" s="36"/>
      <c r="L7" s="36"/>
      <c r="M7" s="36"/>
      <c r="N7" s="36"/>
    </row>
    <row r="8" spans="1:14" x14ac:dyDescent="0.2">
      <c r="C8" s="36" t="s">
        <v>4</v>
      </c>
      <c r="D8" s="36" t="s">
        <v>6</v>
      </c>
      <c r="E8" s="36" t="s">
        <v>5</v>
      </c>
      <c r="F8" s="36" t="s">
        <v>8</v>
      </c>
      <c r="G8" s="36" t="s">
        <v>18</v>
      </c>
      <c r="H8" s="36" t="s">
        <v>27</v>
      </c>
      <c r="I8" s="36" t="s">
        <v>324</v>
      </c>
    </row>
    <row r="9" spans="1:14" x14ac:dyDescent="0.2">
      <c r="B9" t="s">
        <v>32</v>
      </c>
      <c r="C9" s="36" t="s">
        <v>7</v>
      </c>
      <c r="D9" s="36">
        <f>(C2*H2)+(C4*H2)</f>
        <v>20</v>
      </c>
      <c r="E9" s="36">
        <f>(D2*H2)+(D4*H2)</f>
        <v>10</v>
      </c>
      <c r="F9" s="36">
        <f>(E2*H2)+(E4*H2)</f>
        <v>20</v>
      </c>
      <c r="G9" s="36">
        <f>(F2*H2)+(F4*H2)</f>
        <v>20</v>
      </c>
      <c r="H9">
        <f>SUMPRODUCT($C$7:$G$7,C9:G9)</f>
        <v>21000</v>
      </c>
      <c r="I9" s="17">
        <f>H9/H4</f>
        <v>1.1052631578947369</v>
      </c>
    </row>
    <row r="10" spans="1:14" x14ac:dyDescent="0.2">
      <c r="B10" t="s">
        <v>34</v>
      </c>
      <c r="C10" s="36" t="s">
        <v>7</v>
      </c>
      <c r="D10" s="36">
        <f>(C2*I2)+(C4*I2)</f>
        <v>16</v>
      </c>
      <c r="E10" s="36">
        <f>(D2*I2)+(D4*I2)</f>
        <v>8</v>
      </c>
      <c r="F10" s="36">
        <f>(E2*I2)+(E4*I2)</f>
        <v>16</v>
      </c>
      <c r="G10" s="36">
        <f>(F2*I2)+(F4*I2)</f>
        <v>16</v>
      </c>
      <c r="H10">
        <f t="shared" ref="H10:H15" si="1">SUMPRODUCT($C$7:$G$7,C10:G10)</f>
        <v>16800</v>
      </c>
      <c r="I10" s="17">
        <f>H10/I4</f>
        <v>0.86153846153846159</v>
      </c>
    </row>
    <row r="11" spans="1:14" x14ac:dyDescent="0.2">
      <c r="B11" t="s">
        <v>33</v>
      </c>
      <c r="C11" s="36" t="s">
        <v>7</v>
      </c>
      <c r="D11" s="36">
        <f>(C2*J2)+(C4*J2)</f>
        <v>16</v>
      </c>
      <c r="E11" s="36">
        <f>(D2*J2)+(D4*J2)</f>
        <v>8</v>
      </c>
      <c r="F11" s="36">
        <f>(E2*J2)+(E4*J2)</f>
        <v>16</v>
      </c>
      <c r="G11" s="36">
        <f>(F2*J2)+(F4*J2)</f>
        <v>16</v>
      </c>
      <c r="H11">
        <f t="shared" si="1"/>
        <v>16800</v>
      </c>
      <c r="I11" s="17">
        <f>H11/J4</f>
        <v>0.84</v>
      </c>
    </row>
    <row r="12" spans="1:14" x14ac:dyDescent="0.2">
      <c r="B12" t="s">
        <v>42</v>
      </c>
      <c r="C12" s="36">
        <f>(B3*K2)+(B5*K2)</f>
        <v>30</v>
      </c>
      <c r="D12" s="36">
        <f>(C3*K2)+(C5*K2)</f>
        <v>20</v>
      </c>
      <c r="E12" s="36">
        <f>(D3*K2)+(D5*K2)</f>
        <v>20</v>
      </c>
      <c r="F12" s="36">
        <f>(E3*K2)+(E5*K2)</f>
        <v>20</v>
      </c>
      <c r="G12" s="36">
        <f>(F3*K2)+(F5*K2)</f>
        <v>20</v>
      </c>
      <c r="H12">
        <f t="shared" si="1"/>
        <v>33000</v>
      </c>
      <c r="I12" s="17">
        <f>H12/K4</f>
        <v>1.7837837837837838</v>
      </c>
    </row>
    <row r="13" spans="1:14" x14ac:dyDescent="0.2">
      <c r="B13" t="s">
        <v>43</v>
      </c>
      <c r="C13" s="36">
        <f>(B3*L2)+(B5*L2)</f>
        <v>18</v>
      </c>
      <c r="D13" s="36">
        <f>(C3*L2)+(C5*L2)</f>
        <v>12</v>
      </c>
      <c r="E13" s="36">
        <f>(D3*L2)+(D5*L2)</f>
        <v>12</v>
      </c>
      <c r="F13" s="36">
        <f>(E3*L2)+(E5*L2)</f>
        <v>12</v>
      </c>
      <c r="G13" s="36">
        <f>(F3*L2)+(F5*L2)</f>
        <v>12</v>
      </c>
      <c r="H13">
        <f t="shared" si="1"/>
        <v>19800</v>
      </c>
      <c r="I13" s="17">
        <f>H13/L4</f>
        <v>0.96585365853658534</v>
      </c>
    </row>
    <row r="14" spans="1:14" x14ac:dyDescent="0.2">
      <c r="B14" t="s">
        <v>35</v>
      </c>
      <c r="C14" s="36">
        <f>(B3*M2)+(B5*M2)</f>
        <v>15</v>
      </c>
      <c r="D14" s="36">
        <f>(C3*M2)+(C5*M2)</f>
        <v>10</v>
      </c>
      <c r="E14" s="36">
        <f>(D3*M2)+(D5*M2)</f>
        <v>10</v>
      </c>
      <c r="F14" s="36">
        <f>(E3*M2)+(E5*M2)</f>
        <v>10</v>
      </c>
      <c r="G14" s="36">
        <f>(F3*M2)+(F5*M2)</f>
        <v>10</v>
      </c>
      <c r="H14">
        <f t="shared" si="1"/>
        <v>16500</v>
      </c>
      <c r="I14" s="17">
        <f>H14/M4</f>
        <v>0.82499999999999996</v>
      </c>
    </row>
    <row r="15" spans="1:14" x14ac:dyDescent="0.2">
      <c r="B15" t="s">
        <v>36</v>
      </c>
      <c r="C15" s="36">
        <f>N2</f>
        <v>22</v>
      </c>
      <c r="D15" s="36">
        <f>N2</f>
        <v>22</v>
      </c>
      <c r="E15" s="36">
        <f>N2</f>
        <v>22</v>
      </c>
      <c r="F15" s="36">
        <f>N2</f>
        <v>22</v>
      </c>
      <c r="G15" s="36">
        <f>N2</f>
        <v>22</v>
      </c>
      <c r="H15">
        <f t="shared" si="1"/>
        <v>33000</v>
      </c>
      <c r="I15" s="17">
        <f>H15/N4</f>
        <v>1.7837837837837838</v>
      </c>
    </row>
    <row r="17" spans="2:20" x14ac:dyDescent="0.2">
      <c r="B17" s="29" t="s">
        <v>325</v>
      </c>
    </row>
    <row r="18" spans="2:20" x14ac:dyDescent="0.2">
      <c r="B18" t="s">
        <v>326</v>
      </c>
      <c r="H18" t="s">
        <v>327</v>
      </c>
      <c r="O18" t="s">
        <v>328</v>
      </c>
    </row>
    <row r="19" spans="2:20" x14ac:dyDescent="0.2">
      <c r="B19" t="s">
        <v>329</v>
      </c>
      <c r="E19" s="35" t="s">
        <v>330</v>
      </c>
      <c r="F19" s="36"/>
      <c r="H19" t="s">
        <v>331</v>
      </c>
    </row>
    <row r="20" spans="2:20" x14ac:dyDescent="0.2">
      <c r="B20" s="36"/>
      <c r="C20" s="36" t="s">
        <v>332</v>
      </c>
      <c r="E20" s="36"/>
      <c r="F20" s="36" t="s">
        <v>332</v>
      </c>
      <c r="I20" s="36"/>
      <c r="J20" s="36"/>
      <c r="K20" s="36"/>
      <c r="L20" s="36"/>
      <c r="M20" s="36"/>
      <c r="O20" t="s">
        <v>333</v>
      </c>
      <c r="Q20" s="28">
        <f>(2*I26)+J26+K26+L26+M26</f>
        <v>104</v>
      </c>
    </row>
    <row r="21" spans="2:20" x14ac:dyDescent="0.2">
      <c r="B21" s="36" t="s">
        <v>334</v>
      </c>
      <c r="C21" s="36">
        <f>(2*C12)+D12+E12+F12+G12</f>
        <v>140</v>
      </c>
      <c r="D21" t="s">
        <v>335</v>
      </c>
      <c r="E21" s="36" t="s">
        <v>334</v>
      </c>
      <c r="F21" s="36">
        <f>$C$12+$D$12+$E$12+(2*$F$12)+$G$12</f>
        <v>130</v>
      </c>
      <c r="H21" t="s">
        <v>28</v>
      </c>
      <c r="I21" s="36" t="s">
        <v>4</v>
      </c>
      <c r="J21" s="36" t="s">
        <v>6</v>
      </c>
      <c r="K21" s="36" t="s">
        <v>5</v>
      </c>
      <c r="L21" s="36" t="s">
        <v>8</v>
      </c>
      <c r="M21" s="36" t="s">
        <v>18</v>
      </c>
      <c r="O21" s="35" t="s">
        <v>336</v>
      </c>
      <c r="Q21" s="28">
        <f>$I$35+(2*$J$35)+$K$35+$L$35+$M$35</f>
        <v>101.36363636363637</v>
      </c>
    </row>
    <row r="22" spans="2:20" x14ac:dyDescent="0.2">
      <c r="B22" s="36" t="s">
        <v>337</v>
      </c>
      <c r="C22" s="36">
        <f>(2*C15)+D15+E15+F15+G15</f>
        <v>132</v>
      </c>
      <c r="E22" s="36" t="s">
        <v>337</v>
      </c>
      <c r="F22" s="36">
        <f>$C$15+$D$15+$E$15+(2*$F$15)+$G$15</f>
        <v>132</v>
      </c>
      <c r="G22" t="s">
        <v>335</v>
      </c>
      <c r="H22" t="s">
        <v>14</v>
      </c>
      <c r="I22">
        <v>1750</v>
      </c>
      <c r="J22">
        <v>1700</v>
      </c>
      <c r="K22">
        <v>1650</v>
      </c>
      <c r="L22">
        <v>1800</v>
      </c>
      <c r="M22">
        <v>1600</v>
      </c>
      <c r="O22" s="150" t="s">
        <v>338</v>
      </c>
      <c r="P22" s="94"/>
      <c r="Q22" s="151">
        <f>$I$35+$J$35+(2*$K$35)+$L$35+$M$35</f>
        <v>108.18181818181819</v>
      </c>
    </row>
    <row r="23" spans="2:20" x14ac:dyDescent="0.2">
      <c r="B23" s="36"/>
      <c r="C23" s="36"/>
      <c r="H23" t="s">
        <v>15</v>
      </c>
      <c r="I23">
        <v>1300</v>
      </c>
      <c r="J23">
        <v>1400</v>
      </c>
      <c r="K23">
        <v>1200</v>
      </c>
      <c r="L23">
        <v>1450</v>
      </c>
      <c r="M23">
        <v>1220</v>
      </c>
      <c r="O23" s="35" t="s">
        <v>339</v>
      </c>
      <c r="Q23" s="28">
        <f>$I$35+$J$35+$K$35+(2*$L$35)+$M$35</f>
        <v>103.63636363636363</v>
      </c>
    </row>
    <row r="24" spans="2:20" x14ac:dyDescent="0.2">
      <c r="B24" s="35" t="s">
        <v>340</v>
      </c>
      <c r="C24" s="36"/>
      <c r="E24" s="35" t="s">
        <v>341</v>
      </c>
      <c r="F24" s="36"/>
      <c r="H24" t="s">
        <v>276</v>
      </c>
      <c r="I24">
        <f>I22-I23</f>
        <v>450</v>
      </c>
      <c r="J24">
        <f t="shared" ref="J24:M24" si="2">J22-J23</f>
        <v>300</v>
      </c>
      <c r="K24">
        <f t="shared" si="2"/>
        <v>450</v>
      </c>
      <c r="L24">
        <f t="shared" si="2"/>
        <v>350</v>
      </c>
      <c r="M24">
        <f t="shared" si="2"/>
        <v>380</v>
      </c>
      <c r="O24" s="35" t="s">
        <v>342</v>
      </c>
      <c r="Q24" s="28">
        <f>$I$35+$J$35+$K$35+$L$35+(2*$M$35)</f>
        <v>105</v>
      </c>
    </row>
    <row r="25" spans="2:20" x14ac:dyDescent="0.2">
      <c r="B25" s="36"/>
      <c r="C25" s="36" t="s">
        <v>332</v>
      </c>
      <c r="E25" s="36"/>
      <c r="F25" s="36" t="s">
        <v>332</v>
      </c>
      <c r="H25" t="s">
        <v>277</v>
      </c>
      <c r="I25">
        <f>C12</f>
        <v>30</v>
      </c>
      <c r="J25">
        <f t="shared" ref="J25:M25" si="3">D12</f>
        <v>20</v>
      </c>
      <c r="K25">
        <f t="shared" si="3"/>
        <v>20</v>
      </c>
      <c r="L25">
        <f t="shared" si="3"/>
        <v>20</v>
      </c>
      <c r="M25">
        <f t="shared" si="3"/>
        <v>20</v>
      </c>
    </row>
    <row r="26" spans="2:20" x14ac:dyDescent="0.2">
      <c r="B26" s="36" t="s">
        <v>334</v>
      </c>
      <c r="C26" s="36">
        <f>C12+(2*D12)+E12+F12+G12</f>
        <v>130</v>
      </c>
      <c r="E26" s="36" t="s">
        <v>334</v>
      </c>
      <c r="F26" s="36">
        <f>$C$12+$D$12+$E$12+$F$12+(2*$G$12)</f>
        <v>130</v>
      </c>
      <c r="H26" t="s">
        <v>221</v>
      </c>
      <c r="I26">
        <f>I24/I25</f>
        <v>15</v>
      </c>
      <c r="J26">
        <f t="shared" ref="J26:M26" si="4">J24/J25</f>
        <v>15</v>
      </c>
      <c r="K26">
        <f t="shared" si="4"/>
        <v>22.5</v>
      </c>
      <c r="L26">
        <f t="shared" si="4"/>
        <v>17.5</v>
      </c>
      <c r="M26">
        <f t="shared" si="4"/>
        <v>19</v>
      </c>
    </row>
    <row r="27" spans="2:20" x14ac:dyDescent="0.2">
      <c r="B27" s="36" t="s">
        <v>337</v>
      </c>
      <c r="C27" s="36">
        <f>C15+(2*D15)+E15+F15+G15</f>
        <v>132</v>
      </c>
      <c r="D27" t="s">
        <v>335</v>
      </c>
      <c r="E27" s="36" t="s">
        <v>337</v>
      </c>
      <c r="F27" s="36">
        <f>$C$15+$D$15+$E$15+$F$15+(2*$G$15)</f>
        <v>132</v>
      </c>
      <c r="G27" t="s">
        <v>335</v>
      </c>
      <c r="O27" t="s">
        <v>343</v>
      </c>
    </row>
    <row r="28" spans="2:20" x14ac:dyDescent="0.2">
      <c r="B28" s="36"/>
      <c r="C28" s="36"/>
      <c r="H28" t="s">
        <v>344</v>
      </c>
    </row>
    <row r="29" spans="2:20" x14ac:dyDescent="0.2">
      <c r="B29" s="35" t="s">
        <v>345</v>
      </c>
      <c r="C29" s="36"/>
      <c r="E29" s="35"/>
      <c r="F29" s="36"/>
      <c r="I29" s="36"/>
      <c r="J29" s="36"/>
      <c r="K29" s="36"/>
      <c r="L29" s="36"/>
      <c r="M29" s="36"/>
      <c r="O29" s="36" t="s">
        <v>4</v>
      </c>
      <c r="P29" s="36" t="s">
        <v>6</v>
      </c>
      <c r="Q29" s="36" t="s">
        <v>5</v>
      </c>
      <c r="R29" s="36" t="s">
        <v>8</v>
      </c>
      <c r="S29" s="36" t="s">
        <v>18</v>
      </c>
    </row>
    <row r="30" spans="2:20" x14ac:dyDescent="0.2">
      <c r="B30" s="36"/>
      <c r="C30" s="36" t="s">
        <v>332</v>
      </c>
      <c r="E30" s="36"/>
      <c r="F30" s="36"/>
      <c r="H30" t="s">
        <v>28</v>
      </c>
      <c r="I30" s="36" t="s">
        <v>4</v>
      </c>
      <c r="J30" s="36" t="s">
        <v>6</v>
      </c>
      <c r="K30" s="36" t="s">
        <v>5</v>
      </c>
      <c r="L30" s="36" t="s">
        <v>8</v>
      </c>
      <c r="M30" s="36" t="s">
        <v>18</v>
      </c>
      <c r="O30">
        <f>C15</f>
        <v>22</v>
      </c>
      <c r="P30">
        <f t="shared" ref="P30:S30" si="5">D15</f>
        <v>22</v>
      </c>
      <c r="Q30">
        <f t="shared" si="5"/>
        <v>22</v>
      </c>
      <c r="R30">
        <f t="shared" si="5"/>
        <v>22</v>
      </c>
      <c r="S30">
        <f t="shared" si="5"/>
        <v>22</v>
      </c>
    </row>
    <row r="31" spans="2:20" x14ac:dyDescent="0.2">
      <c r="B31" s="36" t="s">
        <v>334</v>
      </c>
      <c r="C31" s="36">
        <f>$C$12+$D$12+(2*$E$12)+$F$12+$G$12</f>
        <v>130</v>
      </c>
      <c r="E31" s="36"/>
      <c r="F31" s="36"/>
      <c r="H31" t="s">
        <v>14</v>
      </c>
      <c r="I31">
        <v>1750</v>
      </c>
      <c r="J31">
        <v>1700</v>
      </c>
      <c r="K31">
        <v>1650</v>
      </c>
      <c r="L31">
        <v>1800</v>
      </c>
      <c r="M31">
        <v>1600</v>
      </c>
      <c r="O31">
        <v>1</v>
      </c>
      <c r="P31">
        <v>1</v>
      </c>
      <c r="Q31">
        <v>2</v>
      </c>
      <c r="R31">
        <v>1</v>
      </c>
      <c r="S31">
        <v>1</v>
      </c>
      <c r="T31" t="s">
        <v>323</v>
      </c>
    </row>
    <row r="32" spans="2:20" x14ac:dyDescent="0.2">
      <c r="B32" s="36" t="s">
        <v>337</v>
      </c>
      <c r="C32" s="36">
        <f>$C$15+$D$15+(2*$E$15)+$F$15+$G$15</f>
        <v>132</v>
      </c>
      <c r="D32" t="s">
        <v>335</v>
      </c>
      <c r="E32" s="36"/>
      <c r="F32" s="36"/>
      <c r="H32" t="s">
        <v>15</v>
      </c>
      <c r="I32">
        <v>1300</v>
      </c>
      <c r="J32">
        <v>1400</v>
      </c>
      <c r="K32">
        <v>1200</v>
      </c>
      <c r="L32">
        <v>1450</v>
      </c>
      <c r="M32">
        <v>1220</v>
      </c>
      <c r="S32">
        <f>SUMPRODUCT(O30:S30,O31:S31)</f>
        <v>132</v>
      </c>
      <c r="T32">
        <f>N4</f>
        <v>18500</v>
      </c>
    </row>
    <row r="33" spans="8:20" x14ac:dyDescent="0.2">
      <c r="H33" t="s">
        <v>276</v>
      </c>
      <c r="I33">
        <f>I31-I32</f>
        <v>450</v>
      </c>
      <c r="J33">
        <f t="shared" ref="J33:M33" si="6">J31-J32</f>
        <v>300</v>
      </c>
      <c r="K33">
        <f t="shared" si="6"/>
        <v>450</v>
      </c>
      <c r="L33">
        <f t="shared" si="6"/>
        <v>350</v>
      </c>
      <c r="M33">
        <f t="shared" si="6"/>
        <v>380</v>
      </c>
      <c r="S33" s="13" t="s">
        <v>44</v>
      </c>
      <c r="T33">
        <f>T32/S32</f>
        <v>140.15151515151516</v>
      </c>
    </row>
    <row r="34" spans="8:20" x14ac:dyDescent="0.2">
      <c r="H34" t="s">
        <v>277</v>
      </c>
      <c r="I34">
        <f>C15</f>
        <v>22</v>
      </c>
      <c r="J34">
        <f t="shared" ref="J34:M34" si="7">D15</f>
        <v>22</v>
      </c>
      <c r="K34">
        <f t="shared" si="7"/>
        <v>22</v>
      </c>
      <c r="L34">
        <f t="shared" si="7"/>
        <v>22</v>
      </c>
      <c r="M34">
        <f t="shared" si="7"/>
        <v>22</v>
      </c>
      <c r="R34" t="s">
        <v>346</v>
      </c>
    </row>
    <row r="35" spans="8:20" x14ac:dyDescent="0.2">
      <c r="H35" t="s">
        <v>221</v>
      </c>
      <c r="I35" s="17">
        <f>I33/I34</f>
        <v>20.454545454545453</v>
      </c>
      <c r="J35" s="17">
        <f t="shared" ref="J35:M35" si="8">J33/J34</f>
        <v>13.636363636363637</v>
      </c>
      <c r="K35" s="17">
        <f t="shared" si="8"/>
        <v>20.454545454545453</v>
      </c>
      <c r="L35" s="17">
        <f t="shared" si="8"/>
        <v>15.909090909090908</v>
      </c>
      <c r="M35" s="17">
        <f t="shared" si="8"/>
        <v>17.272727272727273</v>
      </c>
      <c r="R35" t="s">
        <v>4</v>
      </c>
      <c r="S35" s="12">
        <f>T33*O31</f>
        <v>140.15151515151516</v>
      </c>
      <c r="T35" s="16">
        <f>S35*I33</f>
        <v>63068.181818181823</v>
      </c>
    </row>
    <row r="36" spans="8:20" x14ac:dyDescent="0.2">
      <c r="R36" t="s">
        <v>6</v>
      </c>
      <c r="S36" s="12">
        <f>T33*P31</f>
        <v>140.15151515151516</v>
      </c>
      <c r="T36" s="16">
        <f>S36*J33</f>
        <v>42045.454545454544</v>
      </c>
    </row>
    <row r="37" spans="8:20" x14ac:dyDescent="0.2">
      <c r="R37" t="s">
        <v>5</v>
      </c>
      <c r="S37" s="12">
        <f>T33*Q31</f>
        <v>280.30303030303031</v>
      </c>
      <c r="T37" s="16">
        <f>S37*K33</f>
        <v>126136.36363636365</v>
      </c>
    </row>
    <row r="38" spans="8:20" x14ac:dyDescent="0.2">
      <c r="R38" t="s">
        <v>8</v>
      </c>
      <c r="S38" s="12">
        <f>T33*R31</f>
        <v>140.15151515151516</v>
      </c>
      <c r="T38" s="16">
        <f>S38*L33</f>
        <v>49053.030303030304</v>
      </c>
    </row>
    <row r="39" spans="8:20" x14ac:dyDescent="0.2">
      <c r="R39" t="s">
        <v>18</v>
      </c>
      <c r="S39" s="12">
        <f>T33*S31</f>
        <v>140.15151515151516</v>
      </c>
      <c r="T39" s="16">
        <f>S39*M33</f>
        <v>53257.57575757576</v>
      </c>
    </row>
    <row r="40" spans="8:20" x14ac:dyDescent="0.2">
      <c r="S40" t="s">
        <v>79</v>
      </c>
      <c r="T40" s="16">
        <f>SUM(T35:T39)</f>
        <v>333560.60606060602</v>
      </c>
    </row>
    <row r="41" spans="8:20" x14ac:dyDescent="0.2">
      <c r="S41" t="s">
        <v>316</v>
      </c>
      <c r="T41" s="16">
        <v>250000</v>
      </c>
    </row>
    <row r="42" spans="8:20" x14ac:dyDescent="0.2">
      <c r="S42" t="s">
        <v>289</v>
      </c>
      <c r="T42" s="28">
        <f>T40-T41</f>
        <v>83560.60606060602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Q58"/>
  <sheetViews>
    <sheetView workbookViewId="0">
      <selection activeCell="Q21" sqref="Q21"/>
    </sheetView>
  </sheetViews>
  <sheetFormatPr baseColWidth="10" defaultRowHeight="16" x14ac:dyDescent="0.2"/>
  <cols>
    <col min="1" max="1" width="5.83203125" customWidth="1"/>
    <col min="2" max="2" width="12.83203125" customWidth="1"/>
    <col min="4" max="4" width="12.5" bestFit="1" customWidth="1"/>
  </cols>
  <sheetData>
    <row r="2" spans="2:12" ht="30" x14ac:dyDescent="0.2">
      <c r="B2" s="152" t="s">
        <v>28</v>
      </c>
      <c r="C2" s="153" t="s">
        <v>347</v>
      </c>
      <c r="D2" s="153" t="s">
        <v>348</v>
      </c>
      <c r="E2" s="153" t="s">
        <v>349</v>
      </c>
      <c r="F2" s="153" t="s">
        <v>350</v>
      </c>
      <c r="G2" s="153" t="s">
        <v>9</v>
      </c>
      <c r="H2" s="153" t="s">
        <v>11</v>
      </c>
      <c r="I2" s="153" t="s">
        <v>23</v>
      </c>
      <c r="J2" s="153" t="s">
        <v>29</v>
      </c>
    </row>
    <row r="3" spans="2:12" x14ac:dyDescent="0.2">
      <c r="B3" s="152" t="s">
        <v>17</v>
      </c>
      <c r="C3" s="153">
        <v>120</v>
      </c>
      <c r="D3" s="153">
        <v>60</v>
      </c>
      <c r="E3" s="153">
        <v>100</v>
      </c>
      <c r="F3" s="153">
        <v>70</v>
      </c>
      <c r="G3" s="153">
        <v>1</v>
      </c>
      <c r="H3" s="153">
        <v>0</v>
      </c>
      <c r="I3" s="153">
        <v>1</v>
      </c>
      <c r="J3" s="153">
        <v>1</v>
      </c>
    </row>
    <row r="4" spans="2:12" x14ac:dyDescent="0.2">
      <c r="B4" s="152" t="s">
        <v>30</v>
      </c>
      <c r="C4" s="153">
        <v>210</v>
      </c>
      <c r="D4" s="153">
        <v>150</v>
      </c>
      <c r="E4" s="153">
        <v>50</v>
      </c>
      <c r="F4" s="153">
        <v>60</v>
      </c>
      <c r="G4" s="153">
        <v>0</v>
      </c>
      <c r="H4" s="153">
        <v>2</v>
      </c>
      <c r="I4" s="153">
        <v>1</v>
      </c>
      <c r="J4" s="153">
        <v>2</v>
      </c>
    </row>
    <row r="6" spans="2:12" x14ac:dyDescent="0.2">
      <c r="B6" s="154" t="s">
        <v>351</v>
      </c>
      <c r="C6" s="155">
        <f>2667*0.9</f>
        <v>2400.3000000000002</v>
      </c>
    </row>
    <row r="7" spans="2:12" x14ac:dyDescent="0.2">
      <c r="B7" s="154" t="s">
        <v>352</v>
      </c>
      <c r="C7" s="155">
        <v>5500</v>
      </c>
    </row>
    <row r="8" spans="2:12" ht="16" customHeight="1" x14ac:dyDescent="0.2">
      <c r="B8" s="154" t="s">
        <v>353</v>
      </c>
      <c r="C8" s="156">
        <f>E3</f>
        <v>100</v>
      </c>
      <c r="D8" s="156">
        <f>E4</f>
        <v>50</v>
      </c>
      <c r="E8" s="156" t="s">
        <v>294</v>
      </c>
      <c r="F8" s="156" t="s">
        <v>354</v>
      </c>
      <c r="G8" s="156" t="s">
        <v>27</v>
      </c>
      <c r="H8" s="156" t="s">
        <v>207</v>
      </c>
      <c r="I8" s="156" t="s">
        <v>207</v>
      </c>
    </row>
    <row r="9" spans="2:12" ht="18" customHeight="1" x14ac:dyDescent="0.2">
      <c r="B9" s="154" t="s">
        <v>355</v>
      </c>
      <c r="C9" s="156">
        <f>F3</f>
        <v>70</v>
      </c>
      <c r="D9" s="156">
        <f>F4</f>
        <v>60</v>
      </c>
      <c r="E9" s="156" t="s">
        <v>1</v>
      </c>
      <c r="F9" s="156" t="s">
        <v>65</v>
      </c>
      <c r="G9" s="156" t="s">
        <v>66</v>
      </c>
      <c r="H9" s="156" t="s">
        <v>65</v>
      </c>
      <c r="I9" s="156" t="s">
        <v>66</v>
      </c>
    </row>
    <row r="10" spans="2:12" x14ac:dyDescent="0.2">
      <c r="B10" s="157" t="s">
        <v>356</v>
      </c>
      <c r="C10" s="156" t="s">
        <v>17</v>
      </c>
      <c r="D10" s="156" t="s">
        <v>30</v>
      </c>
      <c r="E10" s="156"/>
      <c r="F10" s="156"/>
      <c r="G10" s="156"/>
      <c r="H10" s="36"/>
      <c r="I10" s="36"/>
      <c r="J10" s="36"/>
    </row>
    <row r="11" spans="2:12" x14ac:dyDescent="0.2">
      <c r="B11" s="157" t="s">
        <v>32</v>
      </c>
      <c r="C11" s="156">
        <f>(H3*15)+(J3*4)</f>
        <v>4</v>
      </c>
      <c r="D11" s="156">
        <f>(H4*15)+(J4*4)</f>
        <v>38</v>
      </c>
      <c r="E11" s="156">
        <f t="shared" ref="E11:E14" si="0">$C$6</f>
        <v>2400.3000000000002</v>
      </c>
      <c r="F11" s="156">
        <f>($C$8*C11)+($D$8*D11)</f>
        <v>2300</v>
      </c>
      <c r="G11" s="156">
        <f>($C$9*C11)+($D$9*D11)</f>
        <v>2560</v>
      </c>
      <c r="H11" s="158">
        <f>F11/E11</f>
        <v>0.95821355663875341</v>
      </c>
      <c r="I11" s="158">
        <f>G11/E11</f>
        <v>1.0665333499979168</v>
      </c>
      <c r="J11" s="36"/>
    </row>
    <row r="12" spans="2:12" x14ac:dyDescent="0.2">
      <c r="B12" s="157" t="s">
        <v>34</v>
      </c>
      <c r="C12" s="156">
        <f>(I3*6)+(J3*9)</f>
        <v>15</v>
      </c>
      <c r="D12" s="156">
        <f>(I4*6)+(J4*9)</f>
        <v>24</v>
      </c>
      <c r="E12" s="156">
        <f t="shared" si="0"/>
        <v>2400.3000000000002</v>
      </c>
      <c r="F12" s="156">
        <f t="shared" ref="F12:F14" si="1">($C$8*C12)+($D$8*D12)</f>
        <v>2700</v>
      </c>
      <c r="G12" s="156">
        <f t="shared" ref="G12:G14" si="2">($C$9*C12)+($D$9*D12)</f>
        <v>2490</v>
      </c>
      <c r="H12" s="158">
        <f t="shared" ref="H12:H14" si="3">F12/E12</f>
        <v>1.1248593925759278</v>
      </c>
      <c r="I12" s="158">
        <f t="shared" ref="I12:I14" si="4">G12/E12</f>
        <v>1.0373703287089113</v>
      </c>
      <c r="J12" s="36"/>
    </row>
    <row r="13" spans="2:12" x14ac:dyDescent="0.2">
      <c r="B13" s="157" t="s">
        <v>33</v>
      </c>
      <c r="C13" s="156">
        <f>(H3*7)+(I3*3)</f>
        <v>3</v>
      </c>
      <c r="D13" s="156">
        <f>(H4*7)+(I4*3)</f>
        <v>17</v>
      </c>
      <c r="E13" s="156">
        <f t="shared" si="0"/>
        <v>2400.3000000000002</v>
      </c>
      <c r="F13" s="156">
        <f t="shared" si="1"/>
        <v>1150</v>
      </c>
      <c r="G13" s="156">
        <f t="shared" si="2"/>
        <v>1230</v>
      </c>
      <c r="H13" s="158">
        <f t="shared" si="3"/>
        <v>0.4791067783193767</v>
      </c>
      <c r="I13" s="158">
        <f t="shared" si="4"/>
        <v>0.5124359455068116</v>
      </c>
      <c r="J13" s="36"/>
    </row>
    <row r="14" spans="2:12" x14ac:dyDescent="0.2">
      <c r="B14" s="157" t="s">
        <v>42</v>
      </c>
      <c r="C14" s="156">
        <v>2</v>
      </c>
      <c r="D14" s="156">
        <v>20</v>
      </c>
      <c r="E14" s="156">
        <f t="shared" si="0"/>
        <v>2400.3000000000002</v>
      </c>
      <c r="F14" s="156">
        <f t="shared" si="1"/>
        <v>1200</v>
      </c>
      <c r="G14" s="156">
        <f t="shared" si="2"/>
        <v>1340</v>
      </c>
      <c r="H14" s="158">
        <f t="shared" si="3"/>
        <v>0.49993750781152352</v>
      </c>
      <c r="I14" s="158">
        <f t="shared" si="4"/>
        <v>0.55826355038953457</v>
      </c>
      <c r="J14" s="36"/>
    </row>
    <row r="15" spans="2:12" ht="17" thickBot="1" x14ac:dyDescent="0.25">
      <c r="B15" s="156"/>
      <c r="C15" s="156"/>
      <c r="D15" s="156"/>
      <c r="E15" s="156"/>
      <c r="F15" s="156"/>
      <c r="G15" s="156"/>
      <c r="H15" s="36"/>
      <c r="I15" s="36"/>
      <c r="J15" s="36"/>
    </row>
    <row r="16" spans="2:12" x14ac:dyDescent="0.2">
      <c r="B16" s="159" t="s">
        <v>357</v>
      </c>
      <c r="C16" s="160"/>
      <c r="D16" s="160"/>
      <c r="E16" s="160"/>
      <c r="F16" s="159" t="s">
        <v>358</v>
      </c>
      <c r="G16" s="160"/>
      <c r="H16" s="160"/>
      <c r="I16" s="160"/>
      <c r="J16" s="161"/>
      <c r="K16" s="155"/>
      <c r="L16" s="155"/>
    </row>
    <row r="17" spans="2:14" ht="15" customHeight="1" x14ac:dyDescent="0.2">
      <c r="B17" s="162" t="s">
        <v>28</v>
      </c>
      <c r="C17" s="163" t="s">
        <v>17</v>
      </c>
      <c r="D17" s="163" t="s">
        <v>30</v>
      </c>
      <c r="E17" s="163"/>
      <c r="F17" s="162" t="s">
        <v>28</v>
      </c>
      <c r="G17" s="163" t="s">
        <v>17</v>
      </c>
      <c r="H17" s="163" t="s">
        <v>30</v>
      </c>
      <c r="I17" s="163"/>
      <c r="J17" s="164"/>
      <c r="K17" s="329" t="s">
        <v>359</v>
      </c>
      <c r="L17" s="329"/>
      <c r="M17" s="329"/>
    </row>
    <row r="18" spans="2:14" x14ac:dyDescent="0.2">
      <c r="B18" s="162" t="s">
        <v>77</v>
      </c>
      <c r="C18" s="163">
        <f>C3</f>
        <v>120</v>
      </c>
      <c r="D18" s="163">
        <f>C4</f>
        <v>210</v>
      </c>
      <c r="E18" s="163"/>
      <c r="F18" s="162" t="s">
        <v>77</v>
      </c>
      <c r="G18" s="163">
        <f>C3</f>
        <v>120</v>
      </c>
      <c r="H18" s="163">
        <f>C4</f>
        <v>210</v>
      </c>
      <c r="I18" s="163"/>
      <c r="J18" s="165"/>
      <c r="K18" s="329"/>
      <c r="L18" s="329"/>
      <c r="M18" s="329"/>
    </row>
    <row r="19" spans="2:14" x14ac:dyDescent="0.2">
      <c r="B19" s="162" t="s">
        <v>15</v>
      </c>
      <c r="C19" s="163">
        <f>D3</f>
        <v>60</v>
      </c>
      <c r="D19" s="163">
        <f>D4</f>
        <v>150</v>
      </c>
      <c r="E19" s="163"/>
      <c r="F19" s="162" t="s">
        <v>15</v>
      </c>
      <c r="G19" s="163">
        <f>D3</f>
        <v>60</v>
      </c>
      <c r="H19" s="163">
        <f>D4</f>
        <v>150</v>
      </c>
      <c r="I19" s="163"/>
      <c r="J19" s="165"/>
      <c r="K19" s="329"/>
      <c r="L19" s="329"/>
      <c r="M19" s="329"/>
    </row>
    <row r="20" spans="2:14" x14ac:dyDescent="0.2">
      <c r="B20" s="162" t="s">
        <v>360</v>
      </c>
      <c r="C20" s="163">
        <f>C18-C19</f>
        <v>60</v>
      </c>
      <c r="D20" s="163">
        <f>D18-D19</f>
        <v>60</v>
      </c>
      <c r="E20" s="163"/>
      <c r="F20" s="162" t="s">
        <v>360</v>
      </c>
      <c r="G20" s="163">
        <f>G18-G19</f>
        <v>60</v>
      </c>
      <c r="H20" s="163">
        <f>H18-H19</f>
        <v>60</v>
      </c>
      <c r="I20" s="163"/>
      <c r="J20" s="165"/>
      <c r="K20" s="329"/>
      <c r="L20" s="329"/>
      <c r="M20" s="329"/>
      <c r="N20" s="155"/>
    </row>
    <row r="21" spans="2:14" x14ac:dyDescent="0.2">
      <c r="B21" s="162" t="s">
        <v>361</v>
      </c>
      <c r="C21" s="163">
        <f>C12</f>
        <v>15</v>
      </c>
      <c r="D21" s="163">
        <f>D12</f>
        <v>24</v>
      </c>
      <c r="E21" s="163"/>
      <c r="F21" s="162" t="s">
        <v>362</v>
      </c>
      <c r="G21" s="163">
        <f>C11</f>
        <v>4</v>
      </c>
      <c r="H21" s="163">
        <f>D11</f>
        <v>38</v>
      </c>
      <c r="I21" s="163"/>
      <c r="J21" s="165"/>
      <c r="K21" s="329"/>
      <c r="L21" s="329"/>
      <c r="M21" s="329"/>
      <c r="N21" s="155"/>
    </row>
    <row r="22" spans="2:14" x14ac:dyDescent="0.2">
      <c r="B22" s="162" t="s">
        <v>221</v>
      </c>
      <c r="C22" s="163">
        <f>C20/C21</f>
        <v>4</v>
      </c>
      <c r="D22" s="163">
        <f>D20/D21</f>
        <v>2.5</v>
      </c>
      <c r="E22" s="163"/>
      <c r="F22" s="162" t="s">
        <v>221</v>
      </c>
      <c r="G22" s="163">
        <f>G20/G21</f>
        <v>15</v>
      </c>
      <c r="H22" s="166">
        <f>H20/H21</f>
        <v>1.5789473684210527</v>
      </c>
      <c r="I22" s="5"/>
      <c r="J22" s="165"/>
      <c r="K22" s="329"/>
      <c r="L22" s="329"/>
      <c r="M22" s="329"/>
      <c r="N22" s="155"/>
    </row>
    <row r="23" spans="2:14" x14ac:dyDescent="0.2">
      <c r="B23" s="167"/>
      <c r="C23" s="168"/>
      <c r="D23" s="168"/>
      <c r="E23" s="168"/>
      <c r="F23" s="167" t="s">
        <v>363</v>
      </c>
      <c r="G23" s="168"/>
      <c r="H23" s="168"/>
      <c r="I23" s="168"/>
      <c r="J23" s="169"/>
      <c r="K23" s="155"/>
      <c r="L23" s="155"/>
      <c r="M23" s="155"/>
      <c r="N23" s="155"/>
    </row>
    <row r="24" spans="2:14" x14ac:dyDescent="0.2">
      <c r="B24" s="167" t="s">
        <v>315</v>
      </c>
      <c r="C24" s="163">
        <v>2</v>
      </c>
      <c r="D24" s="163">
        <v>1</v>
      </c>
      <c r="E24" s="163" t="s">
        <v>364</v>
      </c>
      <c r="F24" s="33"/>
      <c r="G24" s="163">
        <v>2</v>
      </c>
      <c r="H24" s="163">
        <v>1</v>
      </c>
      <c r="I24" s="163" t="s">
        <v>9</v>
      </c>
      <c r="J24" s="169"/>
      <c r="K24" s="155"/>
      <c r="L24" s="155"/>
      <c r="M24" s="155"/>
      <c r="N24" s="155"/>
    </row>
    <row r="25" spans="2:14" x14ac:dyDescent="0.2">
      <c r="B25" s="167"/>
      <c r="C25" s="163" t="s">
        <v>44</v>
      </c>
      <c r="D25" s="163">
        <f>(C24*C21)+(D24*D21)</f>
        <v>54</v>
      </c>
      <c r="E25" s="163">
        <f>$C$6</f>
        <v>2400.3000000000002</v>
      </c>
      <c r="F25" s="167" t="s">
        <v>365</v>
      </c>
      <c r="G25" s="163">
        <f>G24*G21</f>
        <v>8</v>
      </c>
      <c r="H25" s="163">
        <f>H24*H21</f>
        <v>38</v>
      </c>
      <c r="I25" s="163">
        <f>G25+H25</f>
        <v>46</v>
      </c>
      <c r="J25" s="170"/>
      <c r="K25" s="155"/>
      <c r="L25" s="155"/>
      <c r="M25" s="155"/>
      <c r="N25" s="155"/>
    </row>
    <row r="26" spans="2:14" x14ac:dyDescent="0.2">
      <c r="B26" s="167"/>
      <c r="C26" s="168"/>
      <c r="D26" s="163" t="s">
        <v>44</v>
      </c>
      <c r="E26" s="171">
        <f>E25/D25</f>
        <v>44.45</v>
      </c>
      <c r="F26" s="172" t="s">
        <v>366</v>
      </c>
      <c r="G26" s="173">
        <f>C24*C21</f>
        <v>30</v>
      </c>
      <c r="H26" s="173">
        <f>H24*D21</f>
        <v>24</v>
      </c>
      <c r="I26" s="173">
        <f>G26+H26</f>
        <v>54</v>
      </c>
      <c r="J26" s="174" t="s">
        <v>278</v>
      </c>
      <c r="K26" s="155"/>
      <c r="L26" s="155"/>
      <c r="M26" s="155"/>
      <c r="N26" s="155"/>
    </row>
    <row r="27" spans="2:14" x14ac:dyDescent="0.2">
      <c r="B27" s="167"/>
      <c r="C27" s="5"/>
      <c r="D27" s="327" t="s">
        <v>45</v>
      </c>
      <c r="E27" s="327"/>
      <c r="F27" s="167"/>
      <c r="G27" s="163"/>
      <c r="H27" s="327" t="s">
        <v>45</v>
      </c>
      <c r="I27" s="327"/>
      <c r="J27" s="170" t="s">
        <v>367</v>
      </c>
      <c r="K27" s="155"/>
    </row>
    <row r="28" spans="2:14" x14ac:dyDescent="0.2">
      <c r="B28" s="167"/>
      <c r="C28" s="168"/>
      <c r="D28" s="163" t="s">
        <v>38</v>
      </c>
      <c r="E28" s="171">
        <f>ROUNDDOWN((E26*C24),0)</f>
        <v>88</v>
      </c>
      <c r="F28" s="167"/>
      <c r="G28" s="163"/>
      <c r="H28" s="163" t="str">
        <f>D28</f>
        <v>P =</v>
      </c>
      <c r="I28" s="175">
        <f>E28</f>
        <v>88</v>
      </c>
      <c r="J28" s="170">
        <f>F3</f>
        <v>70</v>
      </c>
      <c r="K28" s="155"/>
    </row>
    <row r="29" spans="2:14" ht="17" thickBot="1" x14ac:dyDescent="0.25">
      <c r="B29" s="176"/>
      <c r="C29" s="177"/>
      <c r="D29" s="178" t="s">
        <v>39</v>
      </c>
      <c r="E29" s="179">
        <f>ROUNDDOWN((E26*D24),0)</f>
        <v>44</v>
      </c>
      <c r="F29" s="167"/>
      <c r="G29" s="163"/>
      <c r="H29" s="163" t="str">
        <f>D29</f>
        <v>Q =</v>
      </c>
      <c r="I29" s="171">
        <f>E29</f>
        <v>44</v>
      </c>
      <c r="J29" s="180">
        <f>ROUNDDOWN((C6-(J28*C21))/D21,0)</f>
        <v>56</v>
      </c>
      <c r="K29" s="155"/>
    </row>
    <row r="30" spans="2:14" x14ac:dyDescent="0.2">
      <c r="B30" s="330" t="s">
        <v>289</v>
      </c>
      <c r="C30" s="331"/>
      <c r="D30" s="331"/>
      <c r="E30" s="160"/>
      <c r="F30" s="332" t="s">
        <v>368</v>
      </c>
      <c r="G30" s="327"/>
      <c r="H30" s="327"/>
      <c r="I30" s="327"/>
      <c r="J30" s="328"/>
      <c r="K30" s="155"/>
      <c r="L30" s="155"/>
      <c r="M30" s="155"/>
      <c r="N30" s="155"/>
    </row>
    <row r="31" spans="2:14" x14ac:dyDescent="0.2">
      <c r="B31" s="167" t="s">
        <v>38</v>
      </c>
      <c r="C31" s="181">
        <f>E28+J36</f>
        <v>158</v>
      </c>
      <c r="D31" s="182">
        <f>C31*C20</f>
        <v>9480</v>
      </c>
      <c r="E31" s="163"/>
      <c r="F31" s="33"/>
      <c r="G31" s="163" t="s">
        <v>17</v>
      </c>
      <c r="H31" s="163" t="s">
        <v>30</v>
      </c>
      <c r="I31" s="5"/>
      <c r="J31" s="164"/>
      <c r="K31" s="155"/>
      <c r="L31" s="155"/>
      <c r="M31" s="155"/>
      <c r="N31" s="155"/>
    </row>
    <row r="32" spans="2:14" x14ac:dyDescent="0.2">
      <c r="B32" s="167" t="s">
        <v>39</v>
      </c>
      <c r="C32" s="181">
        <f>E29+J37</f>
        <v>99</v>
      </c>
      <c r="D32" s="182">
        <f>C32*D20</f>
        <v>5940</v>
      </c>
      <c r="E32" s="163"/>
      <c r="F32" s="167"/>
      <c r="G32" s="163">
        <v>70</v>
      </c>
      <c r="H32" s="163">
        <v>56</v>
      </c>
      <c r="I32" s="163" t="s">
        <v>27</v>
      </c>
      <c r="J32" s="170" t="s">
        <v>1</v>
      </c>
      <c r="K32" s="155"/>
      <c r="L32" s="155"/>
      <c r="M32" s="155"/>
      <c r="N32" s="155"/>
    </row>
    <row r="33" spans="2:17" x14ac:dyDescent="0.2">
      <c r="B33" s="167"/>
      <c r="C33" s="168" t="s">
        <v>79</v>
      </c>
      <c r="D33" s="182">
        <f>D31+D32</f>
        <v>15420</v>
      </c>
      <c r="E33" s="168"/>
      <c r="F33" s="183" t="s">
        <v>32</v>
      </c>
      <c r="G33" s="163">
        <v>4</v>
      </c>
      <c r="H33" s="163">
        <v>38</v>
      </c>
      <c r="I33" s="184">
        <f>(G32*G33)+(H32*H33)</f>
        <v>2408</v>
      </c>
      <c r="J33" s="170">
        <f>E25</f>
        <v>2400.3000000000002</v>
      </c>
      <c r="K33" s="333" t="s">
        <v>369</v>
      </c>
      <c r="L33" s="334"/>
      <c r="M33" s="334"/>
      <c r="N33" s="334"/>
      <c r="O33" s="334"/>
      <c r="P33" s="334"/>
      <c r="Q33" s="334"/>
    </row>
    <row r="34" spans="2:17" x14ac:dyDescent="0.2">
      <c r="B34" s="167"/>
      <c r="C34" s="168" t="s">
        <v>316</v>
      </c>
      <c r="D34" s="182">
        <f>C7*2</f>
        <v>11000</v>
      </c>
      <c r="E34" s="168"/>
      <c r="F34" s="183" t="s">
        <v>34</v>
      </c>
      <c r="G34" s="163">
        <v>15</v>
      </c>
      <c r="H34" s="163">
        <v>24</v>
      </c>
      <c r="I34" s="163">
        <f>(G32*G34)+(H32*H34)</f>
        <v>2394</v>
      </c>
      <c r="J34" s="170">
        <f>E25</f>
        <v>2400.3000000000002</v>
      </c>
      <c r="K34" s="155"/>
      <c r="L34" s="155"/>
      <c r="M34" s="155"/>
      <c r="N34" s="155"/>
    </row>
    <row r="35" spans="2:17" ht="17" thickBot="1" x14ac:dyDescent="0.25">
      <c r="B35" s="176"/>
      <c r="C35" s="177" t="s">
        <v>19</v>
      </c>
      <c r="D35" s="185">
        <f>D33-D34</f>
        <v>4420</v>
      </c>
      <c r="E35" s="186"/>
      <c r="F35" s="167"/>
      <c r="G35" s="163"/>
      <c r="H35" s="163"/>
      <c r="I35" s="327" t="s">
        <v>45</v>
      </c>
      <c r="J35" s="328"/>
      <c r="K35" s="155"/>
      <c r="L35" s="155"/>
      <c r="M35" s="155"/>
      <c r="N35" s="155"/>
    </row>
    <row r="36" spans="2:17" x14ac:dyDescent="0.2">
      <c r="B36" s="155"/>
      <c r="C36" s="155"/>
      <c r="D36" s="155"/>
      <c r="E36" s="155"/>
      <c r="F36" s="167"/>
      <c r="G36" s="163"/>
      <c r="H36" s="163"/>
      <c r="I36" s="163" t="s">
        <v>38</v>
      </c>
      <c r="J36" s="170">
        <f>G32</f>
        <v>70</v>
      </c>
      <c r="K36" s="155"/>
      <c r="L36" s="155"/>
      <c r="M36" s="155"/>
      <c r="N36" s="155"/>
    </row>
    <row r="37" spans="2:17" ht="17" thickBot="1" x14ac:dyDescent="0.25">
      <c r="B37" s="155"/>
      <c r="C37" s="155"/>
      <c r="D37" s="155"/>
      <c r="E37" s="155"/>
      <c r="F37" s="176"/>
      <c r="G37" s="178"/>
      <c r="H37" s="178"/>
      <c r="I37" s="178" t="s">
        <v>39</v>
      </c>
      <c r="J37" s="187">
        <f>H32-1</f>
        <v>55</v>
      </c>
      <c r="K37" s="155"/>
      <c r="L37" s="155"/>
      <c r="M37" s="155"/>
      <c r="N37" s="155"/>
    </row>
    <row r="38" spans="2:17" x14ac:dyDescent="0.2">
      <c r="B38" s="155"/>
      <c r="C38" s="155"/>
      <c r="D38" s="155"/>
      <c r="E38" s="155"/>
      <c r="F38" s="155"/>
      <c r="G38" s="156"/>
      <c r="H38" s="156"/>
      <c r="I38" s="156"/>
      <c r="J38" s="156"/>
      <c r="K38" s="155"/>
      <c r="L38" s="155"/>
      <c r="M38" s="155"/>
      <c r="N38" s="155"/>
    </row>
    <row r="39" spans="2:17" x14ac:dyDescent="0.2">
      <c r="B39" s="155"/>
      <c r="C39" s="155"/>
      <c r="D39" s="155"/>
      <c r="E39" s="155"/>
      <c r="F39" s="155"/>
      <c r="G39" s="156"/>
      <c r="H39" s="156"/>
      <c r="I39" s="156"/>
      <c r="J39" s="156"/>
      <c r="K39" s="155"/>
      <c r="L39" s="155"/>
      <c r="M39" s="155"/>
      <c r="N39" s="155"/>
    </row>
    <row r="40" spans="2:17" x14ac:dyDescent="0.2"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2:17" x14ac:dyDescent="0.2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</row>
    <row r="42" spans="2:17" x14ac:dyDescent="0.2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</row>
    <row r="43" spans="2:17" x14ac:dyDescent="0.2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4" spans="2:17" x14ac:dyDescent="0.2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</row>
    <row r="45" spans="2:17" x14ac:dyDescent="0.2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</row>
    <row r="46" spans="2:17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7" spans="2:17" x14ac:dyDescent="0.2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</row>
    <row r="48" spans="2:17" x14ac:dyDescent="0.2"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</row>
    <row r="49" spans="2:14" x14ac:dyDescent="0.2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</row>
    <row r="50" spans="2:14" x14ac:dyDescent="0.2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</row>
    <row r="51" spans="2:14" x14ac:dyDescent="0.2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</row>
    <row r="52" spans="2:14" x14ac:dyDescent="0.2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</row>
    <row r="53" spans="2:14" x14ac:dyDescent="0.2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  <row r="54" spans="2:14" x14ac:dyDescent="0.2"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</row>
    <row r="55" spans="2:14" x14ac:dyDescent="0.2"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</row>
    <row r="56" spans="2:14" x14ac:dyDescent="0.2"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</row>
    <row r="57" spans="2:14" x14ac:dyDescent="0.2"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</row>
    <row r="58" spans="2:14" x14ac:dyDescent="0.2"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</row>
  </sheetData>
  <mergeCells count="7">
    <mergeCell ref="I35:J35"/>
    <mergeCell ref="K17:M22"/>
    <mergeCell ref="D27:E27"/>
    <mergeCell ref="H27:I27"/>
    <mergeCell ref="B30:D30"/>
    <mergeCell ref="F30:J30"/>
    <mergeCell ref="K33:Q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Q18"/>
  <sheetViews>
    <sheetView workbookViewId="0">
      <selection activeCell="H9" sqref="H9"/>
    </sheetView>
  </sheetViews>
  <sheetFormatPr baseColWidth="10" defaultRowHeight="16" x14ac:dyDescent="0.2"/>
  <cols>
    <col min="3" max="3" width="14.5" bestFit="1" customWidth="1"/>
    <col min="7" max="7" width="11.33203125" customWidth="1"/>
    <col min="8" max="8" width="15" bestFit="1" customWidth="1"/>
    <col min="15" max="15" width="12.83203125" bestFit="1" customWidth="1"/>
    <col min="16" max="17" width="10.83203125" style="36"/>
  </cols>
  <sheetData>
    <row r="2" spans="1:17" x14ac:dyDescent="0.2">
      <c r="K2" s="335" t="s">
        <v>22</v>
      </c>
      <c r="L2" s="335"/>
      <c r="M2" s="335"/>
      <c r="N2" s="335"/>
      <c r="O2" s="76" t="s">
        <v>370</v>
      </c>
      <c r="P2" s="76" t="s">
        <v>371</v>
      </c>
      <c r="Q2" s="76" t="s">
        <v>16</v>
      </c>
    </row>
    <row r="3" spans="1:17" x14ac:dyDescent="0.2">
      <c r="D3" s="335" t="s">
        <v>20</v>
      </c>
      <c r="E3" s="335"/>
      <c r="K3" s="36"/>
      <c r="L3" s="36" t="s">
        <v>6</v>
      </c>
      <c r="M3" s="36" t="s">
        <v>5</v>
      </c>
      <c r="N3" s="36" t="s">
        <v>8</v>
      </c>
      <c r="O3" s="36" t="s">
        <v>32</v>
      </c>
      <c r="P3" s="36">
        <f>(0.4*60)/100</f>
        <v>0.24</v>
      </c>
      <c r="Q3" s="14">
        <f>+(P3*B7)/(2-A7)</f>
        <v>0.21028571428571427</v>
      </c>
    </row>
    <row r="4" spans="1:17" x14ac:dyDescent="0.2">
      <c r="C4" s="36" t="s">
        <v>372</v>
      </c>
      <c r="D4" s="36">
        <v>2000</v>
      </c>
      <c r="E4" s="36">
        <v>3000</v>
      </c>
      <c r="F4" s="36"/>
      <c r="G4" s="36"/>
      <c r="H4" s="36"/>
      <c r="I4" s="36"/>
      <c r="J4" s="36"/>
      <c r="K4" s="36" t="s">
        <v>4</v>
      </c>
      <c r="L4" s="36">
        <v>3</v>
      </c>
      <c r="M4" s="36">
        <v>2</v>
      </c>
      <c r="N4" s="36">
        <v>3</v>
      </c>
      <c r="O4" s="36" t="s">
        <v>34</v>
      </c>
      <c r="P4" s="36">
        <f>+(0.3*60)/100</f>
        <v>0.18</v>
      </c>
      <c r="Q4" s="14">
        <f t="shared" ref="Q4:Q6" si="0">+(P4*B8)/(2-A8)</f>
        <v>0.1577142857142857</v>
      </c>
    </row>
    <row r="5" spans="1:17" x14ac:dyDescent="0.2">
      <c r="C5" s="36" t="s">
        <v>373</v>
      </c>
      <c r="D5" s="36">
        <v>4000</v>
      </c>
      <c r="E5" s="36">
        <v>3000</v>
      </c>
      <c r="F5" s="36" t="s">
        <v>27</v>
      </c>
      <c r="G5" s="36" t="s">
        <v>354</v>
      </c>
      <c r="H5" s="36" t="s">
        <v>294</v>
      </c>
      <c r="I5" s="36" t="s">
        <v>374</v>
      </c>
      <c r="J5" s="36" t="s">
        <v>374</v>
      </c>
      <c r="K5" s="36" t="s">
        <v>23</v>
      </c>
      <c r="L5" s="36">
        <v>1</v>
      </c>
      <c r="M5" s="36">
        <v>4</v>
      </c>
      <c r="N5" s="36">
        <v>4</v>
      </c>
      <c r="O5" s="36" t="s">
        <v>33</v>
      </c>
      <c r="P5" s="36">
        <f>(60*0.6)/100</f>
        <v>0.36</v>
      </c>
      <c r="Q5" s="14">
        <f t="shared" si="0"/>
        <v>0.32571428571428568</v>
      </c>
    </row>
    <row r="6" spans="1:17" x14ac:dyDescent="0.2">
      <c r="A6" s="36" t="s">
        <v>25</v>
      </c>
      <c r="B6" s="36" t="s">
        <v>24</v>
      </c>
      <c r="C6" s="36" t="s">
        <v>31</v>
      </c>
      <c r="D6" s="36" t="s">
        <v>4</v>
      </c>
      <c r="E6" s="36" t="s">
        <v>23</v>
      </c>
      <c r="F6" s="36" t="s">
        <v>37</v>
      </c>
      <c r="G6" s="36" t="s">
        <v>13</v>
      </c>
      <c r="H6" s="36" t="s">
        <v>1</v>
      </c>
      <c r="I6" s="36" t="s">
        <v>375</v>
      </c>
      <c r="J6" s="36" t="s">
        <v>376</v>
      </c>
      <c r="K6" s="36"/>
      <c r="O6" s="36" t="s">
        <v>42</v>
      </c>
      <c r="P6" s="36">
        <v>1.5</v>
      </c>
      <c r="Q6" s="36">
        <f t="shared" si="0"/>
        <v>1.35</v>
      </c>
    </row>
    <row r="7" spans="1:17" x14ac:dyDescent="0.2">
      <c r="A7" s="36">
        <v>0.95</v>
      </c>
      <c r="B7" s="36">
        <v>0.92</v>
      </c>
      <c r="C7" s="36" t="s">
        <v>32</v>
      </c>
      <c r="D7" s="14">
        <f>+($L$4+$M$4+$N$4)*Q3</f>
        <v>1.6822857142857142</v>
      </c>
      <c r="E7" s="14">
        <f>+($L$5+$M$5+$N$5)*Q3</f>
        <v>1.8925714285714283</v>
      </c>
      <c r="F7" s="11">
        <f>+($D$4*D7)+($E$4*E7)</f>
        <v>9042.2857142857138</v>
      </c>
      <c r="G7" s="11">
        <f>($D$5*D7)+($E$5*E7)</f>
        <v>12406.857142857141</v>
      </c>
      <c r="H7" s="11">
        <f>200*60*0.95*0.95*0.9*1.1</f>
        <v>10721.7</v>
      </c>
      <c r="I7" s="11">
        <f>+F7/H7</f>
        <v>0.84336305942954137</v>
      </c>
      <c r="J7" s="11">
        <f>+G7/H7</f>
        <v>1.157172569914952</v>
      </c>
      <c r="K7" s="36"/>
    </row>
    <row r="8" spans="1:17" x14ac:dyDescent="0.2">
      <c r="A8" s="36">
        <v>0.95</v>
      </c>
      <c r="B8" s="36">
        <v>0.92</v>
      </c>
      <c r="C8" s="36" t="s">
        <v>34</v>
      </c>
      <c r="D8" s="14">
        <f t="shared" ref="D8:D9" si="1">+($L$4+$M$4+$N$4)*Q4</f>
        <v>1.2617142857142856</v>
      </c>
      <c r="E8" s="14">
        <f t="shared" ref="E8:E9" si="2">+($L$5+$M$5+$N$5)*Q4</f>
        <v>1.4194285714285713</v>
      </c>
      <c r="F8" s="11">
        <f t="shared" ref="F8:F10" si="3">+($D$4*D8)+($E$4*E8)</f>
        <v>6781.7142857142844</v>
      </c>
      <c r="G8" s="11">
        <f t="shared" ref="G8:G10" si="4">($D$5*D8)+($E$5*E8)</f>
        <v>9305.1428571428551</v>
      </c>
      <c r="H8" s="11">
        <f t="shared" ref="H8:H10" si="5">200*60*0.95*0.95*0.9*1.1</f>
        <v>10721.7</v>
      </c>
      <c r="I8" s="11">
        <f t="shared" ref="I8:I10" si="6">+F8/H8</f>
        <v>0.63252229457215592</v>
      </c>
      <c r="J8" s="11">
        <f t="shared" ref="J8:J10" si="7">+G8/H8</f>
        <v>0.86787942743621393</v>
      </c>
      <c r="K8" s="36"/>
      <c r="M8" t="s">
        <v>28</v>
      </c>
      <c r="N8" s="36" t="s">
        <v>4</v>
      </c>
      <c r="O8" s="36" t="s">
        <v>23</v>
      </c>
    </row>
    <row r="9" spans="1:17" x14ac:dyDescent="0.2">
      <c r="A9" s="36">
        <v>0.95</v>
      </c>
      <c r="B9" s="36">
        <v>0.95</v>
      </c>
      <c r="C9" s="139" t="s">
        <v>33</v>
      </c>
      <c r="D9" s="140">
        <f t="shared" si="1"/>
        <v>2.6057142857142854</v>
      </c>
      <c r="E9" s="140">
        <f t="shared" si="2"/>
        <v>2.9314285714285711</v>
      </c>
      <c r="F9" s="149">
        <f t="shared" si="3"/>
        <v>14005.714285714284</v>
      </c>
      <c r="G9" s="149">
        <f t="shared" si="4"/>
        <v>19217.142857142855</v>
      </c>
      <c r="H9" s="149">
        <f t="shared" si="5"/>
        <v>10721.7</v>
      </c>
      <c r="I9" s="149">
        <f t="shared" si="6"/>
        <v>1.3062960431381483</v>
      </c>
      <c r="J9" s="149">
        <f t="shared" si="7"/>
        <v>1.7923596870965288</v>
      </c>
      <c r="K9" s="188" t="s">
        <v>278</v>
      </c>
      <c r="M9" t="s">
        <v>77</v>
      </c>
      <c r="N9" s="36">
        <v>14400</v>
      </c>
      <c r="O9" s="36">
        <v>18000</v>
      </c>
    </row>
    <row r="10" spans="1:17" x14ac:dyDescent="0.2">
      <c r="A10" s="36">
        <v>1</v>
      </c>
      <c r="B10" s="36">
        <v>0.9</v>
      </c>
      <c r="C10" s="36" t="s">
        <v>42</v>
      </c>
      <c r="D10" s="14">
        <f>Q6</f>
        <v>1.35</v>
      </c>
      <c r="E10" s="14">
        <f>Q6</f>
        <v>1.35</v>
      </c>
      <c r="F10" s="11">
        <f t="shared" si="3"/>
        <v>6750</v>
      </c>
      <c r="G10" s="11">
        <f t="shared" si="4"/>
        <v>9450</v>
      </c>
      <c r="H10" s="11">
        <f t="shared" si="5"/>
        <v>10721.7</v>
      </c>
      <c r="I10" s="11">
        <f t="shared" si="6"/>
        <v>0.62956434147569873</v>
      </c>
      <c r="J10" s="11">
        <f t="shared" si="7"/>
        <v>0.88139007806597824</v>
      </c>
      <c r="K10" s="36"/>
      <c r="M10" t="s">
        <v>15</v>
      </c>
      <c r="N10" s="36">
        <f>+(1000*L4)+(2000*M4)+(1000*N4)</f>
        <v>10000</v>
      </c>
      <c r="O10" s="36">
        <f>+(1000*L5)+(2000*M5)+(1000*N5)</f>
        <v>13000</v>
      </c>
    </row>
    <row r="11" spans="1:17" x14ac:dyDescent="0.2">
      <c r="D11" s="36"/>
      <c r="E11" s="36"/>
      <c r="F11" s="36"/>
      <c r="G11" s="36"/>
      <c r="H11" s="36"/>
      <c r="I11" s="36"/>
      <c r="J11" s="36"/>
      <c r="K11" s="36"/>
      <c r="M11" t="s">
        <v>377</v>
      </c>
      <c r="N11" s="36">
        <f>+N9-N10</f>
        <v>4400</v>
      </c>
      <c r="O11" s="36">
        <f>+O9-O10</f>
        <v>5000</v>
      </c>
    </row>
    <row r="12" spans="1:17" x14ac:dyDescent="0.2">
      <c r="D12" s="36"/>
      <c r="E12" s="36"/>
      <c r="F12" s="36"/>
      <c r="G12" s="36"/>
      <c r="H12" s="36"/>
      <c r="I12" s="36"/>
      <c r="J12" s="36"/>
      <c r="K12" s="36"/>
      <c r="M12" t="s">
        <v>277</v>
      </c>
      <c r="N12" s="14">
        <f>D9</f>
        <v>2.6057142857142854</v>
      </c>
      <c r="O12" s="14">
        <f>E9</f>
        <v>2.9314285714285711</v>
      </c>
    </row>
    <row r="13" spans="1:17" x14ac:dyDescent="0.2">
      <c r="C13" s="36" t="s">
        <v>45</v>
      </c>
      <c r="D13" s="36" t="s">
        <v>37</v>
      </c>
      <c r="E13" s="36" t="s">
        <v>13</v>
      </c>
      <c r="G13" s="36" t="s">
        <v>4</v>
      </c>
      <c r="H13">
        <f>+D14*N11</f>
        <v>3251600</v>
      </c>
      <c r="M13" t="s">
        <v>221</v>
      </c>
      <c r="N13" s="11">
        <f>+N11/N12</f>
        <v>1688.5964912280704</v>
      </c>
      <c r="O13" s="11">
        <f>+O11/O12</f>
        <v>1705.6530214424954</v>
      </c>
    </row>
    <row r="14" spans="1:17" x14ac:dyDescent="0.2">
      <c r="C14" s="36" t="s">
        <v>4</v>
      </c>
      <c r="D14" s="6">
        <f>ROUNDDOWN((H9-(D15*E9))/D9,0)</f>
        <v>739</v>
      </c>
      <c r="E14" s="6">
        <f>D14</f>
        <v>739</v>
      </c>
      <c r="G14" s="36" t="s">
        <v>23</v>
      </c>
      <c r="H14">
        <f>+D15*O11</f>
        <v>15000000</v>
      </c>
      <c r="N14" s="36"/>
      <c r="O14" s="36"/>
    </row>
    <row r="15" spans="1:17" x14ac:dyDescent="0.2">
      <c r="C15" s="36" t="s">
        <v>23</v>
      </c>
      <c r="D15" s="36">
        <f>E4</f>
        <v>3000</v>
      </c>
      <c r="E15" s="36">
        <f>E5</f>
        <v>3000</v>
      </c>
      <c r="G15" s="36" t="s">
        <v>79</v>
      </c>
      <c r="H15">
        <f>+H13+H14</f>
        <v>18251600</v>
      </c>
    </row>
    <row r="16" spans="1:17" x14ac:dyDescent="0.2">
      <c r="G16" s="36" t="s">
        <v>316</v>
      </c>
      <c r="H16">
        <v>7500000</v>
      </c>
    </row>
    <row r="17" spans="7:8" x14ac:dyDescent="0.2">
      <c r="G17" s="36" t="s">
        <v>378</v>
      </c>
      <c r="H17" s="28">
        <f>+H15-H16</f>
        <v>10751600</v>
      </c>
    </row>
    <row r="18" spans="7:8" x14ac:dyDescent="0.2">
      <c r="G18" s="36"/>
    </row>
  </sheetData>
  <mergeCells count="2">
    <mergeCell ref="K2:N2"/>
    <mergeCell ref="D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A888-00A4-9643-838E-48D19EC0A8A0}">
  <dimension ref="B31:F34"/>
  <sheetViews>
    <sheetView workbookViewId="0">
      <selection activeCell="C32" sqref="C32"/>
    </sheetView>
  </sheetViews>
  <sheetFormatPr baseColWidth="10" defaultRowHeight="16" x14ac:dyDescent="0.2"/>
  <cols>
    <col min="1" max="1" width="4.6640625" customWidth="1"/>
    <col min="2" max="2" width="24.5" customWidth="1"/>
  </cols>
  <sheetData>
    <row r="31" spans="2:6" x14ac:dyDescent="0.2">
      <c r="B31" s="29" t="s">
        <v>441</v>
      </c>
      <c r="C31" s="224">
        <f>30+45+54+54</f>
        <v>183</v>
      </c>
      <c r="D31" s="224" t="s">
        <v>181</v>
      </c>
      <c r="F31" s="145" t="s">
        <v>442</v>
      </c>
    </row>
    <row r="32" spans="2:6" x14ac:dyDescent="0.2">
      <c r="B32" s="29" t="s">
        <v>443</v>
      </c>
      <c r="C32" s="224">
        <f>5+0.6+0.2+0</f>
        <v>5.8</v>
      </c>
      <c r="D32" s="224" t="s">
        <v>444</v>
      </c>
      <c r="F32" s="145" t="s">
        <v>445</v>
      </c>
    </row>
    <row r="33" spans="2:6" x14ac:dyDescent="0.2">
      <c r="B33" s="29" t="s">
        <v>446</v>
      </c>
      <c r="C33" s="224">
        <f>27000/500</f>
        <v>54</v>
      </c>
      <c r="D33" s="224">
        <f>+C33/60</f>
        <v>0.9</v>
      </c>
      <c r="F33" s="145" t="s">
        <v>447</v>
      </c>
    </row>
    <row r="34" spans="2:6" x14ac:dyDescent="0.2">
      <c r="F34" s="145" t="s">
        <v>448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59"/>
  <sheetViews>
    <sheetView workbookViewId="0">
      <selection activeCell="D13" sqref="D13"/>
    </sheetView>
  </sheetViews>
  <sheetFormatPr baseColWidth="10" defaultRowHeight="13" x14ac:dyDescent="0.15"/>
  <cols>
    <col min="1" max="1" width="17.33203125" style="7" customWidth="1"/>
    <col min="2" max="2" width="10.83203125" style="7"/>
    <col min="3" max="3" width="16.5" style="7" bestFit="1" customWidth="1"/>
    <col min="4" max="4" width="16.33203125" style="7" customWidth="1"/>
    <col min="5" max="5" width="10.83203125" style="7"/>
    <col min="6" max="6" width="7.6640625" style="7" customWidth="1"/>
    <col min="7" max="8" width="5.33203125" style="7" customWidth="1"/>
    <col min="9" max="9" width="14.83203125" style="7" customWidth="1"/>
    <col min="10" max="15" width="4.6640625" style="7" customWidth="1"/>
    <col min="16" max="18" width="4.1640625" style="7" customWidth="1"/>
    <col min="19" max="21" width="5.33203125" style="7" customWidth="1"/>
    <col min="22" max="16384" width="10.83203125" style="7"/>
  </cols>
  <sheetData>
    <row r="1" spans="1:22" x14ac:dyDescent="0.15">
      <c r="A1" s="189"/>
      <c r="B1" s="189"/>
      <c r="C1" s="189"/>
      <c r="D1" s="189"/>
      <c r="E1" s="189"/>
      <c r="F1" s="338" t="s">
        <v>379</v>
      </c>
      <c r="G1" s="338"/>
      <c r="H1" s="338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x14ac:dyDescent="0.15">
      <c r="A2" s="189"/>
      <c r="B2" s="190" t="s">
        <v>28</v>
      </c>
      <c r="C2" s="190" t="s">
        <v>380</v>
      </c>
      <c r="D2" s="190" t="s">
        <v>381</v>
      </c>
      <c r="E2" s="190"/>
      <c r="F2" s="190" t="s">
        <v>9</v>
      </c>
      <c r="G2" s="190" t="s">
        <v>11</v>
      </c>
      <c r="H2" s="190" t="s">
        <v>23</v>
      </c>
      <c r="I2" s="190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x14ac:dyDescent="0.15">
      <c r="A3" s="189"/>
      <c r="B3" s="190" t="s">
        <v>17</v>
      </c>
      <c r="C3" s="191">
        <v>1200</v>
      </c>
      <c r="D3" s="191">
        <v>500</v>
      </c>
      <c r="E3" s="190" t="s">
        <v>382</v>
      </c>
      <c r="F3" s="190">
        <v>2</v>
      </c>
      <c r="G3" s="190">
        <v>2</v>
      </c>
      <c r="H3" s="190">
        <v>1</v>
      </c>
      <c r="I3" s="190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x14ac:dyDescent="0.15">
      <c r="A4" s="189"/>
      <c r="B4" s="190" t="s">
        <v>30</v>
      </c>
      <c r="C4" s="191">
        <v>2000</v>
      </c>
      <c r="D4" s="191">
        <v>700</v>
      </c>
      <c r="E4" s="190"/>
      <c r="F4" s="190">
        <v>2</v>
      </c>
      <c r="G4" s="190">
        <v>2</v>
      </c>
      <c r="H4" s="190">
        <v>3</v>
      </c>
      <c r="I4" s="190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x14ac:dyDescent="0.15">
      <c r="A5" s="189"/>
      <c r="B5" s="190" t="s">
        <v>46</v>
      </c>
      <c r="C5" s="191">
        <v>1800</v>
      </c>
      <c r="D5" s="191">
        <v>300</v>
      </c>
      <c r="E5" s="190"/>
      <c r="F5" s="190">
        <v>1</v>
      </c>
      <c r="G5" s="190">
        <v>1</v>
      </c>
      <c r="H5" s="190">
        <v>1</v>
      </c>
      <c r="I5" s="190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x14ac:dyDescent="0.15">
      <c r="A6" s="189"/>
      <c r="B6" s="190"/>
      <c r="C6" s="190"/>
      <c r="D6" s="190"/>
      <c r="E6" s="190"/>
      <c r="F6" s="190"/>
      <c r="G6" s="190"/>
      <c r="H6" s="190"/>
      <c r="I6" s="192" t="s">
        <v>383</v>
      </c>
      <c r="J6" s="192" t="s">
        <v>384</v>
      </c>
      <c r="K6" s="192" t="s">
        <v>385</v>
      </c>
      <c r="L6" s="192" t="s">
        <v>386</v>
      </c>
      <c r="M6" s="192" t="s">
        <v>387</v>
      </c>
      <c r="N6" s="192" t="s">
        <v>388</v>
      </c>
      <c r="O6" s="192" t="s">
        <v>389</v>
      </c>
      <c r="P6" s="192" t="s">
        <v>390</v>
      </c>
      <c r="Q6" s="192" t="s">
        <v>391</v>
      </c>
      <c r="R6" s="192" t="s">
        <v>392</v>
      </c>
      <c r="S6" s="192" t="s">
        <v>393</v>
      </c>
      <c r="T6" s="192" t="s">
        <v>394</v>
      </c>
      <c r="U6" s="192" t="s">
        <v>395</v>
      </c>
      <c r="V6" s="189"/>
    </row>
    <row r="7" spans="1:22" x14ac:dyDescent="0.15">
      <c r="A7" s="189"/>
      <c r="B7" s="190"/>
      <c r="C7" s="190"/>
      <c r="D7" s="190"/>
      <c r="E7" s="190"/>
      <c r="F7" s="190"/>
      <c r="G7" s="190"/>
      <c r="H7" s="190"/>
      <c r="I7" s="192" t="s">
        <v>396</v>
      </c>
      <c r="J7" s="192">
        <v>0.3</v>
      </c>
      <c r="K7" s="192">
        <v>0.4</v>
      </c>
      <c r="L7" s="192">
        <v>0.2</v>
      </c>
      <c r="M7" s="192">
        <v>0.3</v>
      </c>
      <c r="N7" s="192">
        <v>0.5</v>
      </c>
      <c r="O7" s="192">
        <v>0.3</v>
      </c>
      <c r="P7" s="192">
        <v>2</v>
      </c>
      <c r="Q7" s="192">
        <v>3</v>
      </c>
      <c r="R7" s="192">
        <v>2</v>
      </c>
      <c r="S7" s="192">
        <v>3</v>
      </c>
      <c r="T7" s="192">
        <v>2</v>
      </c>
      <c r="U7" s="192">
        <v>3</v>
      </c>
      <c r="V7" s="189"/>
    </row>
    <row r="8" spans="1:22" x14ac:dyDescent="0.15">
      <c r="A8" s="189"/>
      <c r="B8" s="190"/>
      <c r="C8" s="190"/>
      <c r="D8" s="190"/>
      <c r="E8" s="190"/>
      <c r="F8" s="190"/>
      <c r="G8" s="190"/>
      <c r="H8" s="190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1:22" x14ac:dyDescent="0.15">
      <c r="A9" s="189"/>
      <c r="B9" s="190"/>
      <c r="C9" s="190"/>
      <c r="D9" s="190"/>
      <c r="E9" s="190"/>
      <c r="F9" s="190"/>
      <c r="G9" s="190"/>
      <c r="H9" s="190"/>
      <c r="I9" s="190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42" x14ac:dyDescent="0.15">
      <c r="A10" s="190" t="s">
        <v>397</v>
      </c>
      <c r="B10" s="190"/>
      <c r="C10" s="190" t="s">
        <v>17</v>
      </c>
      <c r="D10" s="190" t="s">
        <v>30</v>
      </c>
      <c r="E10" s="190" t="s">
        <v>46</v>
      </c>
      <c r="F10" s="193" t="s">
        <v>398</v>
      </c>
      <c r="G10" s="190"/>
      <c r="H10" s="190"/>
      <c r="I10" s="190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2" x14ac:dyDescent="0.15">
      <c r="A11" s="190">
        <v>9500</v>
      </c>
      <c r="B11" s="190" t="s">
        <v>384</v>
      </c>
      <c r="C11" s="190">
        <f>(F3*J7)+(H3*J7)</f>
        <v>0.89999999999999991</v>
      </c>
      <c r="D11" s="190">
        <v>1.5</v>
      </c>
      <c r="E11" s="190">
        <v>0.6</v>
      </c>
      <c r="F11" s="190">
        <f>SUM(C11:E11)</f>
        <v>3</v>
      </c>
      <c r="G11" s="190"/>
      <c r="H11" s="190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</row>
    <row r="12" spans="1:22" x14ac:dyDescent="0.15">
      <c r="A12" s="190">
        <v>9500</v>
      </c>
      <c r="B12" s="190" t="s">
        <v>385</v>
      </c>
      <c r="C12" s="190">
        <v>0.8</v>
      </c>
      <c r="D12" s="190">
        <v>0.8</v>
      </c>
      <c r="E12" s="190">
        <v>0.4</v>
      </c>
      <c r="F12" s="190">
        <f t="shared" ref="F12:F22" si="0">SUM(C12:E12)</f>
        <v>2</v>
      </c>
      <c r="G12" s="190"/>
      <c r="H12" s="190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</row>
    <row r="13" spans="1:22" x14ac:dyDescent="0.15">
      <c r="A13" s="190">
        <v>9500</v>
      </c>
      <c r="B13" s="190" t="s">
        <v>386</v>
      </c>
      <c r="C13" s="190">
        <v>0.4</v>
      </c>
      <c r="D13" s="190">
        <v>0.4</v>
      </c>
      <c r="E13" s="190">
        <v>0.2</v>
      </c>
      <c r="F13" s="190">
        <f t="shared" si="0"/>
        <v>1</v>
      </c>
      <c r="G13" s="190"/>
      <c r="H13" s="190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</row>
    <row r="14" spans="1:22" x14ac:dyDescent="0.15">
      <c r="A14" s="190">
        <v>9500</v>
      </c>
      <c r="B14" s="190" t="s">
        <v>387</v>
      </c>
      <c r="C14" s="190">
        <v>1.5</v>
      </c>
      <c r="D14" s="190">
        <v>2.1</v>
      </c>
      <c r="E14" s="190">
        <v>0.9</v>
      </c>
      <c r="F14" s="190">
        <f t="shared" si="0"/>
        <v>4.5</v>
      </c>
      <c r="G14" s="190"/>
      <c r="H14" s="190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x14ac:dyDescent="0.15">
      <c r="A15" s="194">
        <v>9500</v>
      </c>
      <c r="B15" s="194" t="s">
        <v>388</v>
      </c>
      <c r="C15" s="194">
        <v>1.5</v>
      </c>
      <c r="D15" s="194">
        <v>2.5</v>
      </c>
      <c r="E15" s="194">
        <v>1</v>
      </c>
      <c r="F15" s="194">
        <f t="shared" si="0"/>
        <v>5</v>
      </c>
      <c r="G15" s="195" t="s">
        <v>399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</row>
    <row r="16" spans="1:22" x14ac:dyDescent="0.15">
      <c r="A16" s="190">
        <v>9500</v>
      </c>
      <c r="B16" s="190" t="s">
        <v>389</v>
      </c>
      <c r="C16" s="190">
        <v>0.3</v>
      </c>
      <c r="D16" s="190">
        <v>0.3</v>
      </c>
      <c r="E16" s="190">
        <v>0.3</v>
      </c>
      <c r="F16" s="190">
        <f t="shared" si="0"/>
        <v>0.89999999999999991</v>
      </c>
      <c r="G16" s="190"/>
      <c r="H16" s="190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</row>
    <row r="17" spans="1:22" x14ac:dyDescent="0.15">
      <c r="A17" s="190">
        <v>9500</v>
      </c>
      <c r="B17" s="190" t="s">
        <v>390</v>
      </c>
      <c r="C17" s="190">
        <v>2</v>
      </c>
      <c r="D17" s="190">
        <v>0</v>
      </c>
      <c r="E17" s="190">
        <v>0</v>
      </c>
      <c r="F17" s="190">
        <f t="shared" si="0"/>
        <v>2</v>
      </c>
      <c r="G17" s="190"/>
      <c r="H17" s="190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x14ac:dyDescent="0.15">
      <c r="A18" s="190">
        <v>9500</v>
      </c>
      <c r="B18" s="190" t="s">
        <v>391</v>
      </c>
      <c r="C18" s="190">
        <v>3</v>
      </c>
      <c r="D18" s="190">
        <v>0</v>
      </c>
      <c r="E18" s="190">
        <v>0</v>
      </c>
      <c r="F18" s="190">
        <f t="shared" si="0"/>
        <v>3</v>
      </c>
      <c r="G18" s="190"/>
      <c r="H18" s="190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</row>
    <row r="19" spans="1:22" x14ac:dyDescent="0.15">
      <c r="A19" s="190">
        <v>9500</v>
      </c>
      <c r="B19" s="190" t="s">
        <v>392</v>
      </c>
      <c r="C19" s="190">
        <v>0</v>
      </c>
      <c r="D19" s="190">
        <v>2</v>
      </c>
      <c r="E19" s="190">
        <v>0</v>
      </c>
      <c r="F19" s="190">
        <f t="shared" si="0"/>
        <v>2</v>
      </c>
      <c r="G19" s="190"/>
      <c r="H19" s="190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</row>
    <row r="20" spans="1:22" x14ac:dyDescent="0.15">
      <c r="A20" s="190">
        <v>9500</v>
      </c>
      <c r="B20" s="190" t="s">
        <v>393</v>
      </c>
      <c r="C20" s="190">
        <v>0</v>
      </c>
      <c r="D20" s="190">
        <v>3</v>
      </c>
      <c r="E20" s="190">
        <v>0</v>
      </c>
      <c r="F20" s="190">
        <f t="shared" si="0"/>
        <v>3</v>
      </c>
      <c r="G20" s="189"/>
      <c r="H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</row>
    <row r="21" spans="1:22" x14ac:dyDescent="0.15">
      <c r="A21" s="190">
        <v>9500</v>
      </c>
      <c r="B21" s="190" t="s">
        <v>394</v>
      </c>
      <c r="C21" s="190">
        <v>0</v>
      </c>
      <c r="D21" s="190">
        <v>0</v>
      </c>
      <c r="E21" s="190">
        <v>2</v>
      </c>
      <c r="F21" s="190">
        <f t="shared" si="0"/>
        <v>2</v>
      </c>
      <c r="G21" s="189"/>
      <c r="H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</row>
    <row r="22" spans="1:22" x14ac:dyDescent="0.15">
      <c r="A22" s="190">
        <v>9500</v>
      </c>
      <c r="B22" s="190" t="s">
        <v>395</v>
      </c>
      <c r="C22" s="190">
        <v>0</v>
      </c>
      <c r="D22" s="190">
        <v>0</v>
      </c>
      <c r="E22" s="190">
        <v>3</v>
      </c>
      <c r="F22" s="190">
        <f t="shared" si="0"/>
        <v>3</v>
      </c>
      <c r="G22" s="189"/>
      <c r="H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</row>
    <row r="23" spans="1:22" x14ac:dyDescent="0.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</row>
    <row r="24" spans="1:22" x14ac:dyDescent="0.15">
      <c r="A24" s="189"/>
      <c r="B24" s="190" t="s">
        <v>28</v>
      </c>
      <c r="C24" s="190" t="s">
        <v>17</v>
      </c>
      <c r="D24" s="190" t="s">
        <v>30</v>
      </c>
      <c r="E24" s="190" t="s">
        <v>46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</row>
    <row r="25" spans="1:22" x14ac:dyDescent="0.15">
      <c r="A25" s="189"/>
      <c r="B25" s="190" t="s">
        <v>14</v>
      </c>
      <c r="C25" s="190">
        <v>1200</v>
      </c>
      <c r="D25" s="190">
        <v>2000</v>
      </c>
      <c r="E25" s="190">
        <v>1800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</row>
    <row r="26" spans="1:22" x14ac:dyDescent="0.15">
      <c r="A26" s="189"/>
      <c r="B26" s="190" t="s">
        <v>15</v>
      </c>
      <c r="C26" s="190">
        <v>500</v>
      </c>
      <c r="D26" s="190">
        <v>700</v>
      </c>
      <c r="E26" s="190">
        <v>300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</row>
    <row r="27" spans="1:22" x14ac:dyDescent="0.15">
      <c r="A27" s="189"/>
      <c r="B27" s="190" t="s">
        <v>67</v>
      </c>
      <c r="C27" s="190">
        <v>700</v>
      </c>
      <c r="D27" s="190">
        <v>1300</v>
      </c>
      <c r="E27" s="190">
        <v>1500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</row>
    <row r="28" spans="1:22" x14ac:dyDescent="0.15">
      <c r="A28" s="189"/>
      <c r="B28" s="190" t="s">
        <v>277</v>
      </c>
      <c r="C28" s="190">
        <v>1.5</v>
      </c>
      <c r="D28" s="190">
        <v>2.5</v>
      </c>
      <c r="E28" s="190">
        <v>1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</row>
    <row r="29" spans="1:22" x14ac:dyDescent="0.15">
      <c r="A29" s="189"/>
      <c r="B29" s="190" t="s">
        <v>221</v>
      </c>
      <c r="C29" s="196">
        <v>466.66666666666669</v>
      </c>
      <c r="D29" s="190">
        <v>520</v>
      </c>
      <c r="E29" s="190">
        <v>1500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</row>
    <row r="30" spans="1:22" x14ac:dyDescent="0.1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</row>
    <row r="31" spans="1:22" x14ac:dyDescent="0.15">
      <c r="A31" s="336" t="s">
        <v>400</v>
      </c>
      <c r="B31" s="33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</row>
    <row r="32" spans="1:22" x14ac:dyDescent="0.15">
      <c r="A32" s="337" t="s">
        <v>401</v>
      </c>
      <c r="B32" s="337"/>
      <c r="C32" s="337"/>
      <c r="D32" s="337"/>
      <c r="E32" s="337"/>
      <c r="F32" s="337"/>
      <c r="G32" s="337"/>
      <c r="H32" s="337"/>
      <c r="I32" s="337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</row>
    <row r="33" spans="1:22" ht="28" x14ac:dyDescent="0.15">
      <c r="A33" s="189"/>
      <c r="B33" s="190" t="s">
        <v>28</v>
      </c>
      <c r="C33" s="190" t="s">
        <v>402</v>
      </c>
      <c r="D33" s="193" t="s">
        <v>403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</row>
    <row r="34" spans="1:22" x14ac:dyDescent="0.15">
      <c r="A34" s="189"/>
      <c r="B34" s="190" t="s">
        <v>17</v>
      </c>
      <c r="C34" s="189">
        <v>500</v>
      </c>
      <c r="D34" s="189">
        <f>C34*C15</f>
        <v>750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</row>
    <row r="35" spans="1:22" x14ac:dyDescent="0.1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</row>
    <row r="36" spans="1:22" x14ac:dyDescent="0.15">
      <c r="A36" s="336" t="s">
        <v>404</v>
      </c>
      <c r="B36" s="336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</row>
    <row r="37" spans="1:22" x14ac:dyDescent="0.15">
      <c r="A37" s="337" t="s">
        <v>405</v>
      </c>
      <c r="B37" s="337"/>
      <c r="C37" s="337"/>
      <c r="D37" s="337"/>
      <c r="E37" s="337"/>
      <c r="F37" s="337"/>
      <c r="G37" s="337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</row>
    <row r="38" spans="1:22" x14ac:dyDescent="0.1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2" ht="28" x14ac:dyDescent="0.15">
      <c r="A39" s="189"/>
      <c r="B39" s="190" t="s">
        <v>28</v>
      </c>
      <c r="C39" s="190" t="s">
        <v>402</v>
      </c>
      <c r="D39" s="193" t="s">
        <v>406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2" x14ac:dyDescent="0.15">
      <c r="A40" s="189"/>
      <c r="B40" s="190" t="s">
        <v>46</v>
      </c>
      <c r="C40" s="189">
        <f>D40/E15</f>
        <v>8750</v>
      </c>
      <c r="D40" s="189">
        <f>A15-D34</f>
        <v>8750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2" x14ac:dyDescent="0.15">
      <c r="A41" s="337" t="s">
        <v>407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2" x14ac:dyDescent="0.1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2" ht="28" x14ac:dyDescent="0.15">
      <c r="A43" s="189"/>
      <c r="B43" s="190" t="s">
        <v>28</v>
      </c>
      <c r="C43" s="190" t="s">
        <v>402</v>
      </c>
      <c r="D43" s="193" t="s">
        <v>408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2" x14ac:dyDescent="0.15">
      <c r="A44" s="189"/>
      <c r="B44" s="190" t="s">
        <v>46</v>
      </c>
      <c r="C44" s="197">
        <f>D44/E22</f>
        <v>3166.6666666666665</v>
      </c>
      <c r="D44" s="189">
        <f>A22</f>
        <v>9500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2" x14ac:dyDescent="0.1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2" x14ac:dyDescent="0.15">
      <c r="A46" s="336" t="s">
        <v>409</v>
      </c>
      <c r="B46" s="336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2" x14ac:dyDescent="0.15">
      <c r="A47" s="337" t="s">
        <v>410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2" x14ac:dyDescent="0.1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1:22" ht="14" x14ac:dyDescent="0.15">
      <c r="A49" s="189"/>
      <c r="B49" s="190" t="s">
        <v>28</v>
      </c>
      <c r="C49" s="190" t="s">
        <v>402</v>
      </c>
      <c r="D49" s="193" t="s">
        <v>411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1:22" x14ac:dyDescent="0.15">
      <c r="A50" s="189"/>
      <c r="B50" s="190" t="s">
        <v>30</v>
      </c>
      <c r="C50" s="197">
        <f>D50/D15</f>
        <v>2233.3333333333335</v>
      </c>
      <c r="D50" s="197">
        <f>A15-(C34*C15)-(C44*E15)</f>
        <v>5583.3333333333339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1:22" x14ac:dyDescent="0.1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1:22" x14ac:dyDescent="0.15">
      <c r="A52" s="198" t="s">
        <v>412</v>
      </c>
      <c r="B52" s="189"/>
      <c r="C52" s="190" t="s">
        <v>413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1:22" x14ac:dyDescent="0.15">
      <c r="A53" s="199" t="s">
        <v>17</v>
      </c>
      <c r="B53" s="189">
        <f>C34</f>
        <v>500</v>
      </c>
      <c r="C53" s="200">
        <f>B53*C27</f>
        <v>350000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</row>
    <row r="54" spans="1:22" x14ac:dyDescent="0.15">
      <c r="A54" s="199" t="s">
        <v>30</v>
      </c>
      <c r="B54" s="197">
        <f>C50</f>
        <v>2233.3333333333335</v>
      </c>
      <c r="C54" s="200">
        <f>B54*D27</f>
        <v>2903333.3333333335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</row>
    <row r="55" spans="1:22" x14ac:dyDescent="0.15">
      <c r="A55" s="199" t="s">
        <v>46</v>
      </c>
      <c r="B55" s="197">
        <f>C44</f>
        <v>3166.6666666666665</v>
      </c>
      <c r="C55" s="200">
        <f>B55*E27</f>
        <v>4750000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</row>
    <row r="56" spans="1:22" x14ac:dyDescent="0.15">
      <c r="A56" s="189"/>
      <c r="B56" s="189" t="s">
        <v>414</v>
      </c>
      <c r="C56" s="201">
        <f>SUM(C53:C55)</f>
        <v>8003333.333333334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</row>
    <row r="57" spans="1:22" ht="28" x14ac:dyDescent="0.15">
      <c r="A57" s="8"/>
      <c r="B57" s="202" t="s">
        <v>415</v>
      </c>
      <c r="C57" s="200">
        <v>6500000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</row>
    <row r="58" spans="1:22" x14ac:dyDescent="0.15">
      <c r="A58" s="189"/>
      <c r="B58" s="189" t="s">
        <v>19</v>
      </c>
      <c r="C58" s="201">
        <f>C56-C57</f>
        <v>1503333.333333334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</row>
    <row r="59" spans="1:22" x14ac:dyDescent="0.1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</row>
  </sheetData>
  <mergeCells count="8">
    <mergeCell ref="A46:B46"/>
    <mergeCell ref="A47:L47"/>
    <mergeCell ref="F1:H1"/>
    <mergeCell ref="A31:B31"/>
    <mergeCell ref="A32:I32"/>
    <mergeCell ref="A36:B36"/>
    <mergeCell ref="A37:G37"/>
    <mergeCell ref="A41:L41"/>
  </mergeCells>
  <printOptions horizontalCentered="1" verticalCentered="1"/>
  <pageMargins left="0.75000000000000011" right="0.75000000000000011" top="1" bottom="1" header="0.5" footer="0.5"/>
  <pageSetup paperSize="0"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L56"/>
  <sheetViews>
    <sheetView workbookViewId="0">
      <selection activeCell="C29" sqref="C29"/>
    </sheetView>
  </sheetViews>
  <sheetFormatPr baseColWidth="10" defaultRowHeight="13" x14ac:dyDescent="0.15"/>
  <cols>
    <col min="1" max="16384" width="10.83203125" style="7"/>
  </cols>
  <sheetData>
    <row r="1" spans="2:10" ht="14" thickBot="1" x14ac:dyDescent="0.2"/>
    <row r="2" spans="2:10" ht="20" thickBot="1" x14ac:dyDescent="0.2">
      <c r="B2" s="203"/>
      <c r="C2" s="204">
        <v>1</v>
      </c>
      <c r="D2" s="204">
        <v>2</v>
      </c>
      <c r="E2" s="204">
        <v>3</v>
      </c>
      <c r="F2" s="204">
        <v>4</v>
      </c>
      <c r="G2" s="204" t="s">
        <v>416</v>
      </c>
      <c r="H2" s="7" t="s">
        <v>417</v>
      </c>
    </row>
    <row r="3" spans="2:10" ht="18" thickBot="1" x14ac:dyDescent="0.2">
      <c r="B3" s="205" t="s">
        <v>4</v>
      </c>
      <c r="C3" s="206">
        <v>2.4</v>
      </c>
      <c r="D3" s="206">
        <v>1.1000000000000001</v>
      </c>
      <c r="E3" s="206">
        <v>0.8</v>
      </c>
      <c r="F3" s="207">
        <v>3</v>
      </c>
      <c r="G3" s="208">
        <v>50</v>
      </c>
      <c r="H3" s="209">
        <f>G3/C3</f>
        <v>20.833333333333336</v>
      </c>
      <c r="I3" s="7">
        <v>3</v>
      </c>
      <c r="J3" s="209"/>
    </row>
    <row r="4" spans="2:10" ht="18" thickBot="1" x14ac:dyDescent="0.2">
      <c r="B4" s="205" t="s">
        <v>6</v>
      </c>
      <c r="C4" s="206">
        <v>2</v>
      </c>
      <c r="D4" s="207">
        <v>2.2000000000000002</v>
      </c>
      <c r="E4" s="206">
        <v>1.2</v>
      </c>
      <c r="F4" s="206">
        <v>2.1</v>
      </c>
      <c r="G4" s="208">
        <v>65</v>
      </c>
      <c r="H4" s="209">
        <f>G4/C4</f>
        <v>32.5</v>
      </c>
      <c r="I4" s="7">
        <v>2</v>
      </c>
      <c r="J4" s="209"/>
    </row>
    <row r="5" spans="2:10" ht="18" thickBot="1" x14ac:dyDescent="0.2">
      <c r="B5" s="205" t="s">
        <v>5</v>
      </c>
      <c r="C5" s="206">
        <v>0.9</v>
      </c>
      <c r="D5" s="206">
        <v>0.9</v>
      </c>
      <c r="E5" s="206">
        <v>1</v>
      </c>
      <c r="F5" s="207">
        <v>2.5</v>
      </c>
      <c r="G5" s="208">
        <v>70</v>
      </c>
      <c r="H5" s="209">
        <f>G5/C5</f>
        <v>77.777777777777771</v>
      </c>
      <c r="I5" s="7">
        <v>1</v>
      </c>
      <c r="J5" s="210"/>
    </row>
    <row r="7" spans="2:10" ht="14" thickBot="1" x14ac:dyDescent="0.2"/>
    <row r="8" spans="2:10" ht="18" thickBot="1" x14ac:dyDescent="0.2">
      <c r="B8" s="211" t="s">
        <v>418</v>
      </c>
      <c r="C8" s="212" t="s">
        <v>419</v>
      </c>
      <c r="D8" s="212" t="s">
        <v>420</v>
      </c>
      <c r="F8" s="213" t="s">
        <v>421</v>
      </c>
    </row>
    <row r="9" spans="2:10" ht="19" x14ac:dyDescent="0.15">
      <c r="B9" s="214" t="s">
        <v>422</v>
      </c>
      <c r="C9" s="215">
        <v>640</v>
      </c>
      <c r="D9" s="215">
        <v>1280</v>
      </c>
    </row>
    <row r="10" spans="2:10" ht="19" x14ac:dyDescent="0.15">
      <c r="B10" s="214" t="s">
        <v>423</v>
      </c>
      <c r="C10" s="215">
        <v>640</v>
      </c>
      <c r="D10" s="215">
        <v>640</v>
      </c>
      <c r="E10" s="7" t="s">
        <v>0</v>
      </c>
      <c r="G10" s="7">
        <v>1</v>
      </c>
      <c r="H10" s="7">
        <v>2</v>
      </c>
      <c r="I10" s="7">
        <v>3</v>
      </c>
      <c r="J10" s="7">
        <v>4</v>
      </c>
    </row>
    <row r="11" spans="2:10" ht="19" x14ac:dyDescent="0.15">
      <c r="B11" s="214" t="s">
        <v>424</v>
      </c>
      <c r="C11" s="215">
        <v>1920</v>
      </c>
      <c r="D11" s="215">
        <v>1920</v>
      </c>
      <c r="E11" s="7">
        <v>100</v>
      </c>
      <c r="F11" s="7" t="s">
        <v>4</v>
      </c>
      <c r="G11" s="7">
        <f t="shared" ref="G11:J13" si="0">$E11*C3</f>
        <v>240</v>
      </c>
      <c r="H11" s="7">
        <f t="shared" si="0"/>
        <v>110.00000000000001</v>
      </c>
      <c r="I11" s="7">
        <f t="shared" si="0"/>
        <v>80</v>
      </c>
      <c r="J11" s="7">
        <f t="shared" si="0"/>
        <v>300</v>
      </c>
    </row>
    <row r="12" spans="2:10" ht="17" customHeight="1" thickBot="1" x14ac:dyDescent="0.2">
      <c r="B12" s="216" t="s">
        <v>425</v>
      </c>
      <c r="C12" s="217">
        <v>1280</v>
      </c>
      <c r="D12" s="217">
        <v>2560</v>
      </c>
      <c r="E12" s="7">
        <v>100</v>
      </c>
      <c r="F12" s="7" t="s">
        <v>6</v>
      </c>
      <c r="G12" s="7">
        <f t="shared" si="0"/>
        <v>200</v>
      </c>
      <c r="H12" s="7">
        <f t="shared" si="0"/>
        <v>220.00000000000003</v>
      </c>
      <c r="I12" s="7">
        <f t="shared" si="0"/>
        <v>120</v>
      </c>
      <c r="J12" s="7">
        <f t="shared" si="0"/>
        <v>210</v>
      </c>
    </row>
    <row r="13" spans="2:10" ht="17" customHeight="1" x14ac:dyDescent="0.15">
      <c r="B13" s="214" t="s">
        <v>426</v>
      </c>
      <c r="C13" s="215">
        <v>100</v>
      </c>
      <c r="D13" s="215">
        <v>75</v>
      </c>
      <c r="E13" s="7">
        <v>300</v>
      </c>
      <c r="F13" s="7" t="s">
        <v>5</v>
      </c>
      <c r="G13" s="7">
        <f t="shared" si="0"/>
        <v>270</v>
      </c>
      <c r="H13" s="7">
        <f t="shared" si="0"/>
        <v>270</v>
      </c>
      <c r="I13" s="7">
        <f t="shared" si="0"/>
        <v>300</v>
      </c>
      <c r="J13" s="7">
        <f t="shared" si="0"/>
        <v>750</v>
      </c>
    </row>
    <row r="14" spans="2:10" ht="17" customHeight="1" x14ac:dyDescent="0.15">
      <c r="B14" s="214" t="s">
        <v>427</v>
      </c>
      <c r="C14" s="215">
        <v>0</v>
      </c>
      <c r="D14" s="215">
        <v>0</v>
      </c>
      <c r="F14" s="218" t="s">
        <v>27</v>
      </c>
      <c r="G14" s="219">
        <f>SUM(G10:G13)</f>
        <v>711</v>
      </c>
      <c r="H14" s="219">
        <f t="shared" ref="H14:J14" si="1">SUM(H10:H13)</f>
        <v>602</v>
      </c>
      <c r="I14" s="219">
        <f t="shared" si="1"/>
        <v>503</v>
      </c>
      <c r="J14" s="219">
        <f t="shared" si="1"/>
        <v>1264</v>
      </c>
    </row>
    <row r="15" spans="2:10" ht="17" customHeight="1" x14ac:dyDescent="0.15">
      <c r="B15" s="214" t="s">
        <v>428</v>
      </c>
      <c r="C15" s="215">
        <v>100</v>
      </c>
      <c r="D15" s="215">
        <v>100</v>
      </c>
      <c r="F15" s="7" t="s">
        <v>82</v>
      </c>
      <c r="G15" s="7">
        <f>C9</f>
        <v>640</v>
      </c>
      <c r="H15" s="7">
        <f>C10</f>
        <v>640</v>
      </c>
      <c r="I15" s="7">
        <f>C11</f>
        <v>1920</v>
      </c>
      <c r="J15" s="7">
        <f>C12</f>
        <v>1280</v>
      </c>
    </row>
    <row r="16" spans="2:10" ht="17" customHeight="1" x14ac:dyDescent="0.15">
      <c r="B16" s="214" t="s">
        <v>429</v>
      </c>
      <c r="C16" s="215">
        <v>20</v>
      </c>
      <c r="D16" s="215">
        <v>25</v>
      </c>
      <c r="F16" s="7" t="s">
        <v>430</v>
      </c>
      <c r="G16" s="220">
        <f>G15-G14</f>
        <v>-71</v>
      </c>
      <c r="H16" s="7">
        <f t="shared" ref="H16:J16" si="2">H15-H14</f>
        <v>38</v>
      </c>
      <c r="I16" s="7">
        <f t="shared" si="2"/>
        <v>1417</v>
      </c>
      <c r="J16" s="7">
        <f t="shared" si="2"/>
        <v>16</v>
      </c>
    </row>
    <row r="17" spans="2:12" ht="17" customHeight="1" x14ac:dyDescent="0.15">
      <c r="B17" s="214" t="s">
        <v>431</v>
      </c>
      <c r="C17" s="215">
        <v>300</v>
      </c>
      <c r="D17" s="215">
        <v>400</v>
      </c>
      <c r="G17" s="7" t="s">
        <v>278</v>
      </c>
    </row>
    <row r="18" spans="2:12" ht="17" customHeight="1" thickBot="1" x14ac:dyDescent="0.2">
      <c r="B18" s="216" t="s">
        <v>432</v>
      </c>
      <c r="C18" s="217">
        <v>0</v>
      </c>
      <c r="D18" s="217">
        <v>50</v>
      </c>
    </row>
    <row r="19" spans="2:12" ht="17" customHeight="1" x14ac:dyDescent="0.15">
      <c r="E19" s="7" t="s">
        <v>45</v>
      </c>
      <c r="G19" s="7">
        <v>1</v>
      </c>
      <c r="H19" s="7">
        <v>2</v>
      </c>
      <c r="I19" s="7">
        <v>3</v>
      </c>
      <c r="J19" s="7">
        <v>4</v>
      </c>
      <c r="L19" s="7" t="s">
        <v>79</v>
      </c>
    </row>
    <row r="20" spans="2:12" ht="17" customHeight="1" x14ac:dyDescent="0.15">
      <c r="E20" s="30">
        <v>70</v>
      </c>
      <c r="F20" s="7" t="s">
        <v>4</v>
      </c>
      <c r="G20" s="7">
        <f t="shared" ref="G20:J22" si="3">$E20*C3</f>
        <v>168</v>
      </c>
      <c r="H20" s="7">
        <f t="shared" si="3"/>
        <v>77</v>
      </c>
      <c r="I20" s="7">
        <f t="shared" si="3"/>
        <v>56</v>
      </c>
      <c r="J20" s="7">
        <f t="shared" si="3"/>
        <v>210</v>
      </c>
      <c r="L20" s="210">
        <f>E20*G3+E21*G4+E22*G5</f>
        <v>31000</v>
      </c>
    </row>
    <row r="21" spans="2:12" ht="17" customHeight="1" x14ac:dyDescent="0.15">
      <c r="E21" s="30">
        <v>100</v>
      </c>
      <c r="F21" s="7" t="s">
        <v>6</v>
      </c>
      <c r="G21" s="7">
        <f t="shared" si="3"/>
        <v>200</v>
      </c>
      <c r="H21" s="7">
        <f t="shared" si="3"/>
        <v>220.00000000000003</v>
      </c>
      <c r="I21" s="7">
        <f t="shared" si="3"/>
        <v>120</v>
      </c>
      <c r="J21" s="7">
        <f t="shared" si="3"/>
        <v>210</v>
      </c>
    </row>
    <row r="22" spans="2:12" ht="17" customHeight="1" x14ac:dyDescent="0.15">
      <c r="E22" s="30">
        <v>300</v>
      </c>
      <c r="F22" s="7" t="s">
        <v>5</v>
      </c>
      <c r="G22" s="7">
        <f t="shared" si="3"/>
        <v>270</v>
      </c>
      <c r="H22" s="7">
        <f t="shared" si="3"/>
        <v>270</v>
      </c>
      <c r="I22" s="7">
        <f t="shared" si="3"/>
        <v>300</v>
      </c>
      <c r="J22" s="7">
        <f t="shared" si="3"/>
        <v>750</v>
      </c>
    </row>
    <row r="23" spans="2:12" ht="17" customHeight="1" x14ac:dyDescent="0.15">
      <c r="F23" s="218" t="s">
        <v>27</v>
      </c>
      <c r="G23" s="219">
        <f>SUM(G19:G22)</f>
        <v>639</v>
      </c>
      <c r="H23" s="219">
        <f t="shared" ref="H23:J23" si="4">SUM(H19:H22)</f>
        <v>569</v>
      </c>
      <c r="I23" s="219">
        <f t="shared" si="4"/>
        <v>479</v>
      </c>
      <c r="J23" s="219">
        <f t="shared" si="4"/>
        <v>1174</v>
      </c>
    </row>
    <row r="24" spans="2:12" ht="17" customHeight="1" x14ac:dyDescent="0.15">
      <c r="F24" s="7" t="s">
        <v>82</v>
      </c>
      <c r="G24" s="7">
        <f>C9</f>
        <v>640</v>
      </c>
      <c r="H24" s="7">
        <f>C10</f>
        <v>640</v>
      </c>
      <c r="I24" s="7">
        <f>C11</f>
        <v>1920</v>
      </c>
      <c r="J24" s="7">
        <f>C12</f>
        <v>1280</v>
      </c>
    </row>
    <row r="25" spans="2:12" ht="17" customHeight="1" x14ac:dyDescent="0.15">
      <c r="F25" s="7" t="s">
        <v>430</v>
      </c>
      <c r="G25" s="220">
        <f>G24-G23</f>
        <v>1</v>
      </c>
      <c r="H25" s="7">
        <f t="shared" ref="H25:J25" si="5">H24-H23</f>
        <v>71</v>
      </c>
      <c r="I25" s="7">
        <f t="shared" si="5"/>
        <v>1441</v>
      </c>
      <c r="J25" s="7">
        <f t="shared" si="5"/>
        <v>106</v>
      </c>
    </row>
    <row r="26" spans="2:12" ht="17" customHeight="1" x14ac:dyDescent="0.15">
      <c r="G26" s="7" t="s">
        <v>278</v>
      </c>
    </row>
    <row r="27" spans="2:12" ht="17" customHeight="1" x14ac:dyDescent="0.15">
      <c r="F27" s="7" t="s">
        <v>433</v>
      </c>
    </row>
    <row r="28" spans="2:12" ht="17" customHeight="1" x14ac:dyDescent="0.15"/>
    <row r="29" spans="2:12" ht="17" customHeight="1" x14ac:dyDescent="0.15">
      <c r="F29" s="213" t="s">
        <v>434</v>
      </c>
    </row>
    <row r="30" spans="2:12" ht="17" customHeight="1" x14ac:dyDescent="0.15">
      <c r="F30" s="7" t="s">
        <v>435</v>
      </c>
    </row>
    <row r="31" spans="2:12" ht="17" customHeight="1" x14ac:dyDescent="0.15">
      <c r="F31" s="7" t="s">
        <v>436</v>
      </c>
      <c r="J31" s="7" t="s">
        <v>437</v>
      </c>
      <c r="L31" s="7">
        <f>370/10.4</f>
        <v>35.576923076923073</v>
      </c>
    </row>
    <row r="32" spans="2:12" ht="17" customHeight="1" x14ac:dyDescent="0.15">
      <c r="F32" s="221" t="s">
        <v>68</v>
      </c>
      <c r="G32" s="7">
        <f>640/8</f>
        <v>80</v>
      </c>
      <c r="H32" s="30" t="s">
        <v>438</v>
      </c>
      <c r="J32" s="7">
        <v>35</v>
      </c>
      <c r="K32" s="7" t="s">
        <v>4</v>
      </c>
    </row>
    <row r="33" spans="6:11" ht="17" customHeight="1" x14ac:dyDescent="0.15">
      <c r="F33" s="10" t="s">
        <v>4</v>
      </c>
      <c r="G33" s="7">
        <v>80</v>
      </c>
      <c r="H33" s="30">
        <v>70</v>
      </c>
      <c r="J33" s="7">
        <f>J32*4</f>
        <v>140</v>
      </c>
      <c r="K33" s="7" t="s">
        <v>6</v>
      </c>
    </row>
    <row r="34" spans="6:11" ht="17" customHeight="1" x14ac:dyDescent="0.15">
      <c r="F34" s="10" t="s">
        <v>6</v>
      </c>
      <c r="G34" s="7">
        <v>80</v>
      </c>
      <c r="H34" s="30">
        <v>100</v>
      </c>
    </row>
    <row r="35" spans="6:11" ht="17" customHeight="1" x14ac:dyDescent="0.15">
      <c r="F35" s="10" t="s">
        <v>5</v>
      </c>
      <c r="G35" s="7">
        <v>320</v>
      </c>
      <c r="H35" s="30">
        <v>300</v>
      </c>
    </row>
    <row r="36" spans="6:11" ht="17" customHeight="1" x14ac:dyDescent="0.15"/>
    <row r="37" spans="6:11" ht="17" customHeight="1" x14ac:dyDescent="0.15"/>
    <row r="38" spans="6:11" ht="17" customHeight="1" x14ac:dyDescent="0.15"/>
    <row r="39" spans="6:11" ht="17" customHeight="1" x14ac:dyDescent="0.15"/>
    <row r="40" spans="6:11" ht="17" customHeight="1" x14ac:dyDescent="0.15"/>
    <row r="41" spans="6:11" ht="17" customHeight="1" x14ac:dyDescent="0.15"/>
    <row r="42" spans="6:11" ht="17" customHeight="1" x14ac:dyDescent="0.15"/>
    <row r="43" spans="6:11" ht="17" customHeight="1" x14ac:dyDescent="0.15"/>
    <row r="44" spans="6:11" ht="17" customHeight="1" x14ac:dyDescent="0.15"/>
    <row r="45" spans="6:11" ht="17" customHeight="1" x14ac:dyDescent="0.15"/>
    <row r="46" spans="6:11" ht="17" customHeight="1" x14ac:dyDescent="0.15"/>
    <row r="47" spans="6:11" ht="17" customHeight="1" x14ac:dyDescent="0.15"/>
    <row r="48" spans="6:11" ht="17" customHeight="1" x14ac:dyDescent="0.15"/>
    <row r="49" ht="17" customHeight="1" x14ac:dyDescent="0.15"/>
    <row r="50" ht="17" customHeight="1" x14ac:dyDescent="0.15"/>
    <row r="51" ht="17" customHeight="1" x14ac:dyDescent="0.15"/>
    <row r="52" ht="17" customHeight="1" x14ac:dyDescent="0.15"/>
    <row r="53" ht="17" customHeight="1" x14ac:dyDescent="0.15"/>
    <row r="54" ht="17" customHeight="1" x14ac:dyDescent="0.15"/>
    <row r="55" ht="17" customHeight="1" x14ac:dyDescent="0.15"/>
    <row r="56" ht="17" customHeight="1" x14ac:dyDescent="0.15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L41"/>
  <sheetViews>
    <sheetView workbookViewId="0">
      <selection activeCell="N11" sqref="N11"/>
    </sheetView>
  </sheetViews>
  <sheetFormatPr baseColWidth="10" defaultRowHeight="13" x14ac:dyDescent="0.15"/>
  <cols>
    <col min="1" max="16384" width="10.83203125" style="7"/>
  </cols>
  <sheetData>
    <row r="1" spans="2:10" ht="14" thickBot="1" x14ac:dyDescent="0.2"/>
    <row r="2" spans="2:10" ht="20" thickBot="1" x14ac:dyDescent="0.2">
      <c r="B2" s="203"/>
      <c r="C2" s="204">
        <v>1</v>
      </c>
      <c r="D2" s="204">
        <v>2</v>
      </c>
      <c r="E2" s="204">
        <v>3</v>
      </c>
      <c r="F2" s="204">
        <v>4</v>
      </c>
      <c r="G2" s="204" t="s">
        <v>416</v>
      </c>
      <c r="H2" s="7" t="s">
        <v>417</v>
      </c>
    </row>
    <row r="3" spans="2:10" ht="18" thickBot="1" x14ac:dyDescent="0.2">
      <c r="B3" s="205" t="s">
        <v>4</v>
      </c>
      <c r="C3" s="206">
        <v>2.4</v>
      </c>
      <c r="D3" s="206">
        <v>1.1000000000000001</v>
      </c>
      <c r="E3" s="206">
        <v>0.8</v>
      </c>
      <c r="F3" s="207">
        <v>3</v>
      </c>
      <c r="G3" s="208">
        <v>50</v>
      </c>
      <c r="H3" s="209">
        <f>G3/D3</f>
        <v>45.454545454545453</v>
      </c>
      <c r="I3" s="7">
        <v>2</v>
      </c>
      <c r="J3" s="209">
        <f>G3/D3</f>
        <v>45.454545454545453</v>
      </c>
    </row>
    <row r="4" spans="2:10" ht="18" thickBot="1" x14ac:dyDescent="0.2">
      <c r="B4" s="205" t="s">
        <v>6</v>
      </c>
      <c r="C4" s="206">
        <v>2</v>
      </c>
      <c r="D4" s="207">
        <v>2.2000000000000002</v>
      </c>
      <c r="E4" s="206">
        <v>1.2</v>
      </c>
      <c r="F4" s="206">
        <v>2.1</v>
      </c>
      <c r="G4" s="208">
        <v>65</v>
      </c>
      <c r="H4" s="209">
        <f>G4/D4</f>
        <v>29.545454545454543</v>
      </c>
      <c r="I4" s="7">
        <v>3</v>
      </c>
      <c r="J4" s="209">
        <f>G4/D4</f>
        <v>29.545454545454543</v>
      </c>
    </row>
    <row r="5" spans="2:10" ht="18" thickBot="1" x14ac:dyDescent="0.2">
      <c r="B5" s="205" t="s">
        <v>5</v>
      </c>
      <c r="C5" s="206">
        <v>0.9</v>
      </c>
      <c r="D5" s="206">
        <v>0.9</v>
      </c>
      <c r="E5" s="206">
        <v>1</v>
      </c>
      <c r="F5" s="207">
        <v>2.5</v>
      </c>
      <c r="G5" s="208">
        <v>70</v>
      </c>
      <c r="H5" s="209">
        <f>G5/D5</f>
        <v>77.777777777777771</v>
      </c>
      <c r="I5" s="7">
        <v>1</v>
      </c>
      <c r="J5" s="209">
        <f>G5/D5</f>
        <v>77.777777777777771</v>
      </c>
    </row>
    <row r="7" spans="2:10" ht="14" thickBot="1" x14ac:dyDescent="0.2"/>
    <row r="8" spans="2:10" ht="18" thickBot="1" x14ac:dyDescent="0.2">
      <c r="B8" s="211" t="s">
        <v>418</v>
      </c>
      <c r="C8" s="212" t="s">
        <v>419</v>
      </c>
      <c r="D8" s="212" t="s">
        <v>420</v>
      </c>
      <c r="F8" s="213" t="s">
        <v>421</v>
      </c>
    </row>
    <row r="9" spans="2:10" ht="19" x14ac:dyDescent="0.15">
      <c r="B9" s="214" t="s">
        <v>422</v>
      </c>
      <c r="C9" s="215">
        <v>640</v>
      </c>
      <c r="D9" s="215">
        <v>1280</v>
      </c>
    </row>
    <row r="10" spans="2:10" ht="19" x14ac:dyDescent="0.15">
      <c r="B10" s="214" t="s">
        <v>423</v>
      </c>
      <c r="C10" s="215">
        <v>640</v>
      </c>
      <c r="D10" s="215">
        <v>640</v>
      </c>
      <c r="E10" s="7" t="s">
        <v>0</v>
      </c>
      <c r="G10" s="7">
        <v>1</v>
      </c>
      <c r="H10" s="7">
        <v>2</v>
      </c>
      <c r="I10" s="7">
        <v>3</v>
      </c>
      <c r="J10" s="7">
        <v>4</v>
      </c>
    </row>
    <row r="11" spans="2:10" ht="19" x14ac:dyDescent="0.15">
      <c r="B11" s="214" t="s">
        <v>424</v>
      </c>
      <c r="C11" s="215">
        <v>1920</v>
      </c>
      <c r="D11" s="215">
        <v>1920</v>
      </c>
      <c r="E11" s="7">
        <v>75</v>
      </c>
      <c r="F11" s="7" t="s">
        <v>4</v>
      </c>
      <c r="G11" s="7">
        <f t="shared" ref="G11:J13" si="0">$E11*C3</f>
        <v>180</v>
      </c>
      <c r="H11" s="7">
        <f t="shared" si="0"/>
        <v>82.5</v>
      </c>
      <c r="I11" s="7">
        <f t="shared" si="0"/>
        <v>60</v>
      </c>
      <c r="J11" s="7">
        <f t="shared" si="0"/>
        <v>225</v>
      </c>
    </row>
    <row r="12" spans="2:10" ht="20" thickBot="1" x14ac:dyDescent="0.2">
      <c r="B12" s="216" t="s">
        <v>425</v>
      </c>
      <c r="C12" s="217">
        <v>1280</v>
      </c>
      <c r="D12" s="217">
        <v>2560</v>
      </c>
      <c r="E12" s="7">
        <v>100</v>
      </c>
      <c r="F12" s="7" t="s">
        <v>6</v>
      </c>
      <c r="G12" s="7">
        <f t="shared" si="0"/>
        <v>200</v>
      </c>
      <c r="H12" s="7">
        <f t="shared" si="0"/>
        <v>220.00000000000003</v>
      </c>
      <c r="I12" s="7">
        <f t="shared" si="0"/>
        <v>120</v>
      </c>
      <c r="J12" s="7">
        <f t="shared" si="0"/>
        <v>210</v>
      </c>
    </row>
    <row r="13" spans="2:10" ht="19" x14ac:dyDescent="0.15">
      <c r="B13" s="214" t="s">
        <v>426</v>
      </c>
      <c r="C13" s="215">
        <v>100</v>
      </c>
      <c r="D13" s="215">
        <v>75</v>
      </c>
      <c r="E13" s="7">
        <v>400</v>
      </c>
      <c r="F13" s="7" t="s">
        <v>5</v>
      </c>
      <c r="G13" s="7">
        <f t="shared" si="0"/>
        <v>360</v>
      </c>
      <c r="H13" s="7">
        <f t="shared" si="0"/>
        <v>360</v>
      </c>
      <c r="I13" s="7">
        <f t="shared" si="0"/>
        <v>400</v>
      </c>
      <c r="J13" s="7">
        <f t="shared" si="0"/>
        <v>1000</v>
      </c>
    </row>
    <row r="14" spans="2:10" ht="19" x14ac:dyDescent="0.15">
      <c r="B14" s="214" t="s">
        <v>427</v>
      </c>
      <c r="C14" s="215">
        <v>0</v>
      </c>
      <c r="D14" s="215">
        <v>0</v>
      </c>
      <c r="F14" s="218" t="s">
        <v>27</v>
      </c>
      <c r="G14" s="219">
        <f>SUM(G10:G13)</f>
        <v>741</v>
      </c>
      <c r="H14" s="219">
        <f t="shared" ref="H14:J14" si="1">SUM(H10:H13)</f>
        <v>664.5</v>
      </c>
      <c r="I14" s="219">
        <f t="shared" si="1"/>
        <v>583</v>
      </c>
      <c r="J14" s="219">
        <f t="shared" si="1"/>
        <v>1439</v>
      </c>
    </row>
    <row r="15" spans="2:10" ht="17" customHeight="1" x14ac:dyDescent="0.15">
      <c r="B15" s="214" t="s">
        <v>428</v>
      </c>
      <c r="C15" s="215">
        <v>100</v>
      </c>
      <c r="D15" s="215">
        <v>100</v>
      </c>
      <c r="F15" s="7" t="s">
        <v>82</v>
      </c>
      <c r="G15" s="7">
        <f>D9</f>
        <v>1280</v>
      </c>
      <c r="H15" s="7">
        <f>D10</f>
        <v>640</v>
      </c>
      <c r="I15" s="7">
        <f>D11</f>
        <v>1920</v>
      </c>
      <c r="J15" s="7">
        <f>D12</f>
        <v>2560</v>
      </c>
    </row>
    <row r="16" spans="2:10" ht="17" customHeight="1" x14ac:dyDescent="0.15">
      <c r="B16" s="214" t="s">
        <v>429</v>
      </c>
      <c r="C16" s="215">
        <v>20</v>
      </c>
      <c r="D16" s="215">
        <v>25</v>
      </c>
      <c r="F16" s="7" t="s">
        <v>430</v>
      </c>
      <c r="G16" s="222">
        <f>G15-G14</f>
        <v>539</v>
      </c>
      <c r="H16" s="220">
        <f t="shared" ref="H16:J16" si="2">H15-H14</f>
        <v>-24.5</v>
      </c>
      <c r="I16" s="7">
        <f t="shared" si="2"/>
        <v>1337</v>
      </c>
      <c r="J16" s="222">
        <f t="shared" si="2"/>
        <v>1121</v>
      </c>
    </row>
    <row r="17" spans="2:12" ht="17" customHeight="1" x14ac:dyDescent="0.15">
      <c r="B17" s="214" t="s">
        <v>431</v>
      </c>
      <c r="C17" s="215">
        <v>300</v>
      </c>
      <c r="D17" s="215">
        <v>400</v>
      </c>
      <c r="H17" s="7" t="s">
        <v>278</v>
      </c>
    </row>
    <row r="18" spans="2:12" ht="17" customHeight="1" thickBot="1" x14ac:dyDescent="0.2">
      <c r="B18" s="216" t="s">
        <v>432</v>
      </c>
      <c r="C18" s="217">
        <v>0</v>
      </c>
      <c r="D18" s="217">
        <v>50</v>
      </c>
    </row>
    <row r="19" spans="2:12" ht="17" customHeight="1" x14ac:dyDescent="0.15">
      <c r="E19" s="7" t="s">
        <v>45</v>
      </c>
      <c r="G19" s="7">
        <v>1</v>
      </c>
      <c r="H19" s="7">
        <v>2</v>
      </c>
      <c r="I19" s="7">
        <v>3</v>
      </c>
      <c r="J19" s="7">
        <v>4</v>
      </c>
      <c r="L19" s="7" t="s">
        <v>79</v>
      </c>
    </row>
    <row r="20" spans="2:12" ht="17" customHeight="1" x14ac:dyDescent="0.15">
      <c r="E20" s="7">
        <v>75</v>
      </c>
      <c r="F20" s="7" t="s">
        <v>4</v>
      </c>
      <c r="G20" s="7">
        <f t="shared" ref="G20:J22" si="3">$E20*C3</f>
        <v>180</v>
      </c>
      <c r="H20" s="7">
        <f t="shared" si="3"/>
        <v>82.5</v>
      </c>
      <c r="I20" s="7">
        <f t="shared" si="3"/>
        <v>60</v>
      </c>
      <c r="J20" s="7">
        <f t="shared" si="3"/>
        <v>225</v>
      </c>
      <c r="L20" s="210">
        <f>E20*G3+E21*G4+E22*G5</f>
        <v>34935</v>
      </c>
    </row>
    <row r="21" spans="2:12" ht="17" customHeight="1" x14ac:dyDescent="0.15">
      <c r="E21" s="7">
        <v>49</v>
      </c>
      <c r="F21" s="7" t="s">
        <v>6</v>
      </c>
      <c r="G21" s="7">
        <f t="shared" si="3"/>
        <v>98</v>
      </c>
      <c r="H21" s="7">
        <f t="shared" si="3"/>
        <v>107.80000000000001</v>
      </c>
      <c r="I21" s="7">
        <f t="shared" si="3"/>
        <v>58.8</v>
      </c>
      <c r="J21" s="7">
        <f t="shared" si="3"/>
        <v>102.9</v>
      </c>
    </row>
    <row r="22" spans="2:12" ht="17" customHeight="1" x14ac:dyDescent="0.15">
      <c r="E22" s="7">
        <v>400</v>
      </c>
      <c r="F22" s="7" t="s">
        <v>5</v>
      </c>
      <c r="G22" s="7">
        <f t="shared" si="3"/>
        <v>360</v>
      </c>
      <c r="H22" s="7">
        <f t="shared" si="3"/>
        <v>360</v>
      </c>
      <c r="I22" s="7">
        <f t="shared" si="3"/>
        <v>400</v>
      </c>
      <c r="J22" s="7">
        <f t="shared" si="3"/>
        <v>1000</v>
      </c>
    </row>
    <row r="23" spans="2:12" ht="17" customHeight="1" x14ac:dyDescent="0.15">
      <c r="F23" s="218" t="s">
        <v>27</v>
      </c>
      <c r="G23" s="219">
        <f>SUM(G19:G22)</f>
        <v>639</v>
      </c>
      <c r="H23" s="219">
        <f t="shared" ref="H23:J23" si="4">SUM(H19:H22)</f>
        <v>552.29999999999995</v>
      </c>
      <c r="I23" s="219">
        <f t="shared" si="4"/>
        <v>521.79999999999995</v>
      </c>
      <c r="J23" s="219">
        <f t="shared" si="4"/>
        <v>1331.9</v>
      </c>
    </row>
    <row r="24" spans="2:12" ht="17" customHeight="1" x14ac:dyDescent="0.15">
      <c r="F24" s="7" t="s">
        <v>82</v>
      </c>
      <c r="G24" s="7">
        <f>C9</f>
        <v>640</v>
      </c>
      <c r="H24" s="7">
        <f>C10</f>
        <v>640</v>
      </c>
      <c r="I24" s="7">
        <f>C11</f>
        <v>1920</v>
      </c>
      <c r="J24" s="7">
        <f>C12</f>
        <v>1280</v>
      </c>
    </row>
    <row r="25" spans="2:12" ht="17" customHeight="1" x14ac:dyDescent="0.15">
      <c r="F25" s="7" t="s">
        <v>430</v>
      </c>
      <c r="G25" s="220">
        <f>G24-G23</f>
        <v>1</v>
      </c>
      <c r="H25" s="222">
        <f t="shared" ref="H25:J25" si="5">H24-H23</f>
        <v>87.700000000000045</v>
      </c>
      <c r="I25" s="7">
        <f t="shared" si="5"/>
        <v>1398.2</v>
      </c>
      <c r="J25" s="222">
        <f t="shared" si="5"/>
        <v>-51.900000000000091</v>
      </c>
    </row>
    <row r="26" spans="2:12" ht="17" customHeight="1" x14ac:dyDescent="0.15">
      <c r="H26" s="7" t="s">
        <v>278</v>
      </c>
    </row>
    <row r="27" spans="2:12" ht="17" customHeight="1" x14ac:dyDescent="0.15">
      <c r="F27" s="7" t="s">
        <v>439</v>
      </c>
    </row>
    <row r="28" spans="2:12" ht="17" customHeight="1" x14ac:dyDescent="0.15"/>
    <row r="29" spans="2:12" ht="17" customHeight="1" x14ac:dyDescent="0.15">
      <c r="F29" s="213" t="s">
        <v>434</v>
      </c>
    </row>
    <row r="30" spans="2:12" ht="17" customHeight="1" x14ac:dyDescent="0.15">
      <c r="F30" s="7" t="s">
        <v>435</v>
      </c>
    </row>
    <row r="31" spans="2:12" ht="17" customHeight="1" x14ac:dyDescent="0.15">
      <c r="F31" s="7" t="s">
        <v>440</v>
      </c>
    </row>
    <row r="32" spans="2:12" ht="17" customHeight="1" x14ac:dyDescent="0.15">
      <c r="F32" s="221" t="s">
        <v>68</v>
      </c>
      <c r="G32" s="9">
        <f>640/6.9</f>
        <v>92.753623188405797</v>
      </c>
      <c r="H32" s="7" t="s">
        <v>438</v>
      </c>
    </row>
    <row r="33" spans="6:8" ht="17" customHeight="1" x14ac:dyDescent="0.15">
      <c r="F33" s="10" t="s">
        <v>4</v>
      </c>
      <c r="G33" s="9">
        <f>1*G32</f>
        <v>92.753623188405797</v>
      </c>
      <c r="H33" s="30">
        <v>75</v>
      </c>
    </row>
    <row r="34" spans="6:8" ht="17" customHeight="1" x14ac:dyDescent="0.15">
      <c r="F34" s="10" t="s">
        <v>6</v>
      </c>
      <c r="G34" s="9">
        <f>1*G32</f>
        <v>92.753623188405797</v>
      </c>
      <c r="H34" s="30">
        <v>96</v>
      </c>
    </row>
    <row r="35" spans="6:8" ht="17" customHeight="1" x14ac:dyDescent="0.15">
      <c r="F35" s="10" t="s">
        <v>5</v>
      </c>
      <c r="G35" s="9">
        <f>4*G32</f>
        <v>371.01449275362319</v>
      </c>
      <c r="H35" s="30">
        <v>384</v>
      </c>
    </row>
    <row r="36" spans="6:8" ht="17" customHeight="1" x14ac:dyDescent="0.15"/>
    <row r="37" spans="6:8" ht="17" customHeight="1" x14ac:dyDescent="0.15"/>
    <row r="38" spans="6:8" ht="17" customHeight="1" x14ac:dyDescent="0.15"/>
    <row r="39" spans="6:8" ht="17" customHeight="1" x14ac:dyDescent="0.15"/>
    <row r="40" spans="6:8" ht="17" customHeight="1" x14ac:dyDescent="0.15"/>
    <row r="41" spans="6:8" ht="17" customHeight="1" x14ac:dyDescent="0.15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7D0B-F828-1B45-A377-7C868E537778}">
  <dimension ref="B2:K29"/>
  <sheetViews>
    <sheetView zoomScale="125" zoomScaleNormal="125" zoomScalePageLayoutView="125" workbookViewId="0">
      <selection activeCell="J22" sqref="J22"/>
    </sheetView>
  </sheetViews>
  <sheetFormatPr baseColWidth="10" defaultRowHeight="16" x14ac:dyDescent="0.2"/>
  <cols>
    <col min="6" max="6" width="12.33203125" bestFit="1" customWidth="1"/>
  </cols>
  <sheetData>
    <row r="2" spans="2:11" x14ac:dyDescent="0.2">
      <c r="B2" t="s">
        <v>17</v>
      </c>
      <c r="C2" s="28">
        <v>325</v>
      </c>
    </row>
    <row r="3" spans="2:11" x14ac:dyDescent="0.2">
      <c r="B3" t="s">
        <v>30</v>
      </c>
      <c r="C3" s="28">
        <v>500</v>
      </c>
    </row>
    <row r="5" spans="2:11" x14ac:dyDescent="0.2">
      <c r="B5" t="s">
        <v>0</v>
      </c>
      <c r="C5" s="223">
        <v>875</v>
      </c>
      <c r="D5" s="223">
        <v>550</v>
      </c>
    </row>
    <row r="6" spans="2:11" x14ac:dyDescent="0.2">
      <c r="C6" s="223" t="s">
        <v>17</v>
      </c>
      <c r="D6" s="223" t="s">
        <v>30</v>
      </c>
      <c r="E6" s="223" t="s">
        <v>27</v>
      </c>
      <c r="F6" s="223" t="s">
        <v>1</v>
      </c>
      <c r="G6" s="223" t="s">
        <v>309</v>
      </c>
      <c r="I6" s="223"/>
      <c r="J6" s="223" t="s">
        <v>17</v>
      </c>
      <c r="K6" s="223" t="s">
        <v>30</v>
      </c>
    </row>
    <row r="7" spans="2:11" x14ac:dyDescent="0.2">
      <c r="B7" t="s">
        <v>32</v>
      </c>
      <c r="C7" s="223">
        <v>0.21099999999999999</v>
      </c>
      <c r="D7" s="223" t="s">
        <v>7</v>
      </c>
      <c r="E7" s="17">
        <f>SUMPRODUCT($C$5:$D$5,C7:D7)</f>
        <v>184.625</v>
      </c>
      <c r="F7" s="17">
        <f>(173.33-(173.33*0.265))*1.3</f>
        <v>165.61681500000003</v>
      </c>
      <c r="G7" s="229">
        <f>E7/F7</f>
        <v>1.1147720719058627</v>
      </c>
      <c r="I7" t="s">
        <v>77</v>
      </c>
      <c r="J7" s="28">
        <f>C2</f>
        <v>325</v>
      </c>
      <c r="K7" s="28">
        <f>C3</f>
        <v>500</v>
      </c>
    </row>
    <row r="8" spans="2:11" x14ac:dyDescent="0.2">
      <c r="B8" t="s">
        <v>34</v>
      </c>
      <c r="C8" s="223">
        <v>0.18099999999999999</v>
      </c>
      <c r="D8" s="223" t="s">
        <v>7</v>
      </c>
      <c r="E8" s="17">
        <f t="shared" ref="E8:E15" si="0">SUMPRODUCT($C$5:$D$5,C8:D8)</f>
        <v>158.375</v>
      </c>
      <c r="F8" s="17">
        <f t="shared" ref="F8:F14" si="1">(173.33-(173.33*0.265))*1.3</f>
        <v>165.61681500000003</v>
      </c>
      <c r="G8" s="229">
        <f t="shared" ref="G8:G15" si="2">E8/F8</f>
        <v>0.95627367305668798</v>
      </c>
      <c r="I8" t="s">
        <v>15</v>
      </c>
      <c r="J8" s="17">
        <v>175</v>
      </c>
      <c r="K8" s="17">
        <v>300</v>
      </c>
    </row>
    <row r="9" spans="2:11" x14ac:dyDescent="0.2">
      <c r="B9" t="s">
        <v>33</v>
      </c>
      <c r="C9" s="223">
        <v>0.23599999999999999</v>
      </c>
      <c r="D9" s="223" t="s">
        <v>7</v>
      </c>
      <c r="E9" s="17">
        <f t="shared" si="0"/>
        <v>206.5</v>
      </c>
      <c r="F9" s="17">
        <f t="shared" si="1"/>
        <v>165.61681500000003</v>
      </c>
      <c r="G9" s="229">
        <f t="shared" si="2"/>
        <v>1.2468540709468416</v>
      </c>
      <c r="I9" t="s">
        <v>276</v>
      </c>
      <c r="J9" s="28">
        <f>J7-J8</f>
        <v>150</v>
      </c>
      <c r="K9" s="28">
        <f>K7-K8</f>
        <v>200</v>
      </c>
    </row>
    <row r="10" spans="2:11" x14ac:dyDescent="0.2">
      <c r="B10" t="s">
        <v>42</v>
      </c>
      <c r="C10" s="223" t="s">
        <v>7</v>
      </c>
      <c r="D10" s="223">
        <v>0.184</v>
      </c>
      <c r="E10" s="17">
        <f t="shared" si="0"/>
        <v>101.2</v>
      </c>
      <c r="F10" s="17">
        <f t="shared" si="1"/>
        <v>165.61681500000003</v>
      </c>
      <c r="G10" s="229">
        <f t="shared" si="2"/>
        <v>0.61104906527758052</v>
      </c>
      <c r="I10" t="s">
        <v>277</v>
      </c>
      <c r="J10" s="230">
        <f>C15</f>
        <v>0.11650000000000001</v>
      </c>
      <c r="K10" s="230">
        <f>D15</f>
        <v>0.23300000000000001</v>
      </c>
    </row>
    <row r="11" spans="2:11" x14ac:dyDescent="0.2">
      <c r="B11" t="s">
        <v>43</v>
      </c>
      <c r="C11" s="223" t="s">
        <v>7</v>
      </c>
      <c r="D11" s="223">
        <v>0.35599999999999998</v>
      </c>
      <c r="E11" s="17">
        <f t="shared" si="0"/>
        <v>195.79999999999998</v>
      </c>
      <c r="F11" s="17">
        <f t="shared" si="1"/>
        <v>165.61681500000003</v>
      </c>
      <c r="G11" s="229">
        <f t="shared" si="2"/>
        <v>1.182247104558797</v>
      </c>
      <c r="I11" t="s">
        <v>221</v>
      </c>
      <c r="J11" s="28">
        <f>J9/J10</f>
        <v>1287.5536480686694</v>
      </c>
      <c r="K11" s="28">
        <f>K9/K10</f>
        <v>858.36909871244632</v>
      </c>
    </row>
    <row r="12" spans="2:11" x14ac:dyDescent="0.2">
      <c r="B12" t="s">
        <v>35</v>
      </c>
      <c r="C12" s="223" t="s">
        <v>7</v>
      </c>
      <c r="D12" s="223">
        <v>0.20499999999999999</v>
      </c>
      <c r="E12" s="17">
        <f t="shared" si="0"/>
        <v>112.75</v>
      </c>
      <c r="F12" s="17">
        <f t="shared" si="1"/>
        <v>165.61681500000003</v>
      </c>
      <c r="G12" s="229">
        <f t="shared" si="2"/>
        <v>0.6807883607712174</v>
      </c>
    </row>
    <row r="13" spans="2:11" x14ac:dyDescent="0.2">
      <c r="B13" t="s">
        <v>54</v>
      </c>
      <c r="C13" s="231">
        <v>0.10249999999999999</v>
      </c>
      <c r="D13" s="231">
        <f>C13*2</f>
        <v>0.20499999999999999</v>
      </c>
      <c r="E13" s="17">
        <f t="shared" si="0"/>
        <v>202.4375</v>
      </c>
      <c r="F13" s="17">
        <f t="shared" si="1"/>
        <v>165.61681500000003</v>
      </c>
      <c r="G13" s="229">
        <f t="shared" si="2"/>
        <v>1.2223245568392314</v>
      </c>
    </row>
    <row r="14" spans="2:11" x14ac:dyDescent="0.2">
      <c r="B14" t="s">
        <v>55</v>
      </c>
      <c r="C14" s="231">
        <v>8.3000000000000004E-2</v>
      </c>
      <c r="D14" s="231">
        <f t="shared" ref="D14:D15" si="3">C14*2</f>
        <v>0.16600000000000001</v>
      </c>
      <c r="E14" s="17">
        <f t="shared" si="0"/>
        <v>163.92500000000001</v>
      </c>
      <c r="F14" s="17">
        <f t="shared" si="1"/>
        <v>165.61681500000003</v>
      </c>
      <c r="G14" s="229">
        <f t="shared" si="2"/>
        <v>0.98978476309908492</v>
      </c>
    </row>
    <row r="15" spans="2:11" x14ac:dyDescent="0.2">
      <c r="B15" t="s">
        <v>56</v>
      </c>
      <c r="C15" s="231">
        <v>0.11650000000000001</v>
      </c>
      <c r="D15" s="231">
        <f t="shared" si="3"/>
        <v>0.23300000000000001</v>
      </c>
      <c r="E15" s="17">
        <f t="shared" si="0"/>
        <v>230.08750000000001</v>
      </c>
      <c r="F15" s="17">
        <f>(173.33-(173.33*0.265))*1.3</f>
        <v>165.61681500000003</v>
      </c>
      <c r="G15" s="229">
        <f t="shared" si="2"/>
        <v>1.3892762036270287</v>
      </c>
    </row>
    <row r="17" spans="3:6" x14ac:dyDescent="0.2">
      <c r="C17" t="s">
        <v>199</v>
      </c>
      <c r="D17" t="s">
        <v>45</v>
      </c>
    </row>
    <row r="18" spans="3:6" x14ac:dyDescent="0.2">
      <c r="D18" t="s">
        <v>17</v>
      </c>
      <c r="E18" s="12">
        <f>(F15-(E19*D15))/C15</f>
        <v>491.17201728793941</v>
      </c>
      <c r="F18" s="16">
        <f>E18*J9</f>
        <v>73675.802593190907</v>
      </c>
    </row>
    <row r="19" spans="3:6" x14ac:dyDescent="0.2">
      <c r="D19" t="s">
        <v>30</v>
      </c>
      <c r="E19" s="12">
        <f>F11/D11</f>
        <v>465.21577247191021</v>
      </c>
      <c r="F19" s="16">
        <f>E19*K9</f>
        <v>93043.154494382048</v>
      </c>
    </row>
    <row r="20" spans="3:6" x14ac:dyDescent="0.2">
      <c r="E20" t="s">
        <v>79</v>
      </c>
      <c r="F20" s="16">
        <f>SUM(F18:F19)</f>
        <v>166718.95708757296</v>
      </c>
    </row>
    <row r="21" spans="3:6" x14ac:dyDescent="0.2">
      <c r="E21" t="s">
        <v>316</v>
      </c>
      <c r="F21" s="16">
        <v>171200</v>
      </c>
    </row>
    <row r="22" spans="3:6" x14ac:dyDescent="0.2">
      <c r="E22" t="s">
        <v>449</v>
      </c>
      <c r="F22" s="28">
        <f>F20-F21</f>
        <v>-4481.0429124270449</v>
      </c>
    </row>
    <row r="24" spans="3:6" x14ac:dyDescent="0.2">
      <c r="C24" t="s">
        <v>201</v>
      </c>
      <c r="D24" t="s">
        <v>45</v>
      </c>
    </row>
    <row r="25" spans="3:6" x14ac:dyDescent="0.2">
      <c r="D25" t="s">
        <v>17</v>
      </c>
      <c r="E25" s="12">
        <f>ROUNDDOWN(F9/C9,0)</f>
        <v>701</v>
      </c>
      <c r="F25" s="16">
        <f>E25*J9</f>
        <v>105150</v>
      </c>
    </row>
    <row r="26" spans="3:6" x14ac:dyDescent="0.2">
      <c r="D26" t="s">
        <v>30</v>
      </c>
      <c r="E26" s="12">
        <f>(F15-(E25*C15))/D15</f>
        <v>360.30178111587992</v>
      </c>
      <c r="F26" s="16">
        <f>E26*K9</f>
        <v>72060.356223175986</v>
      </c>
    </row>
    <row r="27" spans="3:6" x14ac:dyDescent="0.2">
      <c r="E27" t="s">
        <v>79</v>
      </c>
      <c r="F27" s="16">
        <f>SUM(F25:F26)</f>
        <v>177210.356223176</v>
      </c>
    </row>
    <row r="28" spans="3:6" x14ac:dyDescent="0.2">
      <c r="E28" t="s">
        <v>316</v>
      </c>
      <c r="F28" s="16">
        <v>171200</v>
      </c>
    </row>
    <row r="29" spans="3:6" x14ac:dyDescent="0.2">
      <c r="E29" t="s">
        <v>449</v>
      </c>
      <c r="F29" s="28">
        <f>F27-F28</f>
        <v>6010.3562231760006</v>
      </c>
    </row>
  </sheetData>
  <pageMargins left="0.75" right="0.75" top="1" bottom="1" header="0.5" footer="0.5"/>
  <pageSetup orientation="portrait" horizontalDpi="4294967292" verticalDpi="429496729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0553-4B95-CE4F-8A45-E96333C7F232}">
  <dimension ref="A1:G28"/>
  <sheetViews>
    <sheetView workbookViewId="0">
      <selection activeCell="M16" sqref="M16"/>
    </sheetView>
  </sheetViews>
  <sheetFormatPr baseColWidth="10" defaultRowHeight="16" x14ac:dyDescent="0.2"/>
  <cols>
    <col min="8" max="9" width="12.5" bestFit="1" customWidth="1"/>
  </cols>
  <sheetData>
    <row r="1" spans="1:7" x14ac:dyDescent="0.2">
      <c r="A1" t="s">
        <v>450</v>
      </c>
    </row>
    <row r="2" spans="1:7" x14ac:dyDescent="0.2">
      <c r="E2" s="335" t="s">
        <v>235</v>
      </c>
      <c r="F2" s="335"/>
      <c r="G2" s="335"/>
    </row>
    <row r="3" spans="1:7" x14ac:dyDescent="0.2">
      <c r="E3" t="s">
        <v>451</v>
      </c>
      <c r="F3" t="s">
        <v>452</v>
      </c>
      <c r="G3" t="s">
        <v>260</v>
      </c>
    </row>
    <row r="4" spans="1:7" x14ac:dyDescent="0.2">
      <c r="A4" t="s">
        <v>453</v>
      </c>
      <c r="B4" t="s">
        <v>454</v>
      </c>
      <c r="C4" t="s">
        <v>455</v>
      </c>
      <c r="D4" t="s">
        <v>1</v>
      </c>
      <c r="E4">
        <v>6</v>
      </c>
      <c r="F4">
        <v>5</v>
      </c>
      <c r="G4">
        <v>4</v>
      </c>
    </row>
    <row r="5" spans="1:7" x14ac:dyDescent="0.2">
      <c r="A5" t="s">
        <v>456</v>
      </c>
      <c r="B5">
        <v>3</v>
      </c>
      <c r="C5" s="232">
        <v>0.85</v>
      </c>
      <c r="D5" s="77">
        <f>8*60*C5</f>
        <v>408</v>
      </c>
      <c r="E5" s="233">
        <f>D5/(E4/B5)*80%</f>
        <v>163.20000000000002</v>
      </c>
      <c r="F5" s="233"/>
      <c r="G5" s="233"/>
    </row>
    <row r="6" spans="1:7" x14ac:dyDescent="0.2">
      <c r="A6" t="s">
        <v>457</v>
      </c>
      <c r="B6">
        <v>4</v>
      </c>
      <c r="C6" s="232">
        <v>0.85</v>
      </c>
      <c r="D6" s="77">
        <f t="shared" ref="D6:D10" si="0">8*60*C6</f>
        <v>408</v>
      </c>
      <c r="E6" s="233">
        <f>D6/(E4/B6)*80%</f>
        <v>217.60000000000002</v>
      </c>
      <c r="F6" s="233"/>
      <c r="G6" s="233"/>
    </row>
    <row r="7" spans="1:7" x14ac:dyDescent="0.2">
      <c r="A7" t="s">
        <v>458</v>
      </c>
      <c r="B7">
        <v>2</v>
      </c>
      <c r="C7" s="232">
        <v>0.85</v>
      </c>
      <c r="D7" s="77">
        <f t="shared" si="0"/>
        <v>408</v>
      </c>
      <c r="E7" s="233"/>
      <c r="F7" s="234">
        <f>$D7/(F$4/B7)*90%</f>
        <v>146.88</v>
      </c>
      <c r="G7" s="233"/>
    </row>
    <row r="8" spans="1:7" x14ac:dyDescent="0.2">
      <c r="A8" t="s">
        <v>459</v>
      </c>
      <c r="B8">
        <v>3</v>
      </c>
      <c r="C8" s="232">
        <v>0.95</v>
      </c>
      <c r="D8" s="77">
        <f t="shared" si="0"/>
        <v>456</v>
      </c>
      <c r="E8" s="233"/>
      <c r="F8" s="233">
        <f>$D8/(F$4/B8)*90%</f>
        <v>246.23999999999998</v>
      </c>
      <c r="G8" s="233"/>
    </row>
    <row r="9" spans="1:7" x14ac:dyDescent="0.2">
      <c r="A9" t="s">
        <v>460</v>
      </c>
      <c r="B9">
        <v>2</v>
      </c>
      <c r="C9" s="232">
        <v>0.85</v>
      </c>
      <c r="D9" s="77">
        <f t="shared" si="0"/>
        <v>408</v>
      </c>
      <c r="E9" s="233"/>
      <c r="F9" s="233"/>
      <c r="G9" s="233">
        <f>$D9/(G$4/B9)</f>
        <v>204</v>
      </c>
    </row>
    <row r="10" spans="1:7" x14ac:dyDescent="0.2">
      <c r="A10" t="s">
        <v>461</v>
      </c>
      <c r="B10">
        <v>1</v>
      </c>
      <c r="C10" s="232">
        <v>0.9</v>
      </c>
      <c r="D10" s="77">
        <f t="shared" si="0"/>
        <v>432</v>
      </c>
      <c r="E10" s="233"/>
      <c r="F10" s="233"/>
      <c r="G10" s="233"/>
    </row>
    <row r="11" spans="1:7" x14ac:dyDescent="0.2">
      <c r="F11" s="233"/>
    </row>
    <row r="13" spans="1:7" x14ac:dyDescent="0.2">
      <c r="A13" t="s">
        <v>462</v>
      </c>
    </row>
    <row r="14" spans="1:7" x14ac:dyDescent="0.2">
      <c r="E14" s="335" t="s">
        <v>235</v>
      </c>
      <c r="F14" s="335"/>
      <c r="G14" s="335"/>
    </row>
    <row r="15" spans="1:7" x14ac:dyDescent="0.2">
      <c r="E15" t="s">
        <v>451</v>
      </c>
      <c r="F15" t="s">
        <v>452</v>
      </c>
      <c r="G15" t="s">
        <v>260</v>
      </c>
    </row>
    <row r="16" spans="1:7" x14ac:dyDescent="0.2">
      <c r="A16" t="s">
        <v>453</v>
      </c>
      <c r="B16" t="s">
        <v>454</v>
      </c>
      <c r="C16" t="s">
        <v>455</v>
      </c>
      <c r="D16" t="s">
        <v>1</v>
      </c>
      <c r="E16">
        <v>6</v>
      </c>
      <c r="F16">
        <v>5</v>
      </c>
      <c r="G16">
        <v>4</v>
      </c>
    </row>
    <row r="17" spans="1:7" x14ac:dyDescent="0.2">
      <c r="A17" t="s">
        <v>456</v>
      </c>
      <c r="B17">
        <v>3</v>
      </c>
      <c r="C17" s="232">
        <v>1</v>
      </c>
      <c r="D17" s="77">
        <f>8*60*C17</f>
        <v>480</v>
      </c>
      <c r="E17" s="233">
        <f>D17/(E16/B17)*80%</f>
        <v>192</v>
      </c>
      <c r="F17" s="233"/>
      <c r="G17" s="233"/>
    </row>
    <row r="18" spans="1:7" x14ac:dyDescent="0.2">
      <c r="A18" t="s">
        <v>457</v>
      </c>
      <c r="B18">
        <v>4</v>
      </c>
      <c r="C18" s="232">
        <v>1</v>
      </c>
      <c r="D18" s="77">
        <f t="shared" ref="D18:D22" si="1">8*60*C18</f>
        <v>480</v>
      </c>
      <c r="E18" s="233">
        <f>D18/(E16/B18)*80%</f>
        <v>256</v>
      </c>
      <c r="F18" s="233"/>
      <c r="G18" s="233"/>
    </row>
    <row r="19" spans="1:7" x14ac:dyDescent="0.2">
      <c r="A19" t="s">
        <v>458</v>
      </c>
      <c r="B19">
        <v>2</v>
      </c>
      <c r="C19" s="232">
        <v>1</v>
      </c>
      <c r="D19" s="77">
        <f t="shared" si="1"/>
        <v>480</v>
      </c>
      <c r="E19" s="233"/>
      <c r="F19" s="234">
        <f>$D19/(F$4/B19)*90%</f>
        <v>172.8</v>
      </c>
      <c r="G19" s="233"/>
    </row>
    <row r="20" spans="1:7" x14ac:dyDescent="0.2">
      <c r="A20" t="s">
        <v>459</v>
      </c>
      <c r="B20">
        <v>3</v>
      </c>
      <c r="C20" s="232">
        <v>1</v>
      </c>
      <c r="D20" s="77">
        <f t="shared" si="1"/>
        <v>480</v>
      </c>
      <c r="E20" s="233"/>
      <c r="F20" s="233">
        <f>$D20/(F$4/B20)*90%</f>
        <v>259.2</v>
      </c>
      <c r="G20" s="233"/>
    </row>
    <row r="21" spans="1:7" x14ac:dyDescent="0.2">
      <c r="A21" t="s">
        <v>460</v>
      </c>
      <c r="B21">
        <v>2</v>
      </c>
      <c r="C21" s="232">
        <v>1</v>
      </c>
      <c r="D21" s="77">
        <f t="shared" si="1"/>
        <v>480</v>
      </c>
      <c r="E21" s="233"/>
      <c r="F21" s="233"/>
      <c r="G21" s="233">
        <f>$D21/(G$4/B21)</f>
        <v>240</v>
      </c>
    </row>
    <row r="22" spans="1:7" x14ac:dyDescent="0.2">
      <c r="A22" t="s">
        <v>461</v>
      </c>
      <c r="B22">
        <v>1</v>
      </c>
      <c r="C22" s="232">
        <v>1</v>
      </c>
      <c r="D22" s="77">
        <f t="shared" si="1"/>
        <v>480</v>
      </c>
      <c r="E22" s="233"/>
      <c r="F22" s="233"/>
      <c r="G22" s="233"/>
    </row>
    <row r="26" spans="1:7" x14ac:dyDescent="0.2">
      <c r="A26" t="s">
        <v>463</v>
      </c>
    </row>
    <row r="27" spans="1:7" x14ac:dyDescent="0.2">
      <c r="A27" t="s">
        <v>464</v>
      </c>
    </row>
    <row r="28" spans="1:7" x14ac:dyDescent="0.2">
      <c r="A28" t="s">
        <v>465</v>
      </c>
    </row>
  </sheetData>
  <mergeCells count="2">
    <mergeCell ref="E2:G2"/>
    <mergeCell ref="E14:G14"/>
  </mergeCells>
  <pageMargins left="0.75" right="0.75" top="1" bottom="1" header="0.5" footer="0.5"/>
  <pageSetup orientation="portrait" horizontalDpi="4294967292" verticalDpi="429496729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D522-EA7D-8C49-951C-F8EF0B760BA9}">
  <dimension ref="A2:E26"/>
  <sheetViews>
    <sheetView workbookViewId="0">
      <selection activeCell="L32" sqref="L32"/>
    </sheetView>
  </sheetViews>
  <sheetFormatPr baseColWidth="10" defaultRowHeight="16" x14ac:dyDescent="0.2"/>
  <cols>
    <col min="2" max="2" width="14.5" customWidth="1"/>
    <col min="4" max="4" width="15.33203125" customWidth="1"/>
  </cols>
  <sheetData>
    <row r="2" spans="1:5" x14ac:dyDescent="0.2">
      <c r="A2" s="29">
        <v>1</v>
      </c>
      <c r="B2" s="29" t="s">
        <v>146</v>
      </c>
    </row>
    <row r="3" spans="1:5" x14ac:dyDescent="0.2">
      <c r="B3" t="s">
        <v>466</v>
      </c>
      <c r="C3">
        <v>2</v>
      </c>
    </row>
    <row r="4" spans="1:5" x14ac:dyDescent="0.2">
      <c r="B4" t="s">
        <v>467</v>
      </c>
      <c r="C4">
        <v>8</v>
      </c>
    </row>
    <row r="5" spans="1:5" x14ac:dyDescent="0.2">
      <c r="B5" t="s">
        <v>468</v>
      </c>
      <c r="C5">
        <v>200</v>
      </c>
    </row>
    <row r="6" spans="1:5" x14ac:dyDescent="0.2">
      <c r="B6" t="s">
        <v>469</v>
      </c>
      <c r="C6" s="232">
        <v>0.25</v>
      </c>
    </row>
    <row r="8" spans="1:5" x14ac:dyDescent="0.2">
      <c r="B8" t="s">
        <v>82</v>
      </c>
      <c r="C8" s="77">
        <f>C3*C4*C5*(1-C6)</f>
        <v>2400</v>
      </c>
      <c r="D8" t="s">
        <v>470</v>
      </c>
    </row>
    <row r="10" spans="1:5" x14ac:dyDescent="0.2">
      <c r="A10" s="29">
        <v>2</v>
      </c>
      <c r="B10" s="29" t="s">
        <v>471</v>
      </c>
    </row>
    <row r="11" spans="1:5" x14ac:dyDescent="0.2">
      <c r="C11" t="s">
        <v>472</v>
      </c>
      <c r="D11" t="s">
        <v>473</v>
      </c>
    </row>
    <row r="12" spans="1:5" x14ac:dyDescent="0.2">
      <c r="B12" t="s">
        <v>0</v>
      </c>
      <c r="C12" s="77">
        <v>30000</v>
      </c>
      <c r="D12" s="77">
        <v>12000</v>
      </c>
    </row>
    <row r="13" spans="1:5" x14ac:dyDescent="0.2">
      <c r="B13" t="s">
        <v>474</v>
      </c>
      <c r="C13">
        <v>20</v>
      </c>
      <c r="D13">
        <v>70</v>
      </c>
    </row>
    <row r="14" spans="1:5" x14ac:dyDescent="0.2">
      <c r="B14" t="s">
        <v>475</v>
      </c>
      <c r="C14">
        <v>0.3</v>
      </c>
      <c r="D14">
        <v>1</v>
      </c>
    </row>
    <row r="15" spans="1:5" x14ac:dyDescent="0.2">
      <c r="B15" t="s">
        <v>476</v>
      </c>
      <c r="C15" s="34">
        <v>3</v>
      </c>
      <c r="D15" s="34">
        <v>4</v>
      </c>
    </row>
    <row r="16" spans="1:5" x14ac:dyDescent="0.2">
      <c r="B16" s="29" t="s">
        <v>27</v>
      </c>
      <c r="C16" s="235">
        <f>C12*C14+(C12/C13)*C15</f>
        <v>13500</v>
      </c>
      <c r="D16" s="235">
        <f>D12*D14+(D12/D13)*D15</f>
        <v>12685.714285714286</v>
      </c>
      <c r="E16" s="236">
        <f>SUM(C16:D16)</f>
        <v>26185.714285714286</v>
      </c>
    </row>
    <row r="18" spans="1:3" x14ac:dyDescent="0.2">
      <c r="A18" s="29">
        <v>3</v>
      </c>
      <c r="B18" s="29" t="s">
        <v>477</v>
      </c>
    </row>
    <row r="20" spans="1:3" x14ac:dyDescent="0.2">
      <c r="B20" t="s">
        <v>27</v>
      </c>
      <c r="C20" s="235">
        <f>E16</f>
        <v>26185.714285714286</v>
      </c>
    </row>
    <row r="21" spans="1:3" x14ac:dyDescent="0.2">
      <c r="B21" t="s">
        <v>478</v>
      </c>
      <c r="C21" s="235">
        <f>C8</f>
        <v>2400</v>
      </c>
    </row>
    <row r="23" spans="1:3" x14ac:dyDescent="0.2">
      <c r="B23" t="s">
        <v>479</v>
      </c>
      <c r="C23" s="12">
        <f>ROUNDUP(C20/C21,0)</f>
        <v>11</v>
      </c>
    </row>
    <row r="25" spans="1:3" x14ac:dyDescent="0.2">
      <c r="B25" t="s">
        <v>480</v>
      </c>
    </row>
    <row r="26" spans="1:3" x14ac:dyDescent="0.2">
      <c r="B26" t="s">
        <v>481</v>
      </c>
    </row>
  </sheetData>
  <pageMargins left="0.75" right="0.75" top="1" bottom="1" header="0.5" footer="0.5"/>
  <pageSetup orientation="portrait" horizontalDpi="4294967292" verticalDpi="429496729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2E70-5426-0248-8466-01C0DABE498F}">
  <dimension ref="A1:H36"/>
  <sheetViews>
    <sheetView workbookViewId="0">
      <selection activeCell="H30" sqref="H30"/>
    </sheetView>
  </sheetViews>
  <sheetFormatPr baseColWidth="10" defaultRowHeight="13" x14ac:dyDescent="0.15"/>
  <cols>
    <col min="1" max="5" width="10.83203125" style="237"/>
    <col min="6" max="6" width="13.33203125" style="237" customWidth="1"/>
    <col min="7" max="7" width="10.83203125" style="237"/>
    <col min="8" max="8" width="11.83203125" style="237" bestFit="1" customWidth="1"/>
    <col min="9" max="16384" width="10.83203125" style="237"/>
  </cols>
  <sheetData>
    <row r="1" spans="1:6" x14ac:dyDescent="0.15">
      <c r="A1" s="237" t="s">
        <v>482</v>
      </c>
    </row>
    <row r="2" spans="1:6" x14ac:dyDescent="0.15">
      <c r="A2" s="237" t="s">
        <v>483</v>
      </c>
    </row>
    <row r="3" spans="1:6" ht="14" thickBot="1" x14ac:dyDescent="0.2"/>
    <row r="4" spans="1:6" ht="71" thickBot="1" x14ac:dyDescent="0.2">
      <c r="B4" s="238" t="s">
        <v>31</v>
      </c>
      <c r="C4" s="239" t="s">
        <v>484</v>
      </c>
      <c r="D4" s="239" t="s">
        <v>485</v>
      </c>
      <c r="E4" s="239" t="s">
        <v>486</v>
      </c>
      <c r="F4" s="239" t="s">
        <v>487</v>
      </c>
    </row>
    <row r="5" spans="1:6" ht="15" thickBot="1" x14ac:dyDescent="0.2">
      <c r="B5" s="240" t="s">
        <v>488</v>
      </c>
      <c r="C5" s="241">
        <v>0.5</v>
      </c>
      <c r="D5" s="241">
        <v>1.2</v>
      </c>
      <c r="E5" s="241">
        <v>80</v>
      </c>
      <c r="F5" s="242">
        <v>20000</v>
      </c>
    </row>
    <row r="6" spans="1:6" ht="15" thickBot="1" x14ac:dyDescent="0.2">
      <c r="B6" s="240" t="s">
        <v>489</v>
      </c>
      <c r="C6" s="241">
        <v>0.4</v>
      </c>
      <c r="D6" s="241">
        <v>1.2</v>
      </c>
      <c r="E6" s="241">
        <v>80</v>
      </c>
      <c r="F6" s="242">
        <v>22000</v>
      </c>
    </row>
    <row r="7" spans="1:6" ht="15" thickBot="1" x14ac:dyDescent="0.2">
      <c r="B7" s="240" t="s">
        <v>490</v>
      </c>
      <c r="C7" s="241">
        <v>0.6</v>
      </c>
      <c r="D7" s="241">
        <v>0.8</v>
      </c>
      <c r="E7" s="241">
        <v>80</v>
      </c>
      <c r="F7" s="242">
        <v>18000</v>
      </c>
    </row>
    <row r="8" spans="1:6" ht="14" thickBot="1" x14ac:dyDescent="0.2"/>
    <row r="9" spans="1:6" ht="57" thickBot="1" x14ac:dyDescent="0.2">
      <c r="B9" s="238" t="s">
        <v>28</v>
      </c>
      <c r="C9" s="239" t="s">
        <v>491</v>
      </c>
      <c r="D9" s="239" t="s">
        <v>492</v>
      </c>
    </row>
    <row r="10" spans="1:6" ht="15" thickBot="1" x14ac:dyDescent="0.2">
      <c r="B10" s="240" t="s">
        <v>4</v>
      </c>
      <c r="C10" s="241">
        <v>200</v>
      </c>
      <c r="D10" s="241">
        <v>150</v>
      </c>
    </row>
    <row r="11" spans="1:6" ht="15" thickBot="1" x14ac:dyDescent="0.2">
      <c r="B11" s="240" t="s">
        <v>6</v>
      </c>
      <c r="C11" s="241">
        <v>100</v>
      </c>
      <c r="D11" s="241">
        <v>225</v>
      </c>
    </row>
    <row r="13" spans="1:6" x14ac:dyDescent="0.15">
      <c r="B13" s="339" t="s">
        <v>493</v>
      </c>
      <c r="C13" s="339"/>
      <c r="D13" s="339"/>
      <c r="E13" s="339"/>
    </row>
    <row r="14" spans="1:6" x14ac:dyDescent="0.15">
      <c r="B14" s="243" t="s">
        <v>494</v>
      </c>
      <c r="C14" s="243" t="s">
        <v>495</v>
      </c>
      <c r="D14" s="243" t="s">
        <v>496</v>
      </c>
      <c r="E14" s="244"/>
    </row>
    <row r="15" spans="1:6" x14ac:dyDescent="0.15">
      <c r="B15" s="243" t="s">
        <v>497</v>
      </c>
      <c r="C15" s="245">
        <f>$D$10/C5</f>
        <v>300</v>
      </c>
      <c r="D15" s="245">
        <f>$D$11/D5</f>
        <v>187.5</v>
      </c>
    </row>
    <row r="16" spans="1:6" x14ac:dyDescent="0.15">
      <c r="B16" s="243" t="s">
        <v>498</v>
      </c>
      <c r="C16" s="246">
        <f>$D$10/C6</f>
        <v>375</v>
      </c>
      <c r="D16" s="245">
        <f>$D$11/D6</f>
        <v>187.5</v>
      </c>
    </row>
    <row r="17" spans="1:8" x14ac:dyDescent="0.15">
      <c r="B17" s="243" t="s">
        <v>499</v>
      </c>
      <c r="C17" s="245">
        <f>$D$10/C7</f>
        <v>250</v>
      </c>
      <c r="D17" s="246">
        <f>$D$11/D7</f>
        <v>281.25</v>
      </c>
    </row>
    <row r="19" spans="1:8" x14ac:dyDescent="0.15">
      <c r="A19" s="237" t="s">
        <v>500</v>
      </c>
    </row>
    <row r="20" spans="1:8" x14ac:dyDescent="0.15">
      <c r="A20" s="237" t="s">
        <v>501</v>
      </c>
    </row>
    <row r="22" spans="1:8" x14ac:dyDescent="0.15">
      <c r="B22" s="339" t="s">
        <v>502</v>
      </c>
      <c r="C22" s="339"/>
      <c r="D22" s="339"/>
      <c r="E22" s="339"/>
    </row>
    <row r="24" spans="1:8" x14ac:dyDescent="0.15">
      <c r="B24" s="247" t="s">
        <v>503</v>
      </c>
      <c r="G24" s="237" t="s">
        <v>504</v>
      </c>
      <c r="H24" s="248"/>
    </row>
    <row r="25" spans="1:8" x14ac:dyDescent="0.15">
      <c r="B25" s="237" t="s">
        <v>505</v>
      </c>
      <c r="D25" s="237">
        <v>80</v>
      </c>
      <c r="E25" s="237" t="s">
        <v>506</v>
      </c>
      <c r="G25" s="237" t="s">
        <v>507</v>
      </c>
      <c r="H25" s="248">
        <f>D27*D10</f>
        <v>30000</v>
      </c>
    </row>
    <row r="26" spans="1:8" x14ac:dyDescent="0.15">
      <c r="B26" s="237" t="s">
        <v>508</v>
      </c>
      <c r="D26" s="237">
        <v>0.4</v>
      </c>
      <c r="E26" s="237" t="s">
        <v>509</v>
      </c>
      <c r="G26" s="237" t="s">
        <v>510</v>
      </c>
      <c r="H26" s="248">
        <f>D32*D11</f>
        <v>22500</v>
      </c>
    </row>
    <row r="27" spans="1:8" x14ac:dyDescent="0.15">
      <c r="B27" s="237" t="s">
        <v>511</v>
      </c>
      <c r="D27" s="237">
        <f>D25/D26</f>
        <v>200</v>
      </c>
      <c r="E27" s="237" t="s">
        <v>512</v>
      </c>
      <c r="G27" s="237" t="s">
        <v>513</v>
      </c>
      <c r="H27" s="248"/>
    </row>
    <row r="28" spans="1:8" x14ac:dyDescent="0.15">
      <c r="G28" s="237" t="s">
        <v>514</v>
      </c>
      <c r="H28" s="248">
        <f>F6</f>
        <v>22000</v>
      </c>
    </row>
    <row r="29" spans="1:8" x14ac:dyDescent="0.15">
      <c r="B29" s="247" t="s">
        <v>515</v>
      </c>
      <c r="G29" s="237" t="s">
        <v>516</v>
      </c>
      <c r="H29" s="248">
        <f>F7</f>
        <v>18000</v>
      </c>
    </row>
    <row r="30" spans="1:8" x14ac:dyDescent="0.15">
      <c r="B30" s="237" t="s">
        <v>505</v>
      </c>
      <c r="D30" s="237">
        <v>80</v>
      </c>
      <c r="E30" s="237" t="s">
        <v>506</v>
      </c>
      <c r="G30" s="237" t="s">
        <v>517</v>
      </c>
      <c r="H30" s="248">
        <f>H25+H26-H28-H29</f>
        <v>12500</v>
      </c>
    </row>
    <row r="31" spans="1:8" x14ac:dyDescent="0.15">
      <c r="B31" s="237" t="s">
        <v>508</v>
      </c>
      <c r="D31" s="237">
        <v>0.8</v>
      </c>
      <c r="E31" s="237" t="s">
        <v>509</v>
      </c>
      <c r="H31" s="248"/>
    </row>
    <row r="32" spans="1:8" x14ac:dyDescent="0.15">
      <c r="B32" s="237" t="s">
        <v>511</v>
      </c>
      <c r="D32" s="237">
        <f>D30/D31</f>
        <v>100</v>
      </c>
      <c r="E32" s="237" t="s">
        <v>512</v>
      </c>
    </row>
    <row r="35" spans="1:1" x14ac:dyDescent="0.15">
      <c r="A35" s="237" t="s">
        <v>518</v>
      </c>
    </row>
    <row r="36" spans="1:1" x14ac:dyDescent="0.15">
      <c r="A36" s="237" t="s">
        <v>519</v>
      </c>
    </row>
  </sheetData>
  <mergeCells count="2">
    <mergeCell ref="B13:E13"/>
    <mergeCell ref="B22:E22"/>
  </mergeCells>
  <pageMargins left="0.75" right="0.75" top="1" bottom="1" header="0.5" footer="0.5"/>
  <pageSetup paperSize="0" orientation="portrait" horizontalDpi="4294967292" verticalDpi="429496729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AB28-26A6-5D43-B93B-7982503FAFAA}">
  <dimension ref="A1:W16"/>
  <sheetViews>
    <sheetView workbookViewId="0">
      <selection activeCell="F2" sqref="F2"/>
    </sheetView>
  </sheetViews>
  <sheetFormatPr baseColWidth="10" defaultRowHeight="16" x14ac:dyDescent="0.2"/>
  <cols>
    <col min="1" max="1" width="3.83203125" bestFit="1" customWidth="1"/>
    <col min="2" max="2" width="26.83203125" customWidth="1"/>
    <col min="3" max="3" width="16.6640625" bestFit="1" customWidth="1"/>
    <col min="4" max="4" width="19" customWidth="1"/>
    <col min="5" max="5" width="4" customWidth="1"/>
    <col min="6" max="6" width="17.5" bestFit="1" customWidth="1"/>
    <col min="7" max="7" width="4.33203125" bestFit="1" customWidth="1"/>
    <col min="8" max="11" width="3.5" customWidth="1"/>
    <col min="12" max="12" width="3.6640625" customWidth="1"/>
    <col min="13" max="14" width="3.5" customWidth="1"/>
    <col min="15" max="15" width="4" customWidth="1"/>
    <col min="16" max="18" width="3.5" customWidth="1"/>
    <col min="19" max="19" width="5.83203125" bestFit="1" customWidth="1"/>
    <col min="20" max="20" width="9.6640625" bestFit="1" customWidth="1"/>
  </cols>
  <sheetData>
    <row r="1" spans="1:23" ht="17" thickBot="1" x14ac:dyDescent="0.25">
      <c r="A1" s="249"/>
      <c r="B1" s="249"/>
      <c r="C1" s="249"/>
      <c r="D1" s="249"/>
    </row>
    <row r="2" spans="1:23" ht="49" thickBot="1" x14ac:dyDescent="0.25">
      <c r="A2" s="250" t="s">
        <v>520</v>
      </c>
      <c r="B2" s="251" t="s">
        <v>235</v>
      </c>
      <c r="C2" s="251" t="s">
        <v>521</v>
      </c>
      <c r="D2" s="251" t="s">
        <v>522</v>
      </c>
    </row>
    <row r="3" spans="1:23" ht="17" thickBot="1" x14ac:dyDescent="0.25">
      <c r="A3" s="252">
        <v>1</v>
      </c>
      <c r="B3" s="253" t="s">
        <v>523</v>
      </c>
      <c r="C3" s="254">
        <v>7</v>
      </c>
      <c r="D3" s="253" t="s">
        <v>524</v>
      </c>
    </row>
    <row r="4" spans="1:23" ht="33" thickBot="1" x14ac:dyDescent="0.25">
      <c r="A4" s="252">
        <v>2</v>
      </c>
      <c r="B4" s="253" t="s">
        <v>525</v>
      </c>
      <c r="C4" s="254">
        <v>20</v>
      </c>
      <c r="D4" s="253" t="s">
        <v>526</v>
      </c>
    </row>
    <row r="5" spans="1:23" ht="49" thickBot="1" x14ac:dyDescent="0.25">
      <c r="A5" s="252">
        <v>3</v>
      </c>
      <c r="B5" s="253" t="s">
        <v>527</v>
      </c>
      <c r="C5" s="254">
        <v>6</v>
      </c>
      <c r="D5" s="253" t="s">
        <v>528</v>
      </c>
      <c r="H5" s="340" t="s">
        <v>235</v>
      </c>
      <c r="I5" s="341"/>
      <c r="J5" s="341"/>
      <c r="K5" s="341"/>
      <c r="L5" s="341"/>
      <c r="M5" s="341"/>
      <c r="N5" s="341"/>
      <c r="O5" s="341"/>
      <c r="P5" s="341"/>
      <c r="Q5" s="341"/>
      <c r="R5" s="342"/>
      <c r="U5" t="s">
        <v>199</v>
      </c>
    </row>
    <row r="6" spans="1:23" ht="49" thickBot="1" x14ac:dyDescent="0.25">
      <c r="A6" s="252">
        <v>4</v>
      </c>
      <c r="B6" s="253" t="s">
        <v>529</v>
      </c>
      <c r="C6" s="254">
        <v>5</v>
      </c>
      <c r="D6" s="253" t="s">
        <v>530</v>
      </c>
      <c r="F6" s="255" t="s">
        <v>453</v>
      </c>
      <c r="G6" s="256" t="s">
        <v>531</v>
      </c>
      <c r="H6" s="257">
        <v>1</v>
      </c>
      <c r="I6" s="258">
        <v>2</v>
      </c>
      <c r="J6" s="258">
        <v>3</v>
      </c>
      <c r="K6" s="258">
        <v>4</v>
      </c>
      <c r="L6" s="258">
        <v>5</v>
      </c>
      <c r="M6" s="258">
        <v>6</v>
      </c>
      <c r="N6" s="258">
        <v>7</v>
      </c>
      <c r="O6" s="258">
        <v>8</v>
      </c>
      <c r="P6" s="258">
        <v>9</v>
      </c>
      <c r="Q6" s="258">
        <v>10</v>
      </c>
      <c r="R6" s="256">
        <v>11</v>
      </c>
      <c r="S6" s="227" t="s">
        <v>27</v>
      </c>
      <c r="T6" s="227" t="s">
        <v>532</v>
      </c>
      <c r="U6" s="29" t="s">
        <v>533</v>
      </c>
      <c r="V6" s="29" t="s">
        <v>534</v>
      </c>
    </row>
    <row r="7" spans="1:23" ht="17" thickBot="1" x14ac:dyDescent="0.25">
      <c r="A7" s="252">
        <v>5</v>
      </c>
      <c r="B7" s="253" t="s">
        <v>535</v>
      </c>
      <c r="C7" s="254">
        <v>3</v>
      </c>
      <c r="D7" s="253" t="s">
        <v>536</v>
      </c>
      <c r="F7" s="259" t="s">
        <v>526</v>
      </c>
      <c r="G7" s="260">
        <v>6</v>
      </c>
      <c r="H7" s="261"/>
      <c r="I7" s="226">
        <v>20</v>
      </c>
      <c r="J7" s="226"/>
      <c r="K7" s="226"/>
      <c r="L7" s="226"/>
      <c r="M7" s="226"/>
      <c r="N7" s="226"/>
      <c r="O7" s="226"/>
      <c r="P7" s="226"/>
      <c r="Q7" s="226"/>
      <c r="R7" s="260">
        <v>20</v>
      </c>
      <c r="S7" s="225">
        <f>SUM(H7:R7)</f>
        <v>40</v>
      </c>
      <c r="T7" s="262">
        <f>S7/G7</f>
        <v>6.666666666666667</v>
      </c>
      <c r="U7" s="263">
        <f>8*60/T7</f>
        <v>72</v>
      </c>
      <c r="V7" s="263">
        <f>TRUNC(U7*0.85,0)</f>
        <v>61</v>
      </c>
    </row>
    <row r="8" spans="1:23" ht="33" thickBot="1" x14ac:dyDescent="0.25">
      <c r="A8" s="252">
        <v>6</v>
      </c>
      <c r="B8" s="253" t="s">
        <v>537</v>
      </c>
      <c r="C8" s="254">
        <v>7.5</v>
      </c>
      <c r="D8" s="253" t="s">
        <v>538</v>
      </c>
      <c r="F8" s="259" t="s">
        <v>530</v>
      </c>
      <c r="G8" s="260">
        <v>1</v>
      </c>
      <c r="H8" s="261"/>
      <c r="I8" s="226"/>
      <c r="J8" s="226"/>
      <c r="K8" s="226">
        <v>5</v>
      </c>
      <c r="L8" s="226"/>
      <c r="M8" s="226"/>
      <c r="N8" s="226"/>
      <c r="O8" s="226"/>
      <c r="P8" s="226"/>
      <c r="Q8" s="226"/>
      <c r="R8" s="260"/>
      <c r="S8" s="225">
        <f t="shared" ref="S8:S13" si="0">SUM(H8:R8)</f>
        <v>5</v>
      </c>
      <c r="T8" s="262">
        <f t="shared" ref="T8:T13" si="1">S8/G8</f>
        <v>5</v>
      </c>
      <c r="U8" s="263">
        <f t="shared" ref="U8:U13" si="2">8*60/T8</f>
        <v>96</v>
      </c>
      <c r="V8" s="263">
        <f t="shared" ref="V8:V13" si="3">TRUNC(U8*0.85,0)</f>
        <v>81</v>
      </c>
    </row>
    <row r="9" spans="1:23" ht="33" thickBot="1" x14ac:dyDescent="0.25">
      <c r="A9" s="252">
        <v>7</v>
      </c>
      <c r="B9" s="253" t="s">
        <v>539</v>
      </c>
      <c r="C9" s="254">
        <v>15</v>
      </c>
      <c r="D9" s="253" t="s">
        <v>540</v>
      </c>
      <c r="F9" s="259" t="s">
        <v>528</v>
      </c>
      <c r="G9" s="260">
        <v>4</v>
      </c>
      <c r="H9" s="261"/>
      <c r="I9" s="226"/>
      <c r="J9" s="226">
        <v>6</v>
      </c>
      <c r="K9" s="226"/>
      <c r="L9" s="226"/>
      <c r="M9" s="264">
        <v>7.5</v>
      </c>
      <c r="N9" s="226"/>
      <c r="O9" s="226">
        <f>2.5*1.25</f>
        <v>3.125</v>
      </c>
      <c r="P9" s="226"/>
      <c r="Q9" s="226"/>
      <c r="R9" s="260"/>
      <c r="S9" s="225">
        <f t="shared" si="0"/>
        <v>16.625</v>
      </c>
      <c r="T9" s="262">
        <f t="shared" si="1"/>
        <v>4.15625</v>
      </c>
      <c r="U9" s="263">
        <f t="shared" si="2"/>
        <v>115.48872180451127</v>
      </c>
      <c r="V9" s="263">
        <f t="shared" si="3"/>
        <v>98</v>
      </c>
    </row>
    <row r="10" spans="1:23" ht="97" thickBot="1" x14ac:dyDescent="0.25">
      <c r="A10" s="252">
        <v>8</v>
      </c>
      <c r="B10" s="253" t="s">
        <v>541</v>
      </c>
      <c r="C10" s="254">
        <v>2.5</v>
      </c>
      <c r="D10" s="253" t="s">
        <v>528</v>
      </c>
      <c r="F10" s="259" t="s">
        <v>542</v>
      </c>
      <c r="G10" s="260">
        <v>2</v>
      </c>
      <c r="H10" s="261"/>
      <c r="I10" s="226"/>
      <c r="J10" s="226"/>
      <c r="K10" s="226"/>
      <c r="L10" s="226"/>
      <c r="M10" s="226">
        <v>7.5</v>
      </c>
      <c r="N10" s="226"/>
      <c r="O10" s="226"/>
      <c r="P10" s="226"/>
      <c r="Q10" s="226"/>
      <c r="R10" s="260"/>
      <c r="S10" s="225">
        <f t="shared" si="0"/>
        <v>7.5</v>
      </c>
      <c r="T10" s="262">
        <f t="shared" si="1"/>
        <v>3.75</v>
      </c>
      <c r="U10" s="263">
        <f t="shared" si="2"/>
        <v>128</v>
      </c>
      <c r="V10" s="263">
        <f t="shared" si="3"/>
        <v>108</v>
      </c>
    </row>
    <row r="11" spans="1:23" ht="33" thickBot="1" x14ac:dyDescent="0.25">
      <c r="A11" s="252">
        <v>9</v>
      </c>
      <c r="B11" s="253" t="s">
        <v>543</v>
      </c>
      <c r="C11" s="254">
        <v>3</v>
      </c>
      <c r="D11" s="253" t="s">
        <v>536</v>
      </c>
      <c r="F11" s="259" t="s">
        <v>544</v>
      </c>
      <c r="G11" s="260">
        <v>3</v>
      </c>
      <c r="H11" s="261"/>
      <c r="I11" s="226"/>
      <c r="J11" s="226"/>
      <c r="K11" s="226"/>
      <c r="L11" s="226"/>
      <c r="M11" s="226"/>
      <c r="N11" s="226">
        <v>15</v>
      </c>
      <c r="O11" s="226"/>
      <c r="P11" s="226"/>
      <c r="Q11" s="226"/>
      <c r="R11" s="260"/>
      <c r="S11" s="225">
        <f t="shared" si="0"/>
        <v>15</v>
      </c>
      <c r="T11" s="262">
        <f t="shared" si="1"/>
        <v>5</v>
      </c>
      <c r="U11" s="263">
        <f t="shared" si="2"/>
        <v>96</v>
      </c>
      <c r="V11" s="263">
        <f t="shared" si="3"/>
        <v>81</v>
      </c>
    </row>
    <row r="12" spans="1:23" ht="17" thickBot="1" x14ac:dyDescent="0.25">
      <c r="A12" s="252">
        <v>10</v>
      </c>
      <c r="B12" s="253" t="s">
        <v>545</v>
      </c>
      <c r="C12" s="254">
        <v>7</v>
      </c>
      <c r="D12" s="253" t="s">
        <v>524</v>
      </c>
      <c r="F12" s="259" t="s">
        <v>546</v>
      </c>
      <c r="G12" s="260">
        <v>2</v>
      </c>
      <c r="H12" s="261"/>
      <c r="I12" s="226"/>
      <c r="J12" s="226"/>
      <c r="K12" s="226"/>
      <c r="L12" s="226"/>
      <c r="M12" s="226"/>
      <c r="N12" s="226">
        <v>15</v>
      </c>
      <c r="O12" s="226"/>
      <c r="P12" s="226"/>
      <c r="Q12" s="226"/>
      <c r="R12" s="260"/>
      <c r="S12" s="225">
        <f t="shared" si="0"/>
        <v>15</v>
      </c>
      <c r="T12" s="265">
        <f t="shared" si="1"/>
        <v>7.5</v>
      </c>
      <c r="U12" s="266">
        <f t="shared" si="2"/>
        <v>64</v>
      </c>
      <c r="V12" s="266">
        <f t="shared" si="3"/>
        <v>54</v>
      </c>
      <c r="W12" t="s">
        <v>201</v>
      </c>
    </row>
    <row r="13" spans="1:23" ht="33" thickBot="1" x14ac:dyDescent="0.25">
      <c r="A13" s="252">
        <v>11</v>
      </c>
      <c r="B13" s="253" t="s">
        <v>547</v>
      </c>
      <c r="C13" s="254">
        <v>20</v>
      </c>
      <c r="D13" s="253" t="s">
        <v>526</v>
      </c>
      <c r="F13" s="267" t="s">
        <v>536</v>
      </c>
      <c r="G13" s="268">
        <v>2</v>
      </c>
      <c r="H13" s="269"/>
      <c r="I13" s="270"/>
      <c r="J13" s="270"/>
      <c r="K13" s="270"/>
      <c r="L13" s="270">
        <v>3</v>
      </c>
      <c r="M13" s="270"/>
      <c r="N13" s="270"/>
      <c r="O13" s="270"/>
      <c r="P13" s="270">
        <v>3</v>
      </c>
      <c r="Q13" s="270"/>
      <c r="R13" s="268"/>
      <c r="S13" s="225">
        <f t="shared" si="0"/>
        <v>6</v>
      </c>
      <c r="T13" s="262">
        <f t="shared" si="1"/>
        <v>3</v>
      </c>
      <c r="U13" s="263">
        <f t="shared" si="2"/>
        <v>160</v>
      </c>
      <c r="V13" s="263">
        <f t="shared" si="3"/>
        <v>136</v>
      </c>
    </row>
    <row r="15" spans="1:23" x14ac:dyDescent="0.2">
      <c r="S15" t="s">
        <v>206</v>
      </c>
      <c r="T15" s="263">
        <f>C4+C5+C6+C7+C8+C9+C10+C13</f>
        <v>79</v>
      </c>
      <c r="U15" t="s">
        <v>548</v>
      </c>
    </row>
    <row r="16" spans="1:23" x14ac:dyDescent="0.2">
      <c r="E16" t="s">
        <v>549</v>
      </c>
      <c r="S16" t="s">
        <v>550</v>
      </c>
      <c r="T16" t="s">
        <v>551</v>
      </c>
    </row>
  </sheetData>
  <mergeCells count="1">
    <mergeCell ref="H5:R5"/>
  </mergeCells>
  <pageMargins left="0.75" right="0.75" top="1" bottom="1" header="0.5" footer="0.5"/>
  <pageSetup orientation="portrait" horizontalDpi="4294967292" verticalDpi="429496729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EFD59-F49B-F749-BB22-904E24598A11}">
  <dimension ref="B5:T22"/>
  <sheetViews>
    <sheetView topLeftCell="C1" workbookViewId="0">
      <selection activeCell="D2" sqref="D2"/>
    </sheetView>
  </sheetViews>
  <sheetFormatPr baseColWidth="10" defaultRowHeight="16" x14ac:dyDescent="0.2"/>
  <cols>
    <col min="1" max="1" width="3.6640625" customWidth="1"/>
    <col min="2" max="2" width="11.83203125" bestFit="1" customWidth="1"/>
    <col min="3" max="3" width="13.5" customWidth="1"/>
    <col min="4" max="4" width="11.6640625" customWidth="1"/>
    <col min="9" max="9" width="9.6640625" bestFit="1" customWidth="1"/>
    <col min="10" max="10" width="7.6640625" bestFit="1" customWidth="1"/>
    <col min="11" max="11" width="9.6640625" bestFit="1" customWidth="1"/>
    <col min="12" max="12" width="9.5" bestFit="1" customWidth="1"/>
    <col min="13" max="13" width="9.6640625" bestFit="1" customWidth="1"/>
    <col min="14" max="14" width="9.5" bestFit="1" customWidth="1"/>
    <col min="19" max="19" width="13" customWidth="1"/>
    <col min="2000" max="2000" width="2.5" customWidth="1"/>
  </cols>
  <sheetData>
    <row r="5" spans="2:20" x14ac:dyDescent="0.2">
      <c r="B5" s="343" t="s">
        <v>552</v>
      </c>
      <c r="C5" s="343"/>
      <c r="D5" s="343"/>
      <c r="E5" s="343"/>
      <c r="F5" s="343" t="s">
        <v>553</v>
      </c>
      <c r="G5" s="343"/>
      <c r="H5" s="343"/>
      <c r="I5" s="318" t="s">
        <v>554</v>
      </c>
      <c r="J5" s="319"/>
      <c r="K5" s="318" t="s">
        <v>555</v>
      </c>
      <c r="L5" s="319"/>
      <c r="M5" s="318" t="s">
        <v>556</v>
      </c>
      <c r="N5" s="319"/>
    </row>
    <row r="6" spans="2:20" ht="68" x14ac:dyDescent="0.2">
      <c r="B6" s="66" t="s">
        <v>557</v>
      </c>
      <c r="C6" s="66" t="s">
        <v>558</v>
      </c>
      <c r="D6" s="66" t="s">
        <v>559</v>
      </c>
      <c r="E6" s="66" t="s">
        <v>560</v>
      </c>
      <c r="F6" s="66" t="s">
        <v>561</v>
      </c>
      <c r="G6" s="66" t="s">
        <v>562</v>
      </c>
      <c r="H6" s="66" t="s">
        <v>563</v>
      </c>
      <c r="I6" s="62" t="s">
        <v>475</v>
      </c>
      <c r="J6" s="62" t="s">
        <v>476</v>
      </c>
      <c r="K6" s="62" t="s">
        <v>475</v>
      </c>
      <c r="L6" s="62" t="s">
        <v>476</v>
      </c>
      <c r="M6" s="62" t="s">
        <v>475</v>
      </c>
      <c r="N6" s="62" t="s">
        <v>476</v>
      </c>
      <c r="O6" s="228" t="s">
        <v>564</v>
      </c>
      <c r="P6" s="228" t="s">
        <v>417</v>
      </c>
      <c r="R6" s="271" t="s">
        <v>565</v>
      </c>
      <c r="S6" s="271" t="s">
        <v>566</v>
      </c>
    </row>
    <row r="7" spans="2:20" ht="17" x14ac:dyDescent="0.2">
      <c r="B7" s="66" t="s">
        <v>4</v>
      </c>
      <c r="C7" s="66">
        <v>0.05</v>
      </c>
      <c r="D7" s="66">
        <v>1</v>
      </c>
      <c r="E7" s="66">
        <v>60</v>
      </c>
      <c r="F7" s="272">
        <v>15000</v>
      </c>
      <c r="G7" s="272">
        <v>18000</v>
      </c>
      <c r="H7" s="272">
        <v>25000</v>
      </c>
      <c r="I7" s="273">
        <f>F7*C7</f>
        <v>750</v>
      </c>
      <c r="J7" s="273">
        <f>F7*D7/E7</f>
        <v>250</v>
      </c>
      <c r="K7" s="273">
        <f>C7*G7</f>
        <v>900</v>
      </c>
      <c r="L7" s="274">
        <f>D7*G7/E7</f>
        <v>300</v>
      </c>
      <c r="M7" s="273">
        <f>H7*C7</f>
        <v>1250</v>
      </c>
      <c r="N7" s="274">
        <f>H7*D7/E7</f>
        <v>416.66666666666669</v>
      </c>
      <c r="O7">
        <v>20</v>
      </c>
      <c r="P7">
        <f>O7/C7</f>
        <v>400</v>
      </c>
      <c r="Q7" s="225" t="s">
        <v>567</v>
      </c>
      <c r="R7" s="6">
        <f>+R10*2</f>
        <v>49141.919606234616</v>
      </c>
      <c r="S7" s="14">
        <f>+D7/E7</f>
        <v>1.6666666666666666E-2</v>
      </c>
      <c r="T7" s="275"/>
    </row>
    <row r="8" spans="2:20" ht="17" x14ac:dyDescent="0.2">
      <c r="B8" s="66" t="s">
        <v>6</v>
      </c>
      <c r="C8" s="66">
        <v>0.2</v>
      </c>
      <c r="D8" s="66">
        <v>4.5</v>
      </c>
      <c r="E8" s="66">
        <v>80</v>
      </c>
      <c r="F8" s="272">
        <v>10000</v>
      </c>
      <c r="G8" s="272">
        <v>13000</v>
      </c>
      <c r="H8" s="272">
        <v>17000</v>
      </c>
      <c r="I8" s="273">
        <f>F8*C8</f>
        <v>2000</v>
      </c>
      <c r="J8" s="273">
        <f>F8*D8/E8</f>
        <v>562.5</v>
      </c>
      <c r="K8" s="273">
        <f>C8*G8</f>
        <v>2600</v>
      </c>
      <c r="L8" s="274">
        <f>D8*G8/E8</f>
        <v>731.25</v>
      </c>
      <c r="M8" s="273">
        <f>H8*C8</f>
        <v>3400</v>
      </c>
      <c r="N8" s="274">
        <f>H8*D8/E8</f>
        <v>956.25</v>
      </c>
      <c r="O8">
        <v>35</v>
      </c>
      <c r="P8">
        <f>O8/C8</f>
        <v>175</v>
      </c>
      <c r="Q8" s="225" t="s">
        <v>568</v>
      </c>
      <c r="R8" s="6">
        <f>+R10</f>
        <v>24570.959803117308</v>
      </c>
      <c r="S8" s="14">
        <f>+D8/E8</f>
        <v>5.6250000000000001E-2</v>
      </c>
      <c r="T8" s="275"/>
    </row>
    <row r="9" spans="2:20" ht="17" x14ac:dyDescent="0.2">
      <c r="B9" s="66" t="s">
        <v>5</v>
      </c>
      <c r="C9" s="66">
        <v>0.05</v>
      </c>
      <c r="D9" s="66">
        <v>8.1999999999999993</v>
      </c>
      <c r="E9" s="66">
        <v>120</v>
      </c>
      <c r="F9" s="272">
        <v>17000</v>
      </c>
      <c r="G9" s="272">
        <v>25000</v>
      </c>
      <c r="H9" s="272">
        <v>40000</v>
      </c>
      <c r="I9" s="273">
        <f>F9*C9</f>
        <v>850</v>
      </c>
      <c r="J9" s="273">
        <f>F9*D9/E9</f>
        <v>1161.6666666666667</v>
      </c>
      <c r="K9" s="273">
        <f>C9*G9</f>
        <v>1250</v>
      </c>
      <c r="L9" s="274">
        <f>D9*G9/E9</f>
        <v>1708.333333333333</v>
      </c>
      <c r="M9" s="273">
        <f>H9*C9</f>
        <v>2000</v>
      </c>
      <c r="N9" s="274">
        <f>H9*D9/E9</f>
        <v>2733.3333333333335</v>
      </c>
      <c r="O9">
        <v>15</v>
      </c>
      <c r="P9">
        <f>O9/C9</f>
        <v>300</v>
      </c>
      <c r="Q9" s="225" t="s">
        <v>568</v>
      </c>
      <c r="R9" s="6">
        <f>R10</f>
        <v>24570.959803117308</v>
      </c>
      <c r="S9" s="14">
        <f>+D9/E9</f>
        <v>6.8333333333333329E-2</v>
      </c>
      <c r="T9" s="275"/>
    </row>
    <row r="10" spans="2:20" x14ac:dyDescent="0.2">
      <c r="E10">
        <f>D7*60/E7</f>
        <v>1</v>
      </c>
      <c r="I10" s="273">
        <f>SUM(I7:I9)</f>
        <v>3600</v>
      </c>
      <c r="J10" s="273">
        <f t="shared" ref="J10:N10" si="0">SUM(J7:J9)</f>
        <v>1974.1666666666667</v>
      </c>
      <c r="K10" s="273">
        <f t="shared" si="0"/>
        <v>4750</v>
      </c>
      <c r="L10" s="273">
        <f t="shared" si="0"/>
        <v>2739.583333333333</v>
      </c>
      <c r="M10" s="273">
        <f t="shared" si="0"/>
        <v>6650</v>
      </c>
      <c r="N10" s="273">
        <f t="shared" si="0"/>
        <v>4106.25</v>
      </c>
      <c r="Q10" s="231">
        <f>+((S7+C7)*2)+(S8+C8)+(S9+C9)</f>
        <v>0.50791666666666668</v>
      </c>
      <c r="R10" s="6">
        <f>F20*3/Q10</f>
        <v>24570.959803117308</v>
      </c>
    </row>
    <row r="11" spans="2:20" x14ac:dyDescent="0.2">
      <c r="E11">
        <f>D8*60/E8</f>
        <v>3.375</v>
      </c>
      <c r="F11" s="276"/>
      <c r="I11" s="84" t="s">
        <v>64</v>
      </c>
      <c r="J11" s="277">
        <f>I10+J10</f>
        <v>5574.166666666667</v>
      </c>
      <c r="K11" s="3"/>
      <c r="L11" s="277">
        <f>K10+L10</f>
        <v>7489.583333333333</v>
      </c>
      <c r="M11" s="3"/>
      <c r="N11" s="277">
        <f>M10+N10</f>
        <v>10756.25</v>
      </c>
    </row>
    <row r="12" spans="2:20" x14ac:dyDescent="0.2">
      <c r="E12">
        <f>D9*60/E9</f>
        <v>4.0999999999999996</v>
      </c>
    </row>
    <row r="13" spans="2:20" x14ac:dyDescent="0.2">
      <c r="F13" s="321" t="s">
        <v>146</v>
      </c>
      <c r="G13" s="321"/>
      <c r="I13" t="s">
        <v>569</v>
      </c>
      <c r="J13" s="233">
        <f>J11/F19</f>
        <v>1.674929887820513</v>
      </c>
      <c r="L13" s="233">
        <f>L11/F19</f>
        <v>2.2504757612179485</v>
      </c>
      <c r="N13" s="233">
        <f>N11/F19</f>
        <v>3.2320462740384617</v>
      </c>
    </row>
    <row r="14" spans="2:20" x14ac:dyDescent="0.2">
      <c r="F14">
        <v>2</v>
      </c>
      <c r="G14" t="s">
        <v>570</v>
      </c>
      <c r="I14" t="s">
        <v>199</v>
      </c>
      <c r="J14">
        <v>2</v>
      </c>
      <c r="K14" t="s">
        <v>571</v>
      </c>
      <c r="L14">
        <v>3</v>
      </c>
      <c r="M14" t="s">
        <v>571</v>
      </c>
      <c r="N14">
        <v>4</v>
      </c>
      <c r="O14" t="s">
        <v>571</v>
      </c>
    </row>
    <row r="15" spans="2:20" x14ac:dyDescent="0.2">
      <c r="F15">
        <v>8</v>
      </c>
      <c r="G15" t="s">
        <v>572</v>
      </c>
      <c r="I15" t="s">
        <v>573</v>
      </c>
    </row>
    <row r="16" spans="2:20" x14ac:dyDescent="0.2">
      <c r="F16">
        <v>5</v>
      </c>
      <c r="G16" t="s">
        <v>574</v>
      </c>
      <c r="I16" t="s">
        <v>575</v>
      </c>
    </row>
    <row r="17" spans="5:9" x14ac:dyDescent="0.2">
      <c r="F17">
        <v>52</v>
      </c>
      <c r="G17" t="s">
        <v>576</v>
      </c>
      <c r="I17" t="s">
        <v>577</v>
      </c>
    </row>
    <row r="18" spans="5:9" x14ac:dyDescent="0.2">
      <c r="F18" s="232">
        <v>0.2</v>
      </c>
      <c r="G18" t="s">
        <v>578</v>
      </c>
    </row>
    <row r="19" spans="5:9" x14ac:dyDescent="0.2">
      <c r="F19">
        <f>F14*F15*F16*F17*(1-F18)</f>
        <v>3328</v>
      </c>
      <c r="G19" t="s">
        <v>579</v>
      </c>
    </row>
    <row r="20" spans="5:9" x14ac:dyDescent="0.2">
      <c r="F20">
        <f>+F14*F15*F16*F17</f>
        <v>4160</v>
      </c>
      <c r="G20" t="s">
        <v>580</v>
      </c>
    </row>
    <row r="21" spans="5:9" x14ac:dyDescent="0.2">
      <c r="E21" t="s">
        <v>581</v>
      </c>
      <c r="F21" s="3">
        <f>F19*3</f>
        <v>9984</v>
      </c>
    </row>
    <row r="22" spans="5:9" x14ac:dyDescent="0.2">
      <c r="E22" t="s">
        <v>582</v>
      </c>
      <c r="F22" s="3">
        <f>F21*1.2</f>
        <v>11980.8</v>
      </c>
    </row>
  </sheetData>
  <mergeCells count="6">
    <mergeCell ref="M5:N5"/>
    <mergeCell ref="F13:G13"/>
    <mergeCell ref="B5:E5"/>
    <mergeCell ref="F5:H5"/>
    <mergeCell ref="I5:J5"/>
    <mergeCell ref="K5:L5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15"/>
  <sheetViews>
    <sheetView zoomScale="140" zoomScaleNormal="140" workbookViewId="0">
      <selection activeCell="H24" sqref="H24"/>
    </sheetView>
  </sheetViews>
  <sheetFormatPr baseColWidth="10" defaultRowHeight="16" x14ac:dyDescent="0.2"/>
  <cols>
    <col min="1" max="1" width="10.5" customWidth="1"/>
  </cols>
  <sheetData>
    <row r="1" spans="2:4" x14ac:dyDescent="0.2">
      <c r="B1" s="41" t="s">
        <v>83</v>
      </c>
    </row>
    <row r="3" spans="2:4" x14ac:dyDescent="0.2">
      <c r="B3" t="s">
        <v>84</v>
      </c>
    </row>
    <row r="5" spans="2:4" x14ac:dyDescent="0.2">
      <c r="B5" t="s">
        <v>85</v>
      </c>
    </row>
    <row r="6" spans="2:4" x14ac:dyDescent="0.2">
      <c r="B6" t="s">
        <v>86</v>
      </c>
      <c r="C6">
        <f>3+2</f>
        <v>5</v>
      </c>
      <c r="D6" t="s">
        <v>87</v>
      </c>
    </row>
    <row r="7" spans="2:4" x14ac:dyDescent="0.2">
      <c r="C7">
        <f>50*(0.5+0.1)</f>
        <v>30</v>
      </c>
      <c r="D7" t="s">
        <v>88</v>
      </c>
    </row>
    <row r="8" spans="2:4" x14ac:dyDescent="0.2">
      <c r="C8" s="34">
        <f>6+8</f>
        <v>14</v>
      </c>
      <c r="D8" t="s">
        <v>89</v>
      </c>
    </row>
    <row r="9" spans="2:4" x14ac:dyDescent="0.2">
      <c r="C9" s="29">
        <f>SUM(C6:C8)</f>
        <v>49</v>
      </c>
    </row>
    <row r="11" spans="2:4" x14ac:dyDescent="0.2">
      <c r="B11" t="s">
        <v>90</v>
      </c>
      <c r="C11">
        <f>4*C9/50</f>
        <v>3.92</v>
      </c>
    </row>
    <row r="13" spans="2:4" x14ac:dyDescent="0.2">
      <c r="B13" t="s">
        <v>91</v>
      </c>
    </row>
    <row r="14" spans="2:4" x14ac:dyDescent="0.2">
      <c r="B14" t="s">
        <v>92</v>
      </c>
    </row>
    <row r="15" spans="2:4" x14ac:dyDescent="0.2">
      <c r="B15" t="s">
        <v>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70"/>
  <sheetViews>
    <sheetView workbookViewId="0">
      <selection activeCell="C45" sqref="C45"/>
    </sheetView>
  </sheetViews>
  <sheetFormatPr baseColWidth="10" defaultRowHeight="13" x14ac:dyDescent="0.15"/>
  <cols>
    <col min="1" max="1" width="2.83203125" style="1" customWidth="1"/>
    <col min="2" max="2" width="16.33203125" style="1" customWidth="1"/>
    <col min="3" max="3" width="13.5" style="1" customWidth="1"/>
    <col min="4" max="4" width="10.83203125" style="1"/>
    <col min="5" max="5" width="12.33203125" style="1" customWidth="1"/>
    <col min="6" max="6" width="10.83203125" style="1"/>
    <col min="7" max="7" width="14" style="1" customWidth="1"/>
    <col min="8" max="11" width="16.1640625" style="1" customWidth="1"/>
    <col min="12" max="16384" width="10.83203125" style="1"/>
  </cols>
  <sheetData>
    <row r="1" spans="2:7" ht="14" thickBot="1" x14ac:dyDescent="0.2"/>
    <row r="2" spans="2:7" x14ac:dyDescent="0.15">
      <c r="B2" s="283" t="s">
        <v>81</v>
      </c>
      <c r="C2" s="284"/>
      <c r="D2" s="284"/>
      <c r="E2" s="284"/>
      <c r="F2" s="284"/>
      <c r="G2" s="285"/>
    </row>
    <row r="3" spans="2:7" ht="28" x14ac:dyDescent="0.15">
      <c r="B3" s="21" t="s">
        <v>94</v>
      </c>
      <c r="C3" s="18" t="s">
        <v>12</v>
      </c>
      <c r="D3" s="42" t="s">
        <v>95</v>
      </c>
      <c r="E3" s="42" t="s">
        <v>96</v>
      </c>
      <c r="F3" s="2"/>
      <c r="G3" s="20"/>
    </row>
    <row r="4" spans="2:7" ht="15" x14ac:dyDescent="0.2">
      <c r="B4" s="43" t="s">
        <v>97</v>
      </c>
      <c r="C4" s="18">
        <v>500</v>
      </c>
      <c r="D4" s="18"/>
      <c r="E4" s="44">
        <f>C4/D5</f>
        <v>20</v>
      </c>
      <c r="F4" s="2"/>
      <c r="G4" s="20"/>
    </row>
    <row r="5" spans="2:7" x14ac:dyDescent="0.15">
      <c r="B5" s="21" t="s">
        <v>98</v>
      </c>
      <c r="C5" s="18">
        <v>300</v>
      </c>
      <c r="D5" s="18">
        <v>25</v>
      </c>
      <c r="E5" s="44">
        <f>C5/D5</f>
        <v>12</v>
      </c>
      <c r="F5" s="2"/>
      <c r="G5" s="20"/>
    </row>
    <row r="6" spans="2:7" x14ac:dyDescent="0.15">
      <c r="B6" s="21" t="s">
        <v>99</v>
      </c>
      <c r="C6" s="18">
        <v>200</v>
      </c>
      <c r="D6" s="18"/>
      <c r="E6" s="44">
        <f>C6/D5</f>
        <v>8</v>
      </c>
      <c r="F6" s="2"/>
      <c r="G6" s="20"/>
    </row>
    <row r="7" spans="2:7" x14ac:dyDescent="0.15">
      <c r="B7" s="23"/>
      <c r="C7" s="2"/>
      <c r="D7" s="2"/>
      <c r="E7" s="44">
        <f>SUM(E4:E6)</f>
        <v>40</v>
      </c>
      <c r="F7" s="2" t="s">
        <v>100</v>
      </c>
      <c r="G7" s="20"/>
    </row>
    <row r="8" spans="2:7" x14ac:dyDescent="0.15">
      <c r="B8" s="23"/>
      <c r="C8" s="2"/>
      <c r="D8" s="2"/>
      <c r="E8" s="2"/>
      <c r="F8" s="2"/>
      <c r="G8" s="20"/>
    </row>
    <row r="9" spans="2:7" x14ac:dyDescent="0.15">
      <c r="B9" s="24" t="s">
        <v>101</v>
      </c>
      <c r="C9" s="2"/>
      <c r="D9" s="2">
        <f>E9*60</f>
        <v>420</v>
      </c>
      <c r="E9" s="2">
        <v>7</v>
      </c>
      <c r="F9" s="2"/>
      <c r="G9" s="20"/>
    </row>
    <row r="10" spans="2:7" x14ac:dyDescent="0.15">
      <c r="B10" s="23"/>
      <c r="C10" s="2"/>
      <c r="D10" s="2"/>
      <c r="E10" s="2"/>
      <c r="F10" s="2"/>
      <c r="G10" s="20"/>
    </row>
    <row r="11" spans="2:7" x14ac:dyDescent="0.15">
      <c r="B11" s="23" t="s">
        <v>102</v>
      </c>
      <c r="C11" s="2"/>
      <c r="D11" s="2"/>
      <c r="E11" s="2">
        <f>D9/E4</f>
        <v>21</v>
      </c>
      <c r="F11" s="2"/>
      <c r="G11" s="20"/>
    </row>
    <row r="12" spans="2:7" x14ac:dyDescent="0.15">
      <c r="B12" s="23" t="s">
        <v>103</v>
      </c>
      <c r="C12" s="2"/>
      <c r="D12" s="2"/>
      <c r="E12" s="2">
        <f>D9/E5</f>
        <v>35</v>
      </c>
      <c r="F12" s="2"/>
      <c r="G12" s="20"/>
    </row>
    <row r="13" spans="2:7" x14ac:dyDescent="0.15">
      <c r="B13" s="23" t="s">
        <v>104</v>
      </c>
      <c r="C13" s="2"/>
      <c r="D13" s="2"/>
      <c r="E13" s="2">
        <f>D9/E6</f>
        <v>52.5</v>
      </c>
      <c r="F13" s="2"/>
      <c r="G13" s="20"/>
    </row>
    <row r="14" spans="2:7" x14ac:dyDescent="0.15">
      <c r="B14" s="23"/>
      <c r="C14" s="2"/>
      <c r="D14" s="2"/>
      <c r="E14" s="2"/>
      <c r="F14" s="2"/>
      <c r="G14" s="20"/>
    </row>
    <row r="15" spans="2:7" x14ac:dyDescent="0.15">
      <c r="B15" s="23" t="s">
        <v>105</v>
      </c>
      <c r="C15" s="2"/>
      <c r="D15" s="2"/>
      <c r="E15" s="2"/>
      <c r="F15" s="2"/>
      <c r="G15" s="20"/>
    </row>
    <row r="16" spans="2:7" x14ac:dyDescent="0.15">
      <c r="B16" s="23"/>
      <c r="C16" s="2"/>
      <c r="D16" s="2"/>
      <c r="E16" s="2"/>
      <c r="F16" s="2"/>
      <c r="G16" s="20"/>
    </row>
    <row r="17" spans="2:7" x14ac:dyDescent="0.15">
      <c r="B17" s="21" t="s">
        <v>106</v>
      </c>
      <c r="C17" s="18">
        <f>E13/E11</f>
        <v>2.5</v>
      </c>
      <c r="D17" s="18">
        <v>3</v>
      </c>
      <c r="E17" s="2"/>
      <c r="F17" s="2"/>
      <c r="G17" s="20"/>
    </row>
    <row r="18" spans="2:7" x14ac:dyDescent="0.15">
      <c r="B18" s="21" t="s">
        <v>107</v>
      </c>
      <c r="C18" s="18">
        <f>E13/E12</f>
        <v>1.5</v>
      </c>
      <c r="D18" s="18">
        <v>2</v>
      </c>
      <c r="E18" s="2"/>
      <c r="F18" s="2"/>
      <c r="G18" s="20"/>
    </row>
    <row r="19" spans="2:7" x14ac:dyDescent="0.15">
      <c r="B19" s="21" t="s">
        <v>108</v>
      </c>
      <c r="C19" s="18">
        <f>E13/E13</f>
        <v>1</v>
      </c>
      <c r="D19" s="18">
        <v>1</v>
      </c>
      <c r="E19" s="2"/>
      <c r="F19" s="2"/>
      <c r="G19" s="20"/>
    </row>
    <row r="20" spans="2:7" x14ac:dyDescent="0.15">
      <c r="B20" s="23"/>
      <c r="C20" s="2"/>
      <c r="D20" s="2"/>
      <c r="E20" s="2"/>
      <c r="F20" s="2"/>
      <c r="G20" s="20"/>
    </row>
    <row r="21" spans="2:7" ht="15" x14ac:dyDescent="0.2">
      <c r="B21" s="23" t="s">
        <v>69</v>
      </c>
      <c r="C21" s="2"/>
      <c r="D21" s="2"/>
      <c r="E21" s="2"/>
      <c r="F21" s="2"/>
      <c r="G21" s="20"/>
    </row>
    <row r="22" spans="2:7" ht="14" thickBot="1" x14ac:dyDescent="0.2">
      <c r="B22" s="25" t="s">
        <v>109</v>
      </c>
      <c r="C22" s="26"/>
      <c r="D22" s="26"/>
      <c r="E22" s="26">
        <f>6*10</f>
        <v>60</v>
      </c>
      <c r="F22" s="26"/>
      <c r="G22" s="27"/>
    </row>
    <row r="23" spans="2:7" ht="14" thickBot="1" x14ac:dyDescent="0.2"/>
    <row r="24" spans="2:7" x14ac:dyDescent="0.15">
      <c r="B24" s="283" t="s">
        <v>110</v>
      </c>
      <c r="C24" s="284"/>
      <c r="D24" s="284"/>
      <c r="E24" s="284"/>
      <c r="F24" s="284"/>
      <c r="G24" s="285"/>
    </row>
    <row r="25" spans="2:7" x14ac:dyDescent="0.15">
      <c r="B25" s="21" t="s">
        <v>111</v>
      </c>
      <c r="C25" s="18" t="s">
        <v>98</v>
      </c>
      <c r="D25" s="18" t="s">
        <v>112</v>
      </c>
      <c r="E25" s="18" t="s">
        <v>113</v>
      </c>
      <c r="F25" s="18" t="s">
        <v>114</v>
      </c>
      <c r="G25" s="22" t="s">
        <v>115</v>
      </c>
    </row>
    <row r="26" spans="2:7" x14ac:dyDescent="0.15">
      <c r="B26" s="21" t="s">
        <v>116</v>
      </c>
      <c r="C26" s="18">
        <v>6</v>
      </c>
      <c r="D26" s="18">
        <v>6</v>
      </c>
      <c r="E26" s="18" t="s">
        <v>117</v>
      </c>
      <c r="F26" s="18" t="s">
        <v>117</v>
      </c>
      <c r="G26" s="22" t="s">
        <v>2</v>
      </c>
    </row>
    <row r="27" spans="2:7" x14ac:dyDescent="0.15">
      <c r="B27" s="21" t="s">
        <v>116</v>
      </c>
      <c r="C27" s="18">
        <v>6</v>
      </c>
      <c r="D27" s="18">
        <f>D26+C27</f>
        <v>12</v>
      </c>
      <c r="E27" s="18" t="s">
        <v>118</v>
      </c>
      <c r="F27" s="18" t="s">
        <v>118</v>
      </c>
      <c r="G27" s="22" t="s">
        <v>2</v>
      </c>
    </row>
    <row r="28" spans="2:7" x14ac:dyDescent="0.15">
      <c r="B28" s="21" t="s">
        <v>116</v>
      </c>
      <c r="C28" s="18">
        <v>6</v>
      </c>
      <c r="D28" s="18">
        <f>D27+C28</f>
        <v>18</v>
      </c>
      <c r="E28" s="45" t="s">
        <v>119</v>
      </c>
      <c r="F28" s="45" t="s">
        <v>119</v>
      </c>
      <c r="G28" s="22" t="s">
        <v>2</v>
      </c>
    </row>
    <row r="29" spans="2:7" x14ac:dyDescent="0.15">
      <c r="B29" s="21" t="s">
        <v>116</v>
      </c>
      <c r="C29" s="18">
        <v>6</v>
      </c>
      <c r="D29" s="18">
        <f>D28+C29</f>
        <v>24</v>
      </c>
      <c r="E29" s="18" t="s">
        <v>120</v>
      </c>
      <c r="F29" s="18" t="s">
        <v>120</v>
      </c>
      <c r="G29" s="22" t="s">
        <v>2</v>
      </c>
    </row>
    <row r="30" spans="2:7" x14ac:dyDescent="0.15">
      <c r="B30" s="21" t="s">
        <v>116</v>
      </c>
      <c r="C30" s="18">
        <v>6</v>
      </c>
      <c r="D30" s="18">
        <f>D29+C30</f>
        <v>30</v>
      </c>
      <c r="E30" s="18" t="s">
        <v>121</v>
      </c>
      <c r="F30" s="18" t="s">
        <v>121</v>
      </c>
      <c r="G30" s="22" t="s">
        <v>122</v>
      </c>
    </row>
    <row r="31" spans="2:7" x14ac:dyDescent="0.15">
      <c r="B31" s="21" t="s">
        <v>116</v>
      </c>
      <c r="C31" s="18">
        <v>6</v>
      </c>
      <c r="D31" s="18">
        <f>D30+C31</f>
        <v>36</v>
      </c>
      <c r="E31" s="18" t="s">
        <v>123</v>
      </c>
      <c r="F31" s="18" t="s">
        <v>123</v>
      </c>
      <c r="G31" s="22" t="s">
        <v>124</v>
      </c>
    </row>
    <row r="32" spans="2:7" x14ac:dyDescent="0.15">
      <c r="B32" s="23" t="s">
        <v>125</v>
      </c>
      <c r="C32" s="2"/>
      <c r="D32" s="2"/>
      <c r="E32" s="2"/>
      <c r="F32" s="2"/>
      <c r="G32" s="22"/>
    </row>
    <row r="33" spans="2:11" ht="15" x14ac:dyDescent="0.2">
      <c r="B33" s="43" t="s">
        <v>17</v>
      </c>
      <c r="C33" s="18">
        <f>6*D17</f>
        <v>18</v>
      </c>
      <c r="D33" s="2"/>
      <c r="E33" s="2"/>
      <c r="F33" s="2"/>
      <c r="G33" s="22"/>
    </row>
    <row r="34" spans="2:11" x14ac:dyDescent="0.15">
      <c r="B34" s="21" t="s">
        <v>30</v>
      </c>
      <c r="C34" s="18">
        <f>6*D18</f>
        <v>12</v>
      </c>
      <c r="D34" s="2"/>
      <c r="E34" s="2"/>
      <c r="F34" s="2"/>
      <c r="G34" s="22"/>
    </row>
    <row r="35" spans="2:11" x14ac:dyDescent="0.15">
      <c r="B35" s="21" t="s">
        <v>46</v>
      </c>
      <c r="C35" s="18">
        <f>6*D19</f>
        <v>6</v>
      </c>
      <c r="D35" s="2"/>
      <c r="E35" s="2"/>
      <c r="F35" s="2"/>
      <c r="G35" s="22"/>
    </row>
    <row r="36" spans="2:11" ht="14" thickBot="1" x14ac:dyDescent="0.2">
      <c r="B36" s="25"/>
      <c r="C36" s="46">
        <f>SUM(C33:C35)</f>
        <v>36</v>
      </c>
      <c r="D36" s="26"/>
      <c r="E36" s="26"/>
      <c r="F36" s="26"/>
      <c r="G36" s="47"/>
      <c r="J36" s="37"/>
      <c r="K36" s="37"/>
    </row>
    <row r="37" spans="2:11" ht="14" thickBot="1" x14ac:dyDescent="0.2">
      <c r="B37" s="2"/>
      <c r="C37" s="18"/>
      <c r="D37" s="2"/>
      <c r="E37" s="2"/>
      <c r="F37" s="2"/>
      <c r="G37" s="18"/>
      <c r="J37" s="37"/>
      <c r="K37" s="37"/>
    </row>
    <row r="38" spans="2:11" x14ac:dyDescent="0.15">
      <c r="B38" s="286" t="s">
        <v>0</v>
      </c>
      <c r="C38" s="287"/>
      <c r="D38" s="287"/>
      <c r="E38" s="287"/>
      <c r="F38" s="48"/>
      <c r="G38" s="49"/>
      <c r="H38" s="48"/>
      <c r="I38" s="50"/>
      <c r="J38" s="37"/>
      <c r="K38" s="37"/>
    </row>
    <row r="39" spans="2:11" x14ac:dyDescent="0.15">
      <c r="B39" s="21" t="s">
        <v>20</v>
      </c>
      <c r="C39" s="18" t="s">
        <v>126</v>
      </c>
      <c r="D39" s="18" t="s">
        <v>127</v>
      </c>
      <c r="E39" s="18" t="s">
        <v>26</v>
      </c>
      <c r="F39" s="2"/>
      <c r="G39" s="2"/>
      <c r="H39" s="2"/>
      <c r="I39" s="20"/>
      <c r="J39" s="37"/>
      <c r="K39" s="37"/>
    </row>
    <row r="40" spans="2:11" x14ac:dyDescent="0.15">
      <c r="B40" s="21" t="s">
        <v>17</v>
      </c>
      <c r="C40" s="18">
        <v>35</v>
      </c>
      <c r="D40" s="18">
        <f>15+50</f>
        <v>65</v>
      </c>
      <c r="E40" s="18">
        <f>+C40+D40</f>
        <v>100</v>
      </c>
      <c r="F40" s="2"/>
      <c r="G40" s="2"/>
      <c r="H40" s="2"/>
      <c r="I40" s="20"/>
    </row>
    <row r="41" spans="2:11" x14ac:dyDescent="0.15">
      <c r="B41" s="21" t="s">
        <v>30</v>
      </c>
      <c r="C41" s="18">
        <v>50</v>
      </c>
      <c r="D41" s="18">
        <f>10+10</f>
        <v>20</v>
      </c>
      <c r="E41" s="18">
        <f>+C41+D41</f>
        <v>70</v>
      </c>
      <c r="F41" s="2"/>
      <c r="G41" s="2"/>
      <c r="H41" s="2"/>
      <c r="I41" s="20"/>
    </row>
    <row r="42" spans="2:11" x14ac:dyDescent="0.15">
      <c r="B42" s="21" t="s">
        <v>46</v>
      </c>
      <c r="C42" s="18">
        <v>10</v>
      </c>
      <c r="D42" s="18">
        <f>6+14</f>
        <v>20</v>
      </c>
      <c r="E42" s="18">
        <f>+C42+D42</f>
        <v>30</v>
      </c>
      <c r="F42" s="2"/>
      <c r="G42" s="2"/>
      <c r="H42" s="2"/>
      <c r="I42" s="20"/>
    </row>
    <row r="43" spans="2:11" x14ac:dyDescent="0.15">
      <c r="B43" s="288" t="s">
        <v>128</v>
      </c>
      <c r="C43" s="289"/>
      <c r="D43" s="289"/>
      <c r="E43" s="2"/>
      <c r="F43" s="2"/>
      <c r="G43" s="2"/>
      <c r="H43" s="2"/>
      <c r="I43" s="20"/>
    </row>
    <row r="44" spans="2:11" x14ac:dyDescent="0.15">
      <c r="B44" s="51" t="s">
        <v>17</v>
      </c>
      <c r="C44" s="52">
        <f>+C40/C33</f>
        <v>1.9444444444444444</v>
      </c>
      <c r="D44" s="52">
        <f>+D40/C33</f>
        <v>3.6111111111111112</v>
      </c>
      <c r="E44" s="2"/>
      <c r="F44" s="2"/>
      <c r="G44" s="2"/>
      <c r="H44" s="2"/>
      <c r="I44" s="20"/>
    </row>
    <row r="45" spans="2:11" x14ac:dyDescent="0.15">
      <c r="B45" s="51" t="s">
        <v>30</v>
      </c>
      <c r="C45" s="53">
        <f>+C41/C34</f>
        <v>4.166666666666667</v>
      </c>
      <c r="D45" s="52">
        <f>+D41/C34</f>
        <v>1.6666666666666667</v>
      </c>
      <c r="E45" s="2"/>
      <c r="F45" s="2"/>
      <c r="G45" s="2"/>
      <c r="H45" s="2"/>
      <c r="I45" s="20"/>
    </row>
    <row r="46" spans="2:11" x14ac:dyDescent="0.15">
      <c r="B46" s="51" t="s">
        <v>46</v>
      </c>
      <c r="C46" s="52">
        <f>+C42/C35</f>
        <v>1.6666666666666667</v>
      </c>
      <c r="D46" s="52">
        <f>+D42/C35</f>
        <v>3.3333333333333335</v>
      </c>
      <c r="E46" s="2"/>
      <c r="F46" s="2"/>
      <c r="G46" s="2"/>
      <c r="H46" s="2"/>
      <c r="I46" s="20"/>
    </row>
    <row r="47" spans="2:11" x14ac:dyDescent="0.15">
      <c r="B47" s="54" t="s">
        <v>129</v>
      </c>
      <c r="C47" s="2"/>
      <c r="D47" s="2"/>
      <c r="E47" s="2"/>
      <c r="F47" s="2"/>
      <c r="G47" s="2"/>
      <c r="H47" s="2"/>
      <c r="I47" s="20"/>
    </row>
    <row r="48" spans="2:11" x14ac:dyDescent="0.15">
      <c r="B48" s="51" t="s">
        <v>130</v>
      </c>
      <c r="C48" s="18" t="s">
        <v>131</v>
      </c>
      <c r="D48" s="18" t="s">
        <v>132</v>
      </c>
      <c r="E48" s="18" t="s">
        <v>133</v>
      </c>
      <c r="F48" s="18" t="s">
        <v>134</v>
      </c>
      <c r="G48" s="18" t="s">
        <v>50</v>
      </c>
      <c r="H48" s="18"/>
      <c r="I48" s="20"/>
    </row>
    <row r="49" spans="2:9" x14ac:dyDescent="0.15">
      <c r="B49" s="51" t="s">
        <v>17</v>
      </c>
      <c r="C49" s="18">
        <v>18</v>
      </c>
      <c r="D49" s="18">
        <v>18</v>
      </c>
      <c r="E49" s="18">
        <v>18</v>
      </c>
      <c r="F49" s="18">
        <v>18</v>
      </c>
      <c r="G49" s="18">
        <f>SUM(C49:F49)</f>
        <v>72</v>
      </c>
      <c r="H49" s="18"/>
      <c r="I49" s="20"/>
    </row>
    <row r="50" spans="2:9" x14ac:dyDescent="0.15">
      <c r="B50" s="51" t="s">
        <v>30</v>
      </c>
      <c r="C50" s="18">
        <v>12</v>
      </c>
      <c r="D50" s="18">
        <v>12</v>
      </c>
      <c r="E50" s="18">
        <v>12</v>
      </c>
      <c r="F50" s="18">
        <v>12</v>
      </c>
      <c r="G50" s="18">
        <f>SUM(C50:F50)</f>
        <v>48</v>
      </c>
      <c r="H50" s="18"/>
      <c r="I50" s="20"/>
    </row>
    <row r="51" spans="2:9" x14ac:dyDescent="0.15">
      <c r="B51" s="51" t="s">
        <v>46</v>
      </c>
      <c r="C51" s="18">
        <v>6</v>
      </c>
      <c r="D51" s="18">
        <v>6</v>
      </c>
      <c r="E51" s="18">
        <v>6</v>
      </c>
      <c r="F51" s="18">
        <v>6</v>
      </c>
      <c r="G51" s="18">
        <f>SUM(C51:F51)</f>
        <v>24</v>
      </c>
      <c r="H51" s="18"/>
      <c r="I51" s="20"/>
    </row>
    <row r="52" spans="2:9" x14ac:dyDescent="0.15">
      <c r="B52" s="288" t="s">
        <v>135</v>
      </c>
      <c r="C52" s="289"/>
      <c r="D52" s="289"/>
      <c r="E52" s="289"/>
      <c r="F52" s="19"/>
      <c r="G52" s="18"/>
      <c r="H52" s="18"/>
      <c r="I52" s="20"/>
    </row>
    <row r="53" spans="2:9" x14ac:dyDescent="0.15">
      <c r="B53" s="51" t="s">
        <v>17</v>
      </c>
      <c r="C53" s="52">
        <f>+(E40-G49)/C33</f>
        <v>1.5555555555555556</v>
      </c>
      <c r="D53" s="2"/>
      <c r="E53" s="2"/>
      <c r="F53" s="2"/>
      <c r="G53" s="18"/>
      <c r="H53" s="18"/>
      <c r="I53" s="20"/>
    </row>
    <row r="54" spans="2:9" x14ac:dyDescent="0.15">
      <c r="B54" s="51" t="s">
        <v>30</v>
      </c>
      <c r="C54" s="53">
        <f>+(E41-G50)/C34</f>
        <v>1.8333333333333333</v>
      </c>
      <c r="D54" s="18"/>
      <c r="E54" s="18"/>
      <c r="F54" s="18"/>
      <c r="G54" s="18"/>
      <c r="H54" s="18"/>
      <c r="I54" s="20"/>
    </row>
    <row r="55" spans="2:9" x14ac:dyDescent="0.15">
      <c r="B55" s="51" t="s">
        <v>46</v>
      </c>
      <c r="C55" s="52">
        <f>+(E42-G51)/C35</f>
        <v>1</v>
      </c>
      <c r="D55" s="18"/>
      <c r="E55" s="18"/>
      <c r="F55" s="18"/>
      <c r="G55" s="18"/>
      <c r="H55" s="18"/>
      <c r="I55" s="20"/>
    </row>
    <row r="56" spans="2:9" x14ac:dyDescent="0.15">
      <c r="B56" s="54" t="s">
        <v>136</v>
      </c>
      <c r="C56" s="18"/>
      <c r="D56" s="18"/>
      <c r="E56" s="18"/>
      <c r="F56" s="18"/>
      <c r="G56" s="18"/>
      <c r="H56" s="18"/>
      <c r="I56" s="20"/>
    </row>
    <row r="57" spans="2:9" x14ac:dyDescent="0.15">
      <c r="B57" s="21" t="str">
        <f>G48</f>
        <v>Corte</v>
      </c>
      <c r="C57" s="18" t="s">
        <v>126</v>
      </c>
      <c r="D57" s="18" t="s">
        <v>137</v>
      </c>
      <c r="E57" s="18" t="s">
        <v>138</v>
      </c>
      <c r="F57" s="18" t="s">
        <v>139</v>
      </c>
      <c r="G57" s="18" t="s">
        <v>140</v>
      </c>
      <c r="H57" s="18"/>
      <c r="I57" s="20"/>
    </row>
    <row r="58" spans="2:9" x14ac:dyDescent="0.15">
      <c r="B58" s="21">
        <f>G49</f>
        <v>72</v>
      </c>
      <c r="C58" s="18">
        <v>18</v>
      </c>
      <c r="D58" s="18">
        <v>18</v>
      </c>
      <c r="E58" s="18">
        <f>SUM(B58:D58)</f>
        <v>108</v>
      </c>
      <c r="F58" s="18">
        <f>E40</f>
        <v>100</v>
      </c>
      <c r="G58" s="18">
        <f>+E58-F58</f>
        <v>8</v>
      </c>
      <c r="H58" s="18"/>
      <c r="I58" s="20"/>
    </row>
    <row r="59" spans="2:9" x14ac:dyDescent="0.15">
      <c r="B59" s="21">
        <f>G50</f>
        <v>48</v>
      </c>
      <c r="C59" s="18">
        <v>12</v>
      </c>
      <c r="D59" s="18">
        <v>12</v>
      </c>
      <c r="E59" s="18">
        <f>SUM(B59:D59)</f>
        <v>72</v>
      </c>
      <c r="F59" s="18">
        <f>+E41</f>
        <v>70</v>
      </c>
      <c r="G59" s="18">
        <f>+E59-F59</f>
        <v>2</v>
      </c>
      <c r="H59" s="18"/>
      <c r="I59" s="20"/>
    </row>
    <row r="60" spans="2:9" x14ac:dyDescent="0.15">
      <c r="B60" s="21">
        <f>G51</f>
        <v>24</v>
      </c>
      <c r="C60" s="18">
        <v>6</v>
      </c>
      <c r="D60" s="18">
        <v>6</v>
      </c>
      <c r="E60" s="18">
        <f>SUM(B60:D60)</f>
        <v>36</v>
      </c>
      <c r="F60" s="18">
        <f>+E42</f>
        <v>30</v>
      </c>
      <c r="G60" s="18">
        <f>+E60-F60</f>
        <v>6</v>
      </c>
      <c r="H60" s="18"/>
      <c r="I60" s="20"/>
    </row>
    <row r="61" spans="2:9" x14ac:dyDescent="0.15">
      <c r="B61" s="21"/>
      <c r="C61" s="18"/>
      <c r="D61" s="18"/>
      <c r="E61" s="18"/>
      <c r="F61" s="18"/>
      <c r="G61" s="2"/>
      <c r="H61" s="2"/>
      <c r="I61" s="20"/>
    </row>
    <row r="62" spans="2:9" x14ac:dyDescent="0.15">
      <c r="B62" s="23" t="s">
        <v>141</v>
      </c>
      <c r="C62" s="2"/>
      <c r="D62" s="55">
        <v>2</v>
      </c>
      <c r="E62" s="2"/>
      <c r="F62" s="2"/>
      <c r="G62" s="2"/>
      <c r="H62" s="2"/>
      <c r="I62" s="20"/>
    </row>
    <row r="63" spans="2:9" x14ac:dyDescent="0.15">
      <c r="B63" s="24" t="s">
        <v>142</v>
      </c>
      <c r="C63" s="18" t="s">
        <v>131</v>
      </c>
      <c r="D63" s="18" t="s">
        <v>132</v>
      </c>
      <c r="E63" s="18" t="s">
        <v>133</v>
      </c>
      <c r="F63" s="18" t="s">
        <v>134</v>
      </c>
      <c r="G63" s="18" t="s">
        <v>126</v>
      </c>
      <c r="H63" s="18" t="s">
        <v>137</v>
      </c>
      <c r="I63" s="22" t="s">
        <v>143</v>
      </c>
    </row>
    <row r="64" spans="2:9" x14ac:dyDescent="0.15">
      <c r="B64" s="21" t="s">
        <v>17</v>
      </c>
      <c r="C64" s="18">
        <f>C49</f>
        <v>18</v>
      </c>
      <c r="D64" s="18">
        <f t="shared" ref="D64:H66" si="0">C64</f>
        <v>18</v>
      </c>
      <c r="E64" s="18">
        <f t="shared" si="0"/>
        <v>18</v>
      </c>
      <c r="F64" s="18">
        <f t="shared" si="0"/>
        <v>18</v>
      </c>
      <c r="G64" s="18">
        <f t="shared" si="0"/>
        <v>18</v>
      </c>
      <c r="H64" s="18">
        <f t="shared" si="0"/>
        <v>18</v>
      </c>
      <c r="I64" s="22">
        <f>G58</f>
        <v>8</v>
      </c>
    </row>
    <row r="65" spans="2:9" x14ac:dyDescent="0.15">
      <c r="B65" s="21" t="s">
        <v>30</v>
      </c>
      <c r="C65" s="18">
        <f>C50</f>
        <v>12</v>
      </c>
      <c r="D65" s="18">
        <f t="shared" si="0"/>
        <v>12</v>
      </c>
      <c r="E65" s="18">
        <f t="shared" si="0"/>
        <v>12</v>
      </c>
      <c r="F65" s="18">
        <f t="shared" si="0"/>
        <v>12</v>
      </c>
      <c r="G65" s="18">
        <f t="shared" si="0"/>
        <v>12</v>
      </c>
      <c r="H65" s="18">
        <f t="shared" si="0"/>
        <v>12</v>
      </c>
      <c r="I65" s="22">
        <f>G59</f>
        <v>2</v>
      </c>
    </row>
    <row r="66" spans="2:9" x14ac:dyDescent="0.15">
      <c r="B66" s="21" t="s">
        <v>46</v>
      </c>
      <c r="C66" s="18">
        <f>C51</f>
        <v>6</v>
      </c>
      <c r="D66" s="18">
        <f t="shared" si="0"/>
        <v>6</v>
      </c>
      <c r="E66" s="18">
        <f t="shared" si="0"/>
        <v>6</v>
      </c>
      <c r="F66" s="18">
        <f t="shared" si="0"/>
        <v>6</v>
      </c>
      <c r="G66" s="18">
        <f t="shared" si="0"/>
        <v>6</v>
      </c>
      <c r="H66" s="18">
        <f t="shared" si="0"/>
        <v>6</v>
      </c>
      <c r="I66" s="22">
        <f>G60</f>
        <v>6</v>
      </c>
    </row>
    <row r="67" spans="2:9" x14ac:dyDescent="0.15">
      <c r="B67" s="21" t="s">
        <v>17</v>
      </c>
      <c r="C67" s="56">
        <f>+C64*(10-6)*$D$62</f>
        <v>144</v>
      </c>
      <c r="D67" s="56">
        <f>+D64*(10-7)*$D$62</f>
        <v>108</v>
      </c>
      <c r="E67" s="56">
        <f>+E64*(12-8)*$D$62</f>
        <v>144</v>
      </c>
      <c r="F67" s="56">
        <f>+F64*(12-9)*$D$62</f>
        <v>108</v>
      </c>
      <c r="G67" s="56">
        <f>+G64*(12-10)*$D$62</f>
        <v>72</v>
      </c>
      <c r="H67" s="56">
        <f>+H64*(12-11)*$D$62</f>
        <v>36</v>
      </c>
      <c r="I67" s="57">
        <f>SUM(C67:H67)</f>
        <v>612</v>
      </c>
    </row>
    <row r="68" spans="2:9" x14ac:dyDescent="0.15">
      <c r="B68" s="21" t="s">
        <v>30</v>
      </c>
      <c r="C68" s="56">
        <f>+C65*(10-6)*$D$62</f>
        <v>96</v>
      </c>
      <c r="D68" s="56">
        <f>+D65*(10-7)*$D$62</f>
        <v>72</v>
      </c>
      <c r="E68" s="56">
        <f>+E65*(10-8)*$D$62</f>
        <v>48</v>
      </c>
      <c r="F68" s="56">
        <f>+F65*(10-9)*$D$62</f>
        <v>24</v>
      </c>
      <c r="G68" s="56">
        <f>+G65*(12-10)*$D$62</f>
        <v>48</v>
      </c>
      <c r="H68" s="56">
        <f>+H65*(12-11)*$D$62</f>
        <v>24</v>
      </c>
      <c r="I68" s="57">
        <f>SUM(C68:H68)</f>
        <v>312</v>
      </c>
    </row>
    <row r="69" spans="2:9" x14ac:dyDescent="0.15">
      <c r="B69" s="21" t="s">
        <v>46</v>
      </c>
      <c r="C69" s="56">
        <f>+C66*(10-6)*$D$62</f>
        <v>48</v>
      </c>
      <c r="D69" s="56">
        <f>+D66*(10-7)*$D$62</f>
        <v>36</v>
      </c>
      <c r="E69" s="56">
        <f>+E66*(12-8)*$D$62</f>
        <v>48</v>
      </c>
      <c r="F69" s="56">
        <f>+F66*(12-9)*$D$62</f>
        <v>36</v>
      </c>
      <c r="G69" s="56">
        <f>+G66*(12-10)*$D$62</f>
        <v>24</v>
      </c>
      <c r="H69" s="56">
        <f>+H66*(12-11)*$D$62</f>
        <v>12</v>
      </c>
      <c r="I69" s="57">
        <f>SUM(C69:H69)</f>
        <v>204</v>
      </c>
    </row>
    <row r="70" spans="2:9" ht="14" thickBot="1" x14ac:dyDescent="0.2">
      <c r="B70" s="25"/>
      <c r="C70" s="26"/>
      <c r="D70" s="26"/>
      <c r="E70" s="26"/>
      <c r="F70" s="26"/>
      <c r="G70" s="26"/>
      <c r="H70" s="26"/>
      <c r="I70" s="58">
        <f>(I64*2)+(I65*2)+(I66*2)+I67+I68+I69</f>
        <v>1160</v>
      </c>
    </row>
  </sheetData>
  <mergeCells count="5">
    <mergeCell ref="B2:G2"/>
    <mergeCell ref="B24:G24"/>
    <mergeCell ref="B38:E38"/>
    <mergeCell ref="B43:D43"/>
    <mergeCell ref="B52:E5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0"/>
  <sheetViews>
    <sheetView workbookViewId="0">
      <selection activeCell="H8" sqref="H8"/>
    </sheetView>
  </sheetViews>
  <sheetFormatPr baseColWidth="10" defaultRowHeight="16" x14ac:dyDescent="0.2"/>
  <cols>
    <col min="2" max="2" width="16" customWidth="1"/>
    <col min="8" max="8" width="12.33203125" bestFit="1" customWidth="1"/>
    <col min="10" max="10" width="13.6640625" customWidth="1"/>
    <col min="12" max="12" width="12.5" bestFit="1" customWidth="1"/>
    <col min="13" max="13" width="14.1640625" bestFit="1" customWidth="1"/>
  </cols>
  <sheetData>
    <row r="1" spans="1:13" ht="34" x14ac:dyDescent="0.4">
      <c r="A1" s="59" t="s">
        <v>144</v>
      </c>
      <c r="I1" s="60" t="s">
        <v>145</v>
      </c>
    </row>
    <row r="2" spans="1:13" x14ac:dyDescent="0.2">
      <c r="C2" s="300" t="s">
        <v>146</v>
      </c>
      <c r="D2" s="300"/>
      <c r="E2" s="300"/>
      <c r="J2" s="61" t="s">
        <v>20</v>
      </c>
      <c r="K2" s="62" t="s">
        <v>0</v>
      </c>
      <c r="L2" s="3" t="s">
        <v>147</v>
      </c>
      <c r="M2" s="63" t="s">
        <v>148</v>
      </c>
    </row>
    <row r="3" spans="1:13" ht="17" x14ac:dyDescent="0.2">
      <c r="C3" s="38" t="s">
        <v>149</v>
      </c>
      <c r="D3" s="64" t="s">
        <v>150</v>
      </c>
      <c r="E3" s="38" t="s">
        <v>151</v>
      </c>
      <c r="J3" s="65" t="s">
        <v>17</v>
      </c>
      <c r="K3" s="38">
        <v>5000</v>
      </c>
      <c r="L3" s="302">
        <v>24</v>
      </c>
      <c r="M3" s="4">
        <f>+K3/$L$3</f>
        <v>208.33333333333334</v>
      </c>
    </row>
    <row r="4" spans="1:13" ht="30" customHeight="1" x14ac:dyDescent="0.2">
      <c r="B4" s="66" t="s">
        <v>48</v>
      </c>
      <c r="C4" s="62">
        <v>12000</v>
      </c>
      <c r="D4" s="62">
        <f>+C4*0.8</f>
        <v>9600</v>
      </c>
      <c r="E4" s="62">
        <f>+C4/24</f>
        <v>500</v>
      </c>
      <c r="J4" s="61" t="s">
        <v>30</v>
      </c>
      <c r="K4" s="38">
        <v>3000</v>
      </c>
      <c r="L4" s="303"/>
      <c r="M4" s="38">
        <f t="shared" ref="M4:M5" si="0">+K4/$L$3</f>
        <v>125</v>
      </c>
    </row>
    <row r="5" spans="1:13" ht="17" x14ac:dyDescent="0.2">
      <c r="B5" s="66" t="s">
        <v>152</v>
      </c>
      <c r="C5" s="305">
        <v>0.5</v>
      </c>
      <c r="D5" s="306"/>
      <c r="J5" s="65" t="s">
        <v>46</v>
      </c>
      <c r="K5" s="38">
        <v>6000</v>
      </c>
      <c r="L5" s="304"/>
      <c r="M5" s="38">
        <f t="shared" si="0"/>
        <v>250</v>
      </c>
    </row>
    <row r="6" spans="1:13" x14ac:dyDescent="0.2">
      <c r="J6" s="307" t="s">
        <v>78</v>
      </c>
      <c r="K6" s="308"/>
      <c r="L6" s="67">
        <f>+E4</f>
        <v>500</v>
      </c>
    </row>
    <row r="7" spans="1:13" x14ac:dyDescent="0.2">
      <c r="B7" s="311" t="s">
        <v>20</v>
      </c>
      <c r="C7" s="302" t="s">
        <v>0</v>
      </c>
      <c r="D7" s="313" t="s">
        <v>53</v>
      </c>
      <c r="E7" s="314"/>
      <c r="J7" s="315" t="s">
        <v>153</v>
      </c>
      <c r="K7" s="316"/>
      <c r="L7" s="68"/>
    </row>
    <row r="8" spans="1:13" x14ac:dyDescent="0.2">
      <c r="B8" s="312"/>
      <c r="C8" s="304"/>
      <c r="D8" s="69" t="s">
        <v>9</v>
      </c>
      <c r="E8" s="69" t="s">
        <v>23</v>
      </c>
      <c r="J8" s="317" t="s">
        <v>17</v>
      </c>
      <c r="K8" s="317"/>
      <c r="L8" s="70">
        <f>+$L$6/M3</f>
        <v>2.4</v>
      </c>
    </row>
    <row r="9" spans="1:13" x14ac:dyDescent="0.2">
      <c r="B9" s="71" t="s">
        <v>17</v>
      </c>
      <c r="C9" s="38">
        <v>5000</v>
      </c>
      <c r="D9" s="69">
        <v>5</v>
      </c>
      <c r="E9" s="69">
        <v>2</v>
      </c>
      <c r="J9" s="301" t="s">
        <v>30</v>
      </c>
      <c r="K9" s="301"/>
      <c r="L9" s="31">
        <f t="shared" ref="L9:L10" si="1">+$L$6/M4</f>
        <v>4</v>
      </c>
    </row>
    <row r="10" spans="1:13" x14ac:dyDescent="0.2">
      <c r="B10" s="71" t="s">
        <v>30</v>
      </c>
      <c r="C10" s="38">
        <v>3000</v>
      </c>
      <c r="D10" s="69">
        <v>2</v>
      </c>
      <c r="E10" s="69">
        <v>3</v>
      </c>
      <c r="J10" s="301" t="s">
        <v>46</v>
      </c>
      <c r="K10" s="301"/>
      <c r="L10" s="31">
        <f t="shared" si="1"/>
        <v>2</v>
      </c>
    </row>
    <row r="11" spans="1:13" x14ac:dyDescent="0.2">
      <c r="B11" s="71" t="s">
        <v>46</v>
      </c>
      <c r="C11" s="38">
        <v>6000</v>
      </c>
      <c r="D11" s="69">
        <v>4</v>
      </c>
      <c r="E11" s="69">
        <v>4</v>
      </c>
      <c r="J11" s="309" t="s">
        <v>154</v>
      </c>
      <c r="K11" s="310"/>
      <c r="L11" s="68"/>
    </row>
    <row r="12" spans="1:13" x14ac:dyDescent="0.2">
      <c r="J12" s="301" t="s">
        <v>17</v>
      </c>
      <c r="K12" s="301"/>
      <c r="L12" s="4">
        <f>+L9/L8</f>
        <v>1.6666666666666667</v>
      </c>
    </row>
    <row r="13" spans="1:13" x14ac:dyDescent="0.2">
      <c r="B13" s="72"/>
      <c r="C13" s="38" t="s">
        <v>155</v>
      </c>
      <c r="D13" s="38" t="s">
        <v>156</v>
      </c>
      <c r="E13" s="38" t="s">
        <v>157</v>
      </c>
      <c r="F13" s="38" t="s">
        <v>158</v>
      </c>
      <c r="G13" s="38" t="s">
        <v>159</v>
      </c>
      <c r="J13" s="301" t="s">
        <v>30</v>
      </c>
      <c r="K13" s="301"/>
      <c r="L13" s="4">
        <f>+L9/L9</f>
        <v>1</v>
      </c>
    </row>
    <row r="14" spans="1:13" x14ac:dyDescent="0.2">
      <c r="B14" s="72" t="s">
        <v>160</v>
      </c>
      <c r="C14" s="38">
        <v>6</v>
      </c>
      <c r="D14" s="38">
        <v>2</v>
      </c>
      <c r="E14" s="38">
        <v>3</v>
      </c>
      <c r="F14" s="38">
        <v>4</v>
      </c>
      <c r="G14" s="38">
        <v>5</v>
      </c>
      <c r="J14" s="301" t="s">
        <v>46</v>
      </c>
      <c r="K14" s="301"/>
      <c r="L14" s="4">
        <f>+L9/L10</f>
        <v>2</v>
      </c>
    </row>
    <row r="15" spans="1:13" x14ac:dyDescent="0.2">
      <c r="B15" s="72" t="s">
        <v>161</v>
      </c>
      <c r="C15" s="73">
        <v>1200</v>
      </c>
      <c r="D15" s="73">
        <v>2000</v>
      </c>
      <c r="E15" s="73">
        <v>1800</v>
      </c>
      <c r="F15" s="73">
        <v>700</v>
      </c>
      <c r="G15" s="73">
        <v>500</v>
      </c>
      <c r="J15" s="292" t="s">
        <v>162</v>
      </c>
      <c r="K15" s="293"/>
      <c r="L15" s="294"/>
    </row>
    <row r="16" spans="1:13" x14ac:dyDescent="0.2">
      <c r="J16" s="295"/>
      <c r="K16" s="296"/>
      <c r="L16" s="297"/>
    </row>
    <row r="17" spans="2:12" ht="34" x14ac:dyDescent="0.4">
      <c r="B17" s="66" t="s">
        <v>163</v>
      </c>
      <c r="C17" s="62" t="s">
        <v>0</v>
      </c>
      <c r="D17" s="62" t="s">
        <v>49</v>
      </c>
      <c r="I17" s="60" t="s">
        <v>164</v>
      </c>
    </row>
    <row r="18" spans="2:12" x14ac:dyDescent="0.2">
      <c r="B18" s="65" t="s">
        <v>17</v>
      </c>
      <c r="C18" s="38">
        <v>5000</v>
      </c>
      <c r="D18" s="298">
        <f>+D4/(C18+C19+C20)</f>
        <v>0.68571428571428572</v>
      </c>
      <c r="J18" s="299" t="s">
        <v>165</v>
      </c>
      <c r="K18" s="299"/>
      <c r="L18" s="38" t="s">
        <v>75</v>
      </c>
    </row>
    <row r="19" spans="2:12" x14ac:dyDescent="0.2">
      <c r="B19" s="65" t="s">
        <v>30</v>
      </c>
      <c r="C19" s="38">
        <v>3000</v>
      </c>
      <c r="D19" s="298"/>
      <c r="J19" s="300" t="s">
        <v>17</v>
      </c>
      <c r="K19" s="300"/>
      <c r="L19" s="3">
        <v>500</v>
      </c>
    </row>
    <row r="20" spans="2:12" x14ac:dyDescent="0.2">
      <c r="B20" s="65" t="s">
        <v>46</v>
      </c>
      <c r="C20" s="38">
        <v>6000</v>
      </c>
      <c r="D20" s="298"/>
      <c r="J20" s="300" t="s">
        <v>30</v>
      </c>
      <c r="K20" s="300"/>
      <c r="L20" s="3">
        <v>200</v>
      </c>
    </row>
    <row r="21" spans="2:12" x14ac:dyDescent="0.2">
      <c r="B21" s="65" t="s">
        <v>9</v>
      </c>
      <c r="C21" s="38">
        <f>+(C18*D9)+(C19*D10)+(C20*D11)</f>
        <v>55000</v>
      </c>
      <c r="D21" s="74">
        <f>+$D$4/C21</f>
        <v>0.17454545454545456</v>
      </c>
      <c r="J21" s="300" t="s">
        <v>46</v>
      </c>
      <c r="K21" s="300"/>
      <c r="L21" s="3">
        <v>700</v>
      </c>
    </row>
    <row r="22" spans="2:12" x14ac:dyDescent="0.2">
      <c r="B22" s="65" t="s">
        <v>23</v>
      </c>
      <c r="C22" s="38">
        <f>+(C18*E9)+(C19*E10)+(C20*E11)</f>
        <v>43000</v>
      </c>
      <c r="D22" s="74">
        <f>+D4/C22</f>
        <v>0.22325581395348837</v>
      </c>
      <c r="J22" s="290" t="s">
        <v>166</v>
      </c>
      <c r="K22" s="290"/>
      <c r="L22" s="3">
        <v>3</v>
      </c>
    </row>
    <row r="23" spans="2:12" x14ac:dyDescent="0.2">
      <c r="B23" s="72" t="s">
        <v>167</v>
      </c>
      <c r="C23" s="38">
        <f>+C21+C22</f>
        <v>98000</v>
      </c>
      <c r="D23" s="74">
        <f>+$D$4/C23</f>
        <v>9.7959183673469383E-2</v>
      </c>
      <c r="J23" s="291" t="s">
        <v>168</v>
      </c>
      <c r="K23" s="291"/>
      <c r="L23" s="282">
        <f>+(L19+L20+L21)/L22</f>
        <v>466.66666666666669</v>
      </c>
    </row>
    <row r="25" spans="2:12" x14ac:dyDescent="0.2">
      <c r="B25" s="72"/>
      <c r="C25" s="38" t="s">
        <v>155</v>
      </c>
      <c r="D25" s="38" t="s">
        <v>156</v>
      </c>
      <c r="E25" s="38" t="s">
        <v>157</v>
      </c>
      <c r="F25" s="38" t="s">
        <v>158</v>
      </c>
      <c r="G25" s="38" t="s">
        <v>159</v>
      </c>
    </row>
    <row r="26" spans="2:12" x14ac:dyDescent="0.2">
      <c r="B26" s="72" t="s">
        <v>160</v>
      </c>
      <c r="C26" s="38">
        <f>+C14+$C$5</f>
        <v>6.5</v>
      </c>
      <c r="D26" s="38">
        <f>+D14+$C$5</f>
        <v>2.5</v>
      </c>
      <c r="E26" s="38">
        <f>+E14+$C$5</f>
        <v>3.5</v>
      </c>
      <c r="F26" s="38">
        <f>+F14+$C$5</f>
        <v>4.5</v>
      </c>
      <c r="G26" s="38">
        <f>+G14+$C$5</f>
        <v>5.5</v>
      </c>
    </row>
    <row r="27" spans="2:12" x14ac:dyDescent="0.2">
      <c r="B27" s="72" t="s">
        <v>169</v>
      </c>
      <c r="C27" s="74">
        <f>+D23</f>
        <v>9.7959183673469383E-2</v>
      </c>
      <c r="D27" s="74">
        <f>+D21</f>
        <v>0.17454545454545456</v>
      </c>
      <c r="E27" s="74">
        <f>+D22</f>
        <v>0.22325581395348837</v>
      </c>
      <c r="F27" s="74">
        <f>+D18</f>
        <v>0.68571428571428572</v>
      </c>
      <c r="G27" s="74">
        <f>+D18</f>
        <v>0.68571428571428572</v>
      </c>
    </row>
    <row r="28" spans="2:12" x14ac:dyDescent="0.2">
      <c r="B28" s="72" t="s">
        <v>170</v>
      </c>
      <c r="C28" s="31">
        <f>+C26/C27</f>
        <v>66.354166666666671</v>
      </c>
      <c r="D28" s="31">
        <f t="shared" ref="D28:G28" si="2">+D26/D27</f>
        <v>14.322916666666666</v>
      </c>
      <c r="E28" s="31">
        <f t="shared" si="2"/>
        <v>15.677083333333334</v>
      </c>
      <c r="F28" s="31">
        <f t="shared" si="2"/>
        <v>6.5625</v>
      </c>
      <c r="G28" s="31">
        <f t="shared" si="2"/>
        <v>8.0208333333333339</v>
      </c>
    </row>
    <row r="29" spans="2:12" x14ac:dyDescent="0.2">
      <c r="B29" s="72" t="s">
        <v>171</v>
      </c>
      <c r="C29" s="38">
        <f>CEILING(C28,1)</f>
        <v>67</v>
      </c>
      <c r="D29" s="38">
        <f t="shared" ref="D29:G29" si="3">CEILING(D28,1)</f>
        <v>15</v>
      </c>
      <c r="E29" s="38">
        <f t="shared" si="3"/>
        <v>16</v>
      </c>
      <c r="F29" s="38">
        <f t="shared" si="3"/>
        <v>7</v>
      </c>
      <c r="G29" s="38">
        <f t="shared" si="3"/>
        <v>9</v>
      </c>
    </row>
    <row r="30" spans="2:12" x14ac:dyDescent="0.2">
      <c r="B30" s="72" t="s">
        <v>172</v>
      </c>
      <c r="C30" s="38">
        <f>+C29*C15</f>
        <v>80400</v>
      </c>
      <c r="D30" s="38">
        <f>+D29*D15</f>
        <v>30000</v>
      </c>
      <c r="E30" s="38">
        <f>+E29*E15</f>
        <v>28800</v>
      </c>
      <c r="F30" s="38">
        <f>+F29*F15</f>
        <v>4900</v>
      </c>
      <c r="G30" s="38">
        <f>+G29*G15</f>
        <v>4500</v>
      </c>
      <c r="H30" s="75">
        <f>SUM(C30:G30)</f>
        <v>148600</v>
      </c>
    </row>
  </sheetData>
  <mergeCells count="23">
    <mergeCell ref="B7:B8"/>
    <mergeCell ref="C7:C8"/>
    <mergeCell ref="D7:E7"/>
    <mergeCell ref="J7:K7"/>
    <mergeCell ref="J8:K8"/>
    <mergeCell ref="J14:K14"/>
    <mergeCell ref="C2:E2"/>
    <mergeCell ref="L3:L5"/>
    <mergeCell ref="C5:D5"/>
    <mergeCell ref="J6:K6"/>
    <mergeCell ref="J9:K9"/>
    <mergeCell ref="J10:K10"/>
    <mergeCell ref="J11:K11"/>
    <mergeCell ref="J12:K12"/>
    <mergeCell ref="J13:K13"/>
    <mergeCell ref="J22:K22"/>
    <mergeCell ref="J23:K23"/>
    <mergeCell ref="J15:L16"/>
    <mergeCell ref="D18:D20"/>
    <mergeCell ref="J18:K18"/>
    <mergeCell ref="J19:K19"/>
    <mergeCell ref="J20:K20"/>
    <mergeCell ref="J21:K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10"/>
  <sheetViews>
    <sheetView zoomScale="140" zoomScaleNormal="140" workbookViewId="0">
      <selection activeCell="K27" sqref="K27"/>
    </sheetView>
  </sheetViews>
  <sheetFormatPr baseColWidth="10" defaultRowHeight="16" x14ac:dyDescent="0.2"/>
  <cols>
    <col min="2" max="2" width="21.6640625" customWidth="1"/>
  </cols>
  <sheetData>
    <row r="2" spans="2:4" x14ac:dyDescent="0.2">
      <c r="B2" s="41" t="s">
        <v>83</v>
      </c>
    </row>
    <row r="4" spans="2:4" x14ac:dyDescent="0.2">
      <c r="B4" t="s">
        <v>84</v>
      </c>
    </row>
    <row r="5" spans="2:4" x14ac:dyDescent="0.2">
      <c r="B5" t="s">
        <v>173</v>
      </c>
      <c r="C5">
        <v>5</v>
      </c>
    </row>
    <row r="6" spans="2:4" x14ac:dyDescent="0.2">
      <c r="B6" t="s">
        <v>174</v>
      </c>
      <c r="C6">
        <v>10</v>
      </c>
    </row>
    <row r="7" spans="2:4" x14ac:dyDescent="0.2">
      <c r="B7" t="s">
        <v>175</v>
      </c>
      <c r="C7">
        <v>2</v>
      </c>
    </row>
    <row r="8" spans="2:4" x14ac:dyDescent="0.2">
      <c r="B8" t="s">
        <v>3</v>
      </c>
      <c r="C8">
        <v>0.2</v>
      </c>
    </row>
    <row r="9" spans="2:4" x14ac:dyDescent="0.2">
      <c r="C9" s="5"/>
    </row>
    <row r="10" spans="2:4" x14ac:dyDescent="0.2">
      <c r="B10" s="76" t="s">
        <v>176</v>
      </c>
      <c r="C10" s="29">
        <f>(C6*(C7*(1+C8)))/C5</f>
        <v>4.8</v>
      </c>
      <c r="D10" s="76">
        <f>ROUNDUP(C10,0)</f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E10"/>
  <sheetViews>
    <sheetView zoomScale="150" zoomScaleNormal="150" zoomScalePageLayoutView="150" workbookViewId="0">
      <selection activeCell="C9" sqref="C9"/>
    </sheetView>
  </sheetViews>
  <sheetFormatPr baseColWidth="10" defaultRowHeight="16" x14ac:dyDescent="0.2"/>
  <sheetData>
    <row r="2" spans="2:5" x14ac:dyDescent="0.2">
      <c r="B2" t="s">
        <v>70</v>
      </c>
      <c r="C2" s="77">
        <v>2100</v>
      </c>
      <c r="D2" t="s">
        <v>177</v>
      </c>
    </row>
    <row r="3" spans="2:5" x14ac:dyDescent="0.2">
      <c r="B3" t="s">
        <v>71</v>
      </c>
      <c r="C3" s="78">
        <f>3*435/550</f>
        <v>2.3727272727272726</v>
      </c>
      <c r="D3" t="s">
        <v>178</v>
      </c>
      <c r="E3">
        <f>C3*60</f>
        <v>142.36363636363635</v>
      </c>
    </row>
    <row r="4" spans="2:5" x14ac:dyDescent="0.2">
      <c r="B4" t="s">
        <v>72</v>
      </c>
      <c r="C4" s="79">
        <f>600/550</f>
        <v>1.0909090909090908</v>
      </c>
      <c r="D4" t="s">
        <v>179</v>
      </c>
    </row>
    <row r="5" spans="2:5" x14ac:dyDescent="0.2">
      <c r="C5" s="79">
        <f>1500/550</f>
        <v>2.7272727272727271</v>
      </c>
      <c r="D5" t="s">
        <v>180</v>
      </c>
    </row>
    <row r="6" spans="2:5" x14ac:dyDescent="0.2">
      <c r="B6" t="s">
        <v>73</v>
      </c>
      <c r="C6">
        <v>510</v>
      </c>
      <c r="D6" t="s">
        <v>181</v>
      </c>
    </row>
    <row r="7" spans="2:5" x14ac:dyDescent="0.2">
      <c r="B7" t="s">
        <v>74</v>
      </c>
      <c r="C7">
        <f>(435*3*0.99)</f>
        <v>1291.95</v>
      </c>
      <c r="D7" t="s">
        <v>182</v>
      </c>
    </row>
    <row r="8" spans="2:5" x14ac:dyDescent="0.2">
      <c r="C8">
        <v>125</v>
      </c>
      <c r="D8" t="s">
        <v>183</v>
      </c>
    </row>
    <row r="9" spans="2:5" x14ac:dyDescent="0.2">
      <c r="C9">
        <f>300/20</f>
        <v>15</v>
      </c>
      <c r="D9" t="s">
        <v>184</v>
      </c>
    </row>
    <row r="10" spans="2:5" x14ac:dyDescent="0.2">
      <c r="C10" s="17">
        <f>C7/(C8+C9)*60</f>
        <v>553.69285714285718</v>
      </c>
      <c r="D10" t="s">
        <v>185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T39"/>
  <sheetViews>
    <sheetView workbookViewId="0">
      <selection activeCell="F35" sqref="F35"/>
    </sheetView>
  </sheetViews>
  <sheetFormatPr baseColWidth="10" defaultRowHeight="16" x14ac:dyDescent="0.2"/>
  <cols>
    <col min="3" max="3" width="13" customWidth="1"/>
    <col min="7" max="7" width="11.5" bestFit="1" customWidth="1"/>
    <col min="8" max="8" width="10.83203125" customWidth="1"/>
    <col min="9" max="9" width="12.5" customWidth="1"/>
    <col min="15" max="15" width="14.1640625" customWidth="1"/>
  </cols>
  <sheetData>
    <row r="2" spans="1:20" x14ac:dyDescent="0.2">
      <c r="A2" s="38"/>
      <c r="B2" s="32" t="s">
        <v>186</v>
      </c>
      <c r="C2" s="32" t="s">
        <v>187</v>
      </c>
      <c r="D2" s="32" t="s">
        <v>188</v>
      </c>
      <c r="E2" s="32" t="s">
        <v>189</v>
      </c>
      <c r="F2" s="32" t="s">
        <v>190</v>
      </c>
      <c r="G2" s="32" t="s">
        <v>191</v>
      </c>
      <c r="H2" s="32" t="s">
        <v>192</v>
      </c>
      <c r="I2" s="32" t="s">
        <v>193</v>
      </c>
      <c r="J2" s="32" t="s">
        <v>194</v>
      </c>
      <c r="K2" s="32" t="s">
        <v>195</v>
      </c>
    </row>
    <row r="3" spans="1:20" x14ac:dyDescent="0.2">
      <c r="A3" s="32" t="s">
        <v>196</v>
      </c>
      <c r="B3" s="38">
        <v>10</v>
      </c>
      <c r="C3" s="38">
        <v>15</v>
      </c>
      <c r="D3" s="38">
        <v>20</v>
      </c>
      <c r="E3" s="38">
        <v>20</v>
      </c>
      <c r="F3" s="38">
        <v>10</v>
      </c>
      <c r="G3" s="38">
        <v>15</v>
      </c>
      <c r="H3" s="38">
        <v>8</v>
      </c>
      <c r="I3" s="38">
        <v>5</v>
      </c>
      <c r="J3" s="38">
        <v>5</v>
      </c>
      <c r="K3" s="38">
        <v>7</v>
      </c>
    </row>
    <row r="4" spans="1:20" x14ac:dyDescent="0.2">
      <c r="A4" s="32" t="s">
        <v>197</v>
      </c>
      <c r="B4" s="80">
        <v>1200</v>
      </c>
      <c r="C4" s="80">
        <v>1000</v>
      </c>
      <c r="D4" s="80">
        <v>800</v>
      </c>
      <c r="E4" s="80">
        <v>800</v>
      </c>
      <c r="F4" s="80">
        <v>1200</v>
      </c>
      <c r="G4" s="80">
        <v>1000</v>
      </c>
      <c r="H4" s="80">
        <v>1800</v>
      </c>
      <c r="I4" s="80">
        <v>2000</v>
      </c>
      <c r="J4" s="80">
        <v>2000</v>
      </c>
      <c r="K4" s="80">
        <v>1800</v>
      </c>
    </row>
    <row r="6" spans="1:20" ht="35" x14ac:dyDescent="0.25">
      <c r="A6" s="32" t="s">
        <v>28</v>
      </c>
      <c r="B6" s="81" t="s">
        <v>76</v>
      </c>
      <c r="C6" s="81" t="s">
        <v>198</v>
      </c>
      <c r="D6" s="81" t="s">
        <v>148</v>
      </c>
      <c r="E6" s="82" t="s">
        <v>199</v>
      </c>
      <c r="F6" s="38"/>
      <c r="G6" s="320" t="s">
        <v>200</v>
      </c>
      <c r="H6" s="320"/>
      <c r="I6" s="36"/>
      <c r="K6" s="82" t="s">
        <v>201</v>
      </c>
      <c r="L6" s="81" t="s">
        <v>202</v>
      </c>
      <c r="M6" s="81" t="s">
        <v>146</v>
      </c>
      <c r="N6" s="81" t="s">
        <v>203</v>
      </c>
      <c r="O6" s="83" t="s">
        <v>204</v>
      </c>
    </row>
    <row r="7" spans="1:20" x14ac:dyDescent="0.2">
      <c r="A7" s="38" t="s">
        <v>17</v>
      </c>
      <c r="B7" s="38">
        <v>1200</v>
      </c>
      <c r="C7" s="38"/>
      <c r="D7" s="4">
        <f>B7/$C$8</f>
        <v>46.153846153846153</v>
      </c>
      <c r="E7" s="36"/>
      <c r="F7" s="84" t="s">
        <v>20</v>
      </c>
      <c r="G7" s="38" t="s">
        <v>10</v>
      </c>
      <c r="H7" s="38" t="s">
        <v>9</v>
      </c>
      <c r="L7" s="38">
        <v>5</v>
      </c>
      <c r="M7" s="38">
        <f>C10*C8</f>
        <v>10920</v>
      </c>
      <c r="N7" s="38">
        <f>M7/L7</f>
        <v>2184</v>
      </c>
      <c r="O7" s="38">
        <f>SUM(B7:B9)</f>
        <v>3000</v>
      </c>
    </row>
    <row r="8" spans="1:20" x14ac:dyDescent="0.2">
      <c r="A8" s="38" t="s">
        <v>30</v>
      </c>
      <c r="B8" s="38">
        <v>800</v>
      </c>
      <c r="C8" s="38">
        <v>26</v>
      </c>
      <c r="D8" s="4">
        <f t="shared" ref="D8:D9" si="0">B8/$C$8</f>
        <v>30.76923076923077</v>
      </c>
      <c r="E8" s="36"/>
      <c r="F8" s="38" t="s">
        <v>17</v>
      </c>
      <c r="G8" s="38">
        <v>3</v>
      </c>
      <c r="H8" s="38">
        <v>1</v>
      </c>
      <c r="N8" s="36">
        <f>N7/C8</f>
        <v>84</v>
      </c>
    </row>
    <row r="9" spans="1:20" x14ac:dyDescent="0.2">
      <c r="A9" s="38" t="s">
        <v>46</v>
      </c>
      <c r="B9" s="38">
        <v>1000</v>
      </c>
      <c r="C9" s="38"/>
      <c r="D9" s="4">
        <f t="shared" si="0"/>
        <v>38.46153846153846</v>
      </c>
      <c r="E9" s="36"/>
      <c r="F9" s="38" t="s">
        <v>30</v>
      </c>
      <c r="G9" s="38">
        <v>3</v>
      </c>
      <c r="H9" s="38">
        <v>1</v>
      </c>
    </row>
    <row r="10" spans="1:20" x14ac:dyDescent="0.2">
      <c r="A10" s="321" t="s">
        <v>78</v>
      </c>
      <c r="B10" s="321"/>
      <c r="C10" s="36">
        <f>7*60</f>
        <v>420</v>
      </c>
      <c r="F10" s="38" t="s">
        <v>46</v>
      </c>
      <c r="G10" s="38">
        <v>3</v>
      </c>
      <c r="H10" s="38">
        <v>1</v>
      </c>
    </row>
    <row r="11" spans="1:20" ht="21" x14ac:dyDescent="0.25">
      <c r="A11" s="85" t="s">
        <v>205</v>
      </c>
      <c r="B11" s="3"/>
      <c r="C11" s="3"/>
      <c r="K11" s="82" t="s">
        <v>206</v>
      </c>
      <c r="L11" s="32" t="s">
        <v>207</v>
      </c>
      <c r="M11" s="322" t="s">
        <v>208</v>
      </c>
      <c r="N11" s="322"/>
      <c r="O11" s="322"/>
      <c r="P11" s="322"/>
      <c r="Q11" s="322"/>
      <c r="R11" s="322"/>
      <c r="S11" s="322"/>
    </row>
    <row r="12" spans="1:20" x14ac:dyDescent="0.2">
      <c r="A12" s="3"/>
      <c r="B12" s="38" t="s">
        <v>17</v>
      </c>
      <c r="C12" s="38">
        <f>$C$10/D7</f>
        <v>9.1</v>
      </c>
      <c r="F12" s="3"/>
      <c r="G12" s="323" t="s">
        <v>209</v>
      </c>
      <c r="H12" s="323"/>
      <c r="I12" s="323"/>
      <c r="L12" s="86">
        <f>O7/N7</f>
        <v>1.3736263736263736</v>
      </c>
      <c r="M12" s="322"/>
      <c r="N12" s="322"/>
      <c r="O12" s="322"/>
      <c r="P12" s="322"/>
      <c r="Q12" s="322"/>
      <c r="R12" s="322"/>
      <c r="S12" s="322"/>
    </row>
    <row r="13" spans="1:20" x14ac:dyDescent="0.2">
      <c r="A13" s="3"/>
      <c r="B13" s="38" t="s">
        <v>30</v>
      </c>
      <c r="C13" s="38">
        <f t="shared" ref="C13:C14" si="1">$C$10/D8</f>
        <v>13.65</v>
      </c>
      <c r="F13" s="3"/>
      <c r="G13" s="63" t="s">
        <v>17</v>
      </c>
      <c r="H13" s="38" t="s">
        <v>30</v>
      </c>
      <c r="I13" s="38" t="s">
        <v>46</v>
      </c>
    </row>
    <row r="14" spans="1:20" ht="15" customHeight="1" x14ac:dyDescent="0.2">
      <c r="A14" s="87"/>
      <c r="B14" s="88" t="s">
        <v>46</v>
      </c>
      <c r="C14" s="88">
        <f t="shared" si="1"/>
        <v>10.92</v>
      </c>
      <c r="F14" s="38" t="s">
        <v>186</v>
      </c>
      <c r="G14" s="38">
        <f>G8*B3</f>
        <v>30</v>
      </c>
      <c r="H14" s="38">
        <f>G9*B3</f>
        <v>30</v>
      </c>
      <c r="I14" s="38">
        <f>G10*B3</f>
        <v>30</v>
      </c>
      <c r="L14" s="32" t="s">
        <v>210</v>
      </c>
      <c r="M14" s="322" t="s">
        <v>211</v>
      </c>
      <c r="N14" s="322"/>
      <c r="O14" s="322"/>
      <c r="P14" s="322"/>
      <c r="Q14" s="322"/>
      <c r="R14" s="322"/>
      <c r="S14" s="322"/>
      <c r="T14" s="322"/>
    </row>
    <row r="15" spans="1:20" x14ac:dyDescent="0.2">
      <c r="A15" s="84" t="s">
        <v>212</v>
      </c>
      <c r="B15" s="3"/>
      <c r="C15" s="3"/>
      <c r="D15" s="3"/>
      <c r="F15" s="38" t="s">
        <v>190</v>
      </c>
      <c r="G15" s="38">
        <f>H8*F3</f>
        <v>10</v>
      </c>
      <c r="H15" s="38">
        <f>H9*F3</f>
        <v>10</v>
      </c>
      <c r="I15" s="38">
        <f>H10*F3</f>
        <v>10</v>
      </c>
      <c r="L15" s="86">
        <v>1</v>
      </c>
      <c r="M15" s="322"/>
      <c r="N15" s="322"/>
      <c r="O15" s="322"/>
      <c r="P15" s="322"/>
      <c r="Q15" s="322"/>
      <c r="R15" s="322"/>
      <c r="S15" s="322"/>
      <c r="T15" s="322"/>
    </row>
    <row r="16" spans="1:20" x14ac:dyDescent="0.2">
      <c r="A16" s="3"/>
      <c r="B16" s="38" t="s">
        <v>17</v>
      </c>
      <c r="C16" s="38">
        <f>C13/C12</f>
        <v>1.5</v>
      </c>
      <c r="D16" s="38">
        <v>2</v>
      </c>
      <c r="F16" s="38" t="s">
        <v>193</v>
      </c>
      <c r="G16" s="38">
        <f>I3</f>
        <v>5</v>
      </c>
      <c r="H16" s="38">
        <f>G16</f>
        <v>5</v>
      </c>
      <c r="I16" s="38">
        <f>G16</f>
        <v>5</v>
      </c>
    </row>
    <row r="17" spans="1:13" x14ac:dyDescent="0.2">
      <c r="A17" s="3"/>
      <c r="B17" s="38" t="s">
        <v>30</v>
      </c>
      <c r="C17" s="38">
        <f>C13/C13</f>
        <v>1</v>
      </c>
      <c r="D17" s="38">
        <v>1</v>
      </c>
      <c r="F17" s="38" t="s">
        <v>194</v>
      </c>
      <c r="G17" s="38">
        <f>J3</f>
        <v>5</v>
      </c>
      <c r="H17" s="38">
        <f>G17</f>
        <v>5</v>
      </c>
      <c r="I17" s="38">
        <f>G17</f>
        <v>5</v>
      </c>
    </row>
    <row r="18" spans="1:13" x14ac:dyDescent="0.2">
      <c r="A18" s="3"/>
      <c r="B18" s="38" t="s">
        <v>46</v>
      </c>
      <c r="C18" s="38">
        <f>C13/C14</f>
        <v>1.25</v>
      </c>
      <c r="D18" s="38">
        <v>2</v>
      </c>
      <c r="F18" s="36"/>
    </row>
    <row r="19" spans="1:13" x14ac:dyDescent="0.2">
      <c r="F19" s="323" t="s">
        <v>213</v>
      </c>
      <c r="G19" s="323"/>
      <c r="H19" s="323"/>
      <c r="I19" s="323"/>
    </row>
    <row r="20" spans="1:13" x14ac:dyDescent="0.2">
      <c r="A20" s="29" t="s">
        <v>214</v>
      </c>
      <c r="F20" s="3"/>
      <c r="G20" s="63" t="s">
        <v>17</v>
      </c>
      <c r="H20" s="38" t="s">
        <v>30</v>
      </c>
      <c r="I20" s="38" t="s">
        <v>46</v>
      </c>
    </row>
    <row r="21" spans="1:13" x14ac:dyDescent="0.2">
      <c r="F21" s="38" t="s">
        <v>186</v>
      </c>
      <c r="G21" s="38">
        <f>G14/$G$17</f>
        <v>6</v>
      </c>
      <c r="H21" s="38">
        <f>H14/$H$17</f>
        <v>6</v>
      </c>
      <c r="I21" s="38">
        <f>I14/$I$17</f>
        <v>6</v>
      </c>
    </row>
    <row r="22" spans="1:13" x14ac:dyDescent="0.2">
      <c r="F22" s="38" t="s">
        <v>190</v>
      </c>
      <c r="G22" s="38">
        <f>G15/$G$17</f>
        <v>2</v>
      </c>
      <c r="H22" s="38">
        <f>H15/$H$17</f>
        <v>2</v>
      </c>
      <c r="I22" s="38">
        <f>I15/$I$17</f>
        <v>2</v>
      </c>
    </row>
    <row r="23" spans="1:13" x14ac:dyDescent="0.2">
      <c r="F23" s="38" t="s">
        <v>193</v>
      </c>
      <c r="G23" s="38">
        <f>G16/$G$17</f>
        <v>1</v>
      </c>
      <c r="H23" s="38">
        <f>H16/$H$17</f>
        <v>1</v>
      </c>
      <c r="I23" s="38">
        <f>I16/$I$17</f>
        <v>1</v>
      </c>
    </row>
    <row r="24" spans="1:13" x14ac:dyDescent="0.2">
      <c r="F24" s="38" t="s">
        <v>194</v>
      </c>
      <c r="G24" s="38">
        <f>G17/$G$17</f>
        <v>1</v>
      </c>
      <c r="H24" s="38">
        <f>H17/$H$17</f>
        <v>1</v>
      </c>
      <c r="I24" s="38">
        <f>I17/$I$17</f>
        <v>1</v>
      </c>
    </row>
    <row r="26" spans="1:13" x14ac:dyDescent="0.2">
      <c r="F26" s="89" t="s">
        <v>215</v>
      </c>
      <c r="G26" s="3"/>
      <c r="H26" s="90"/>
      <c r="I26" s="91"/>
    </row>
    <row r="27" spans="1:13" x14ac:dyDescent="0.2">
      <c r="F27" s="3"/>
      <c r="G27" s="63" t="s">
        <v>17</v>
      </c>
      <c r="H27" s="38" t="s">
        <v>30</v>
      </c>
      <c r="I27" s="38" t="s">
        <v>46</v>
      </c>
    </row>
    <row r="28" spans="1:13" x14ac:dyDescent="0.2">
      <c r="F28" s="38" t="s">
        <v>186</v>
      </c>
      <c r="G28" s="38">
        <f>G14/G21</f>
        <v>5</v>
      </c>
      <c r="H28" s="38">
        <f>H14/H21</f>
        <v>5</v>
      </c>
      <c r="I28" s="38">
        <f>I14/I21</f>
        <v>5</v>
      </c>
    </row>
    <row r="29" spans="1:13" x14ac:dyDescent="0.2">
      <c r="F29" s="38" t="s">
        <v>190</v>
      </c>
      <c r="G29" s="38">
        <f t="shared" ref="G29:I31" si="2">G15/G22</f>
        <v>5</v>
      </c>
      <c r="H29" s="38">
        <f t="shared" si="2"/>
        <v>5</v>
      </c>
      <c r="I29" s="38">
        <f t="shared" si="2"/>
        <v>5</v>
      </c>
      <c r="M29">
        <v>3</v>
      </c>
    </row>
    <row r="30" spans="1:13" x14ac:dyDescent="0.2">
      <c r="F30" s="38" t="s">
        <v>193</v>
      </c>
      <c r="G30" s="38">
        <f t="shared" si="2"/>
        <v>5</v>
      </c>
      <c r="H30" s="38">
        <f t="shared" si="2"/>
        <v>5</v>
      </c>
      <c r="I30" s="38">
        <f t="shared" si="2"/>
        <v>5</v>
      </c>
    </row>
    <row r="31" spans="1:13" x14ac:dyDescent="0.2">
      <c r="F31" s="38" t="s">
        <v>194</v>
      </c>
      <c r="G31" s="38">
        <f t="shared" si="2"/>
        <v>5</v>
      </c>
      <c r="H31" s="38">
        <f t="shared" si="2"/>
        <v>5</v>
      </c>
      <c r="I31" s="38">
        <f t="shared" si="2"/>
        <v>5</v>
      </c>
    </row>
    <row r="33" spans="6:7" x14ac:dyDescent="0.2">
      <c r="F33" s="318" t="s">
        <v>172</v>
      </c>
      <c r="G33" s="319"/>
    </row>
    <row r="34" spans="6:7" x14ac:dyDescent="0.2">
      <c r="F34" s="3"/>
      <c r="G34" s="63" t="s">
        <v>216</v>
      </c>
    </row>
    <row r="35" spans="6:7" x14ac:dyDescent="0.2">
      <c r="F35" s="38" t="s">
        <v>186</v>
      </c>
      <c r="G35" s="80">
        <f>G21*B4</f>
        <v>7200</v>
      </c>
    </row>
    <row r="36" spans="6:7" x14ac:dyDescent="0.2">
      <c r="F36" s="38" t="s">
        <v>190</v>
      </c>
      <c r="G36" s="80">
        <f>G22*F4</f>
        <v>2400</v>
      </c>
    </row>
    <row r="37" spans="6:7" x14ac:dyDescent="0.2">
      <c r="F37" s="38" t="s">
        <v>193</v>
      </c>
      <c r="G37" s="80">
        <f>G23*I4</f>
        <v>2000</v>
      </c>
    </row>
    <row r="38" spans="6:7" x14ac:dyDescent="0.2">
      <c r="F38" s="38" t="s">
        <v>194</v>
      </c>
      <c r="G38" s="80">
        <f>G24*J4</f>
        <v>2000</v>
      </c>
    </row>
    <row r="39" spans="6:7" x14ac:dyDescent="0.2">
      <c r="F39" s="63" t="s">
        <v>26</v>
      </c>
      <c r="G39" s="92">
        <f>SUM(G35:G38)</f>
        <v>13600</v>
      </c>
    </row>
  </sheetData>
  <mergeCells count="7">
    <mergeCell ref="F33:G33"/>
    <mergeCell ref="G6:H6"/>
    <mergeCell ref="A10:B10"/>
    <mergeCell ref="M11:S12"/>
    <mergeCell ref="G12:I12"/>
    <mergeCell ref="M14:T15"/>
    <mergeCell ref="F19:I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8"/>
  <sheetViews>
    <sheetView zoomScale="140" zoomScaleNormal="140" workbookViewId="0">
      <selection activeCell="J10" sqref="J10"/>
    </sheetView>
  </sheetViews>
  <sheetFormatPr baseColWidth="10" defaultRowHeight="16" x14ac:dyDescent="0.2"/>
  <cols>
    <col min="2" max="2" width="18.5" bestFit="1" customWidth="1"/>
    <col min="3" max="3" width="15.33203125" bestFit="1" customWidth="1"/>
  </cols>
  <sheetData>
    <row r="1" spans="1:4" ht="21" x14ac:dyDescent="0.25">
      <c r="A1" s="82" t="s">
        <v>144</v>
      </c>
    </row>
    <row r="2" spans="1:4" x14ac:dyDescent="0.2">
      <c r="B2" s="300" t="s">
        <v>217</v>
      </c>
      <c r="C2" s="300"/>
    </row>
    <row r="3" spans="1:4" x14ac:dyDescent="0.2">
      <c r="B3" s="38" t="s">
        <v>218</v>
      </c>
      <c r="C3" s="38">
        <v>4</v>
      </c>
    </row>
    <row r="4" spans="1:4" x14ac:dyDescent="0.2">
      <c r="B4" s="38" t="s">
        <v>219</v>
      </c>
      <c r="C4" s="38">
        <v>2</v>
      </c>
    </row>
    <row r="5" spans="1:4" x14ac:dyDescent="0.2">
      <c r="B5" s="38" t="s">
        <v>220</v>
      </c>
      <c r="C5" s="38">
        <v>2</v>
      </c>
    </row>
    <row r="6" spans="1:4" x14ac:dyDescent="0.2">
      <c r="B6" s="38" t="s">
        <v>64</v>
      </c>
      <c r="C6" s="38">
        <f>SUM(C3:C5)</f>
        <v>8</v>
      </c>
    </row>
    <row r="7" spans="1:4" x14ac:dyDescent="0.2">
      <c r="B7" s="36"/>
      <c r="C7" s="36"/>
    </row>
    <row r="8" spans="1:4" x14ac:dyDescent="0.2">
      <c r="B8" s="300" t="s">
        <v>221</v>
      </c>
      <c r="C8" s="300"/>
    </row>
    <row r="9" spans="1:4" ht="34" x14ac:dyDescent="0.2">
      <c r="B9" s="64" t="s">
        <v>222</v>
      </c>
      <c r="C9" s="62">
        <v>2</v>
      </c>
    </row>
    <row r="11" spans="1:4" ht="34" x14ac:dyDescent="0.2">
      <c r="B11" s="64" t="s">
        <v>223</v>
      </c>
      <c r="C11" s="62">
        <f>+C6*C9</f>
        <v>16</v>
      </c>
      <c r="D11" s="93" t="s">
        <v>224</v>
      </c>
    </row>
    <row r="12" spans="1:4" ht="21" x14ac:dyDescent="0.25">
      <c r="A12" s="82" t="s">
        <v>145</v>
      </c>
    </row>
    <row r="13" spans="1:4" x14ac:dyDescent="0.2">
      <c r="B13" s="38" t="s">
        <v>225</v>
      </c>
      <c r="C13" s="38">
        <f>+(8*60)/C11</f>
        <v>30</v>
      </c>
    </row>
    <row r="15" spans="1:4" x14ac:dyDescent="0.2">
      <c r="B15" s="300" t="s">
        <v>226</v>
      </c>
      <c r="C15" s="300"/>
      <c r="D15" s="324" t="s">
        <v>224</v>
      </c>
    </row>
    <row r="16" spans="1:4" x14ac:dyDescent="0.2">
      <c r="B16" s="38" t="s">
        <v>218</v>
      </c>
      <c r="C16" s="38">
        <f>+$C$13*C3</f>
        <v>120</v>
      </c>
      <c r="D16" s="324"/>
    </row>
    <row r="17" spans="2:4" x14ac:dyDescent="0.2">
      <c r="B17" s="38" t="s">
        <v>219</v>
      </c>
      <c r="C17" s="38">
        <f t="shared" ref="C17:C18" si="0">+$C$13*C4</f>
        <v>60</v>
      </c>
      <c r="D17" s="324"/>
    </row>
    <row r="18" spans="2:4" x14ac:dyDescent="0.2">
      <c r="B18" s="38" t="s">
        <v>220</v>
      </c>
      <c r="C18" s="38">
        <f t="shared" si="0"/>
        <v>60</v>
      </c>
      <c r="D18" s="324"/>
    </row>
  </sheetData>
  <mergeCells count="4">
    <mergeCell ref="B2:C2"/>
    <mergeCell ref="B8:C8"/>
    <mergeCell ref="B15:C15"/>
    <mergeCell ref="D15:D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21-a</vt:lpstr>
      <vt:lpstr>21-b</vt:lpstr>
      <vt:lpstr>22</vt:lpstr>
      <vt:lpstr>23</vt:lpstr>
      <vt:lpstr>24</vt:lpstr>
      <vt:lpstr>25</vt:lpstr>
      <vt:lpstr>26</vt:lpstr>
      <vt:lpstr>27</vt:lpstr>
      <vt:lpstr>'20'!Print_Area</vt:lpstr>
    </vt:vector>
  </TitlesOfParts>
  <Company>Leon y Parra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Edgar Hernandez</cp:lastModifiedBy>
  <dcterms:created xsi:type="dcterms:W3CDTF">2017-10-03T17:49:29Z</dcterms:created>
  <dcterms:modified xsi:type="dcterms:W3CDTF">2022-05-19T21:02:15Z</dcterms:modified>
</cp:coreProperties>
</file>