
<file path=[Content_Types].xml><?xml version="1.0" encoding="utf-8"?>
<Types xmlns="http://schemas.openxmlformats.org/package/2006/content-types">
  <Default Extension="bin" ContentType="application/vnd.openxmlformats-officedocument.oleObjec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showInkAnnotation="0" autoCompressPictures="0"/>
  <mc:AlternateContent xmlns:mc="http://schemas.openxmlformats.org/markup-compatibility/2006">
    <mc:Choice Requires="x15">
      <x15ac:absPath xmlns:x15ac="http://schemas.microsoft.com/office/spreadsheetml/2010/11/ac" url="/Users/enrique/Documents/UCR/Operaciones/Ejercicios de Clases/Prácticas/Nuevas/Métodos Cuantitativos/"/>
    </mc:Choice>
  </mc:AlternateContent>
  <xr:revisionPtr revIDLastSave="0" documentId="13_ncr:1_{73E1F0CC-6C00-AD49-9FC6-EA166E754541}" xr6:coauthVersionLast="45" xr6:coauthVersionMax="45" xr10:uidLastSave="{00000000-0000-0000-0000-000000000000}"/>
  <bookViews>
    <workbookView xWindow="0" yWindow="460" windowWidth="35260" windowHeight="19260" tabRatio="931" xr2:uid="{00000000-000D-0000-FFFF-FFFF00000000}"/>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4" r:id="rId12"/>
    <sheet name="13" sheetId="15" r:id="rId13"/>
    <sheet name="14" sheetId="16" r:id="rId14"/>
    <sheet name="15" sheetId="17" r:id="rId15"/>
    <sheet name="16" sheetId="18" r:id="rId16"/>
    <sheet name="17" sheetId="19" r:id="rId17"/>
    <sheet name="18" sheetId="20" r:id="rId18"/>
    <sheet name="19" sheetId="21" r:id="rId19"/>
    <sheet name="20" sheetId="22" r:id="rId20"/>
    <sheet name="21" sheetId="23" r:id="rId21"/>
    <sheet name="22" sheetId="24" r:id="rId22"/>
  </sheets>
  <externalReferences>
    <externalReference r:id="rId23"/>
    <externalReference r:id="rId24"/>
    <externalReference r:id="rId25"/>
  </externalReferences>
  <definedNames>
    <definedName name="__123Graph_A" hidden="1">#REF!</definedName>
    <definedName name="__123Graph_AFNTPOP" hidden="1">#REF!</definedName>
    <definedName name="__123Graph_AFNTQUE" hidden="1">#REF!</definedName>
    <definedName name="__123Graph_AMMS" hidden="1">#REF!</definedName>
    <definedName name="__123Graph_X" hidden="1">#REF!</definedName>
    <definedName name="__123Graph_XFNTPOP" hidden="1">#REF!</definedName>
    <definedName name="__123Graph_XFNTQUE" hidden="1">#REF!</definedName>
    <definedName name="__123Graph_XMMS" hidden="1">#REF!</definedName>
    <definedName name="MinimizeCosts">FALSE</definedName>
    <definedName name="TreeData">#REF!</definedName>
    <definedName name="TreeDiagBase">#REF!</definedName>
    <definedName name="TreeDiagram">#REF!</definedName>
    <definedName name="unit">#REF!</definedName>
    <definedName name="unit.">'[1]Primera pregunta'!$E$5</definedName>
    <definedName name="units">#REF!</definedName>
    <definedName name="UseExpUtility">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24" l="1"/>
  <c r="D12" i="24" s="1"/>
  <c r="E12" i="24" s="1"/>
  <c r="D11" i="24" l="1"/>
  <c r="E11" i="24" s="1"/>
  <c r="G11" i="23"/>
  <c r="H18" i="23" s="1"/>
  <c r="G5" i="23"/>
  <c r="G12" i="23" s="1"/>
  <c r="C5" i="23"/>
  <c r="C12" i="23" s="1"/>
  <c r="G3" i="23"/>
  <c r="G14" i="23" s="1"/>
  <c r="C3" i="23"/>
  <c r="C11" i="23" s="1"/>
  <c r="F11" i="24" l="1"/>
  <c r="F13" i="24"/>
  <c r="E14" i="24" s="1"/>
  <c r="D18" i="23"/>
  <c r="C18" i="23"/>
  <c r="H20" i="23"/>
  <c r="G20" i="23"/>
  <c r="D19" i="23"/>
  <c r="C19" i="23"/>
  <c r="H19" i="23"/>
  <c r="G19" i="23"/>
  <c r="C13" i="23"/>
  <c r="G13" i="23"/>
  <c r="C14" i="23"/>
  <c r="G18" i="23"/>
  <c r="B49" i="5"/>
  <c r="E43" i="8"/>
  <c r="F28" i="22"/>
  <c r="G28" i="22" s="1"/>
  <c r="F27" i="22"/>
  <c r="G27" i="22"/>
  <c r="F26" i="22"/>
  <c r="G26" i="22"/>
  <c r="F25" i="22"/>
  <c r="G25" i="22"/>
  <c r="F24" i="22"/>
  <c r="G24" i="22"/>
  <c r="F23" i="22"/>
  <c r="G23" i="22"/>
  <c r="F22" i="22"/>
  <c r="G22" i="22"/>
  <c r="F21" i="22"/>
  <c r="G21" i="22"/>
  <c r="F20" i="22"/>
  <c r="G20" i="22"/>
  <c r="F19" i="22"/>
  <c r="G19" i="22"/>
  <c r="F18" i="22"/>
  <c r="G18" i="22"/>
  <c r="F17" i="22"/>
  <c r="G17" i="22"/>
  <c r="F16" i="22"/>
  <c r="G16" i="22"/>
  <c r="F15" i="22"/>
  <c r="G15" i="22"/>
  <c r="F14" i="22"/>
  <c r="G14" i="22"/>
  <c r="F13" i="22"/>
  <c r="G13" i="22"/>
  <c r="F12" i="22"/>
  <c r="G12" i="22"/>
  <c r="F11" i="22"/>
  <c r="G11" i="22"/>
  <c r="F10" i="22"/>
  <c r="G10" i="22"/>
  <c r="F9" i="22"/>
  <c r="G9" i="22"/>
  <c r="F8" i="22"/>
  <c r="G8" i="22"/>
  <c r="F7" i="22"/>
  <c r="G7" i="22"/>
  <c r="F6" i="22"/>
  <c r="G6" i="22"/>
  <c r="F5" i="22"/>
  <c r="G5" i="22"/>
  <c r="F4" i="22"/>
  <c r="G4" i="22"/>
  <c r="C59" i="21"/>
  <c r="C46" i="21" s="1"/>
  <c r="K2" i="21" s="1"/>
  <c r="C45" i="21"/>
  <c r="N53" i="21"/>
  <c r="D44" i="21"/>
  <c r="D43" i="21"/>
  <c r="D42" i="21"/>
  <c r="D41" i="21"/>
  <c r="D40" i="21"/>
  <c r="D39" i="21"/>
  <c r="D38" i="21"/>
  <c r="D37" i="21"/>
  <c r="D36" i="21"/>
  <c r="D35" i="21"/>
  <c r="D34" i="21"/>
  <c r="D33" i="21"/>
  <c r="D32" i="21"/>
  <c r="D31" i="21"/>
  <c r="D30" i="21"/>
  <c r="D29" i="21"/>
  <c r="D28" i="21"/>
  <c r="D27" i="21"/>
  <c r="C24" i="21"/>
  <c r="I2" i="21" s="1"/>
  <c r="D23" i="21"/>
  <c r="D22" i="21"/>
  <c r="D21" i="21"/>
  <c r="D20" i="21"/>
  <c r="D19" i="21"/>
  <c r="D18" i="21"/>
  <c r="D17" i="21"/>
  <c r="D16" i="21"/>
  <c r="D15" i="21"/>
  <c r="D14" i="21"/>
  <c r="D13" i="21"/>
  <c r="D12" i="21"/>
  <c r="D11" i="21"/>
  <c r="D10" i="21"/>
  <c r="D9" i="21"/>
  <c r="D8" i="21"/>
  <c r="D7" i="21"/>
  <c r="D6" i="21"/>
  <c r="D5" i="21"/>
  <c r="D4" i="21"/>
  <c r="F23" i="20"/>
  <c r="C40" i="20" s="1"/>
  <c r="F21" i="20"/>
  <c r="C39" i="20" s="1"/>
  <c r="C42" i="20" s="1"/>
  <c r="I18" i="20" s="1"/>
  <c r="F22" i="20"/>
  <c r="C23" i="20"/>
  <c r="I16" i="20" s="1"/>
  <c r="C25" i="20"/>
  <c r="C22" i="20"/>
  <c r="C11" i="19"/>
  <c r="C17" i="19" s="1"/>
  <c r="D17" i="19"/>
  <c r="C9" i="19"/>
  <c r="D16" i="19" s="1"/>
  <c r="C8" i="19"/>
  <c r="D15" i="19"/>
  <c r="C15" i="19"/>
  <c r="C10" i="19"/>
  <c r="C10" i="18"/>
  <c r="C18" i="18" s="1"/>
  <c r="C9" i="18"/>
  <c r="C17" i="18" s="1"/>
  <c r="C21" i="18" s="1"/>
  <c r="F26" i="17"/>
  <c r="F24" i="17"/>
  <c r="C22" i="17"/>
  <c r="C34" i="17" s="1"/>
  <c r="C35" i="17"/>
  <c r="C28" i="17"/>
  <c r="C25" i="17"/>
  <c r="AB3" i="16"/>
  <c r="G8" i="16" s="1"/>
  <c r="AB4" i="16"/>
  <c r="G7" i="16" s="1"/>
  <c r="I7" i="16"/>
  <c r="D4" i="13"/>
  <c r="D5" i="13"/>
  <c r="D6" i="13"/>
  <c r="D7" i="13"/>
  <c r="D8" i="13"/>
  <c r="D9" i="13"/>
  <c r="D10" i="13"/>
  <c r="D11" i="13"/>
  <c r="D12" i="13"/>
  <c r="D13" i="13"/>
  <c r="D14" i="13"/>
  <c r="D15" i="13"/>
  <c r="D16" i="13"/>
  <c r="D17" i="13"/>
  <c r="D18" i="13"/>
  <c r="D19" i="13"/>
  <c r="D20" i="13"/>
  <c r="D21" i="13"/>
  <c r="D22" i="13"/>
  <c r="D23" i="13"/>
  <c r="D24" i="13"/>
  <c r="D25" i="13"/>
  <c r="D26" i="13"/>
  <c r="C27" i="13"/>
  <c r="E29" i="13"/>
  <c r="E31" i="13"/>
  <c r="E28" i="12"/>
  <c r="E26" i="12"/>
  <c r="G3" i="12"/>
  <c r="G4" i="12"/>
  <c r="G5" i="12"/>
  <c r="G6" i="12"/>
  <c r="G7" i="12"/>
  <c r="G8" i="12"/>
  <c r="G9" i="12"/>
  <c r="G10" i="12"/>
  <c r="G11" i="12"/>
  <c r="G12" i="12"/>
  <c r="G13" i="12"/>
  <c r="G14" i="12"/>
  <c r="G15" i="12"/>
  <c r="G16" i="12"/>
  <c r="G17" i="12"/>
  <c r="G18" i="12"/>
  <c r="G19" i="12"/>
  <c r="G20" i="12"/>
  <c r="G21" i="12"/>
  <c r="G22" i="12"/>
  <c r="C24" i="12"/>
  <c r="C23" i="12"/>
  <c r="H22" i="12"/>
  <c r="H21" i="12"/>
  <c r="H20" i="12"/>
  <c r="H19" i="12"/>
  <c r="H18" i="12"/>
  <c r="H17" i="12"/>
  <c r="H16" i="12"/>
  <c r="H15" i="12"/>
  <c r="H14" i="12"/>
  <c r="H13" i="12"/>
  <c r="H12" i="12"/>
  <c r="H11" i="12"/>
  <c r="H10" i="12"/>
  <c r="H9" i="12"/>
  <c r="H8" i="12"/>
  <c r="H7" i="12"/>
  <c r="H6" i="12"/>
  <c r="H5" i="12"/>
  <c r="H4" i="12"/>
  <c r="H3" i="12"/>
  <c r="D79" i="11"/>
  <c r="D80" i="11"/>
  <c r="D81" i="11"/>
  <c r="D103" i="11" s="1"/>
  <c r="D82" i="11"/>
  <c r="D83" i="11"/>
  <c r="D84" i="11"/>
  <c r="D85" i="11"/>
  <c r="D86" i="11"/>
  <c r="D87" i="11"/>
  <c r="D88" i="11"/>
  <c r="D89" i="11"/>
  <c r="D90" i="11"/>
  <c r="D91" i="11"/>
  <c r="D92" i="11"/>
  <c r="D93" i="11"/>
  <c r="D94" i="11"/>
  <c r="D95" i="11"/>
  <c r="D96" i="11"/>
  <c r="D97" i="11"/>
  <c r="D98" i="11"/>
  <c r="D99" i="11"/>
  <c r="D100" i="11"/>
  <c r="D101" i="11"/>
  <c r="D102" i="11"/>
  <c r="C103" i="11"/>
  <c r="D44" i="11"/>
  <c r="D45" i="11"/>
  <c r="D46" i="11"/>
  <c r="D47" i="11"/>
  <c r="D48" i="11"/>
  <c r="D49" i="11"/>
  <c r="D50" i="11"/>
  <c r="D51" i="11"/>
  <c r="D52" i="11"/>
  <c r="D53" i="11"/>
  <c r="D54" i="11"/>
  <c r="D55" i="11"/>
  <c r="D56" i="11"/>
  <c r="D57" i="11"/>
  <c r="D58" i="11"/>
  <c r="D59" i="11"/>
  <c r="D60" i="11"/>
  <c r="D61" i="11"/>
  <c r="D62" i="11"/>
  <c r="D63" i="11"/>
  <c r="D64" i="11"/>
  <c r="D65" i="11"/>
  <c r="D66" i="11"/>
  <c r="D67" i="11"/>
  <c r="C68" i="11"/>
  <c r="D6" i="11"/>
  <c r="D7" i="11"/>
  <c r="D8" i="11"/>
  <c r="D9" i="11"/>
  <c r="D10" i="11"/>
  <c r="D11" i="11"/>
  <c r="D12" i="11"/>
  <c r="D13" i="11"/>
  <c r="D14" i="11"/>
  <c r="D15" i="11"/>
  <c r="D16" i="11"/>
  <c r="D17" i="11"/>
  <c r="D18" i="11"/>
  <c r="D19" i="11"/>
  <c r="D20" i="11"/>
  <c r="D21" i="11"/>
  <c r="D22" i="11"/>
  <c r="D23" i="11"/>
  <c r="D24" i="11"/>
  <c r="D25" i="11"/>
  <c r="D26" i="11"/>
  <c r="D27" i="11"/>
  <c r="D28" i="11"/>
  <c r="D29" i="11"/>
  <c r="D30" i="11"/>
  <c r="C30" i="11"/>
  <c r="AK27" i="10"/>
  <c r="G52" i="10" s="1"/>
  <c r="X27" i="10"/>
  <c r="H54" i="10" s="1"/>
  <c r="J32" i="10"/>
  <c r="C41" i="10" s="1"/>
  <c r="C54" i="10" s="1"/>
  <c r="C49" i="10"/>
  <c r="Z23" i="10"/>
  <c r="F42" i="10" s="1"/>
  <c r="F43" i="10" s="1"/>
  <c r="B32" i="10"/>
  <c r="C26" i="10" s="1"/>
  <c r="K31" i="10"/>
  <c r="I31" i="10"/>
  <c r="F3" i="10"/>
  <c r="F4" i="10"/>
  <c r="F5" i="10"/>
  <c r="F6" i="10" s="1"/>
  <c r="F7" i="10" s="1"/>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E31" i="10"/>
  <c r="D31" i="10"/>
  <c r="K30" i="10"/>
  <c r="E30" i="10"/>
  <c r="D30" i="10"/>
  <c r="C30" i="10"/>
  <c r="K29" i="10"/>
  <c r="D29" i="10"/>
  <c r="C29" i="10"/>
  <c r="K28" i="10"/>
  <c r="D28" i="10"/>
  <c r="C28" i="10"/>
  <c r="K27" i="10"/>
  <c r="I27" i="10"/>
  <c r="D27" i="10"/>
  <c r="AJ26" i="10"/>
  <c r="AI26" i="10"/>
  <c r="AH26" i="10"/>
  <c r="Z26" i="10"/>
  <c r="K26" i="10"/>
  <c r="H26" i="10"/>
  <c r="G26" i="10"/>
  <c r="E26" i="10"/>
  <c r="D26" i="10"/>
  <c r="AA25" i="10"/>
  <c r="Z25" i="10"/>
  <c r="Y25" i="10"/>
  <c r="K25" i="10"/>
  <c r="D25" i="10"/>
  <c r="C25" i="10"/>
  <c r="AJ24" i="10"/>
  <c r="AI24" i="10"/>
  <c r="Z24" i="10"/>
  <c r="K24" i="10"/>
  <c r="I24" i="10"/>
  <c r="H24" i="10"/>
  <c r="G24" i="10"/>
  <c r="D24" i="10"/>
  <c r="AI23" i="10"/>
  <c r="AH23" i="10"/>
  <c r="AA23" i="10"/>
  <c r="Y23" i="10"/>
  <c r="K23" i="10"/>
  <c r="E23" i="10"/>
  <c r="D23" i="10"/>
  <c r="C23" i="10"/>
  <c r="AJ22" i="10"/>
  <c r="Z22" i="10"/>
  <c r="Y22" i="10"/>
  <c r="K22" i="10"/>
  <c r="I22" i="10"/>
  <c r="H22" i="10"/>
  <c r="D22" i="10"/>
  <c r="AJ21" i="10"/>
  <c r="AI21" i="10"/>
  <c r="AH21" i="10"/>
  <c r="AA21" i="10"/>
  <c r="Z21" i="10"/>
  <c r="K21" i="10"/>
  <c r="H21" i="10"/>
  <c r="G21" i="10"/>
  <c r="E21" i="10"/>
  <c r="D21" i="10"/>
  <c r="AA20" i="10"/>
  <c r="Z20" i="10"/>
  <c r="Y20" i="10"/>
  <c r="K20" i="10"/>
  <c r="D20" i="10"/>
  <c r="C20" i="10"/>
  <c r="AJ19" i="10"/>
  <c r="AI19" i="10"/>
  <c r="Z19" i="10"/>
  <c r="K19" i="10"/>
  <c r="I19" i="10"/>
  <c r="H19" i="10"/>
  <c r="G19" i="10"/>
  <c r="D19" i="10"/>
  <c r="AI18" i="10"/>
  <c r="AH18" i="10"/>
  <c r="AA18" i="10"/>
  <c r="Z18" i="10"/>
  <c r="K18" i="10"/>
  <c r="G18" i="10"/>
  <c r="E18" i="10"/>
  <c r="D18" i="10"/>
  <c r="C18" i="10"/>
  <c r="AI17" i="10"/>
  <c r="AH17" i="10"/>
  <c r="Z17" i="10"/>
  <c r="Y17" i="10"/>
  <c r="K17" i="10"/>
  <c r="I17" i="10"/>
  <c r="G17" i="10"/>
  <c r="E17" i="10"/>
  <c r="D17" i="10"/>
  <c r="C17" i="10"/>
  <c r="AJ16" i="10"/>
  <c r="AI16" i="10"/>
  <c r="AH16" i="10"/>
  <c r="Z16" i="10"/>
  <c r="Y16" i="10"/>
  <c r="K16" i="10"/>
  <c r="I16" i="10"/>
  <c r="H16" i="10"/>
  <c r="G16" i="10"/>
  <c r="E16" i="10"/>
  <c r="D16" i="10"/>
  <c r="C16" i="10"/>
  <c r="AJ15" i="10"/>
  <c r="AH15" i="10"/>
  <c r="AA15" i="10"/>
  <c r="Z15" i="10"/>
  <c r="Y15" i="10"/>
  <c r="K15" i="10"/>
  <c r="I15" i="10"/>
  <c r="H15" i="10"/>
  <c r="E15" i="10"/>
  <c r="D15" i="10"/>
  <c r="C15" i="10"/>
  <c r="AJ14" i="10"/>
  <c r="AH14" i="10"/>
  <c r="AA14" i="10"/>
  <c r="Z14" i="10"/>
  <c r="Y14" i="10"/>
  <c r="K14" i="10"/>
  <c r="I14" i="10"/>
  <c r="H14" i="10"/>
  <c r="E14" i="10"/>
  <c r="D14" i="10"/>
  <c r="AJ13" i="10"/>
  <c r="AI13" i="10"/>
  <c r="AH13" i="10"/>
  <c r="AA13" i="10"/>
  <c r="Z13" i="10"/>
  <c r="Y13" i="10"/>
  <c r="K13" i="10"/>
  <c r="H13" i="10"/>
  <c r="G13" i="10"/>
  <c r="E13" i="10"/>
  <c r="D13" i="10"/>
  <c r="AJ12" i="10"/>
  <c r="AI12" i="10"/>
  <c r="AA12" i="10"/>
  <c r="Z12" i="10"/>
  <c r="Y12" i="10"/>
  <c r="K12" i="10"/>
  <c r="H12" i="10"/>
  <c r="G12" i="10"/>
  <c r="D12" i="10"/>
  <c r="C12" i="10"/>
  <c r="AJ11" i="10"/>
  <c r="AI11" i="10"/>
  <c r="AA11" i="10"/>
  <c r="Z11" i="10"/>
  <c r="K11" i="10"/>
  <c r="I11" i="10"/>
  <c r="H11" i="10"/>
  <c r="G11" i="10"/>
  <c r="D11" i="10"/>
  <c r="C11" i="10"/>
  <c r="AI10" i="10"/>
  <c r="AH10" i="10"/>
  <c r="AA10" i="10"/>
  <c r="Z10" i="10"/>
  <c r="K10" i="10"/>
  <c r="I10" i="10"/>
  <c r="G10" i="10"/>
  <c r="E10" i="10"/>
  <c r="D10" i="10"/>
  <c r="C10" i="10"/>
  <c r="AI9" i="10"/>
  <c r="AH9" i="10"/>
  <c r="Z9" i="10"/>
  <c r="Y9" i="10"/>
  <c r="K9" i="10"/>
  <c r="I9" i="10"/>
  <c r="G9" i="10"/>
  <c r="E9" i="10"/>
  <c r="D9" i="10"/>
  <c r="C9" i="10"/>
  <c r="AJ8" i="10"/>
  <c r="AI8" i="10"/>
  <c r="AH8" i="10"/>
  <c r="Z8" i="10"/>
  <c r="Y8" i="10"/>
  <c r="K8" i="10"/>
  <c r="I8" i="10"/>
  <c r="H8" i="10"/>
  <c r="G8" i="10"/>
  <c r="E8" i="10"/>
  <c r="D8" i="10"/>
  <c r="C8" i="10"/>
  <c r="AJ7" i="10"/>
  <c r="AH7" i="10"/>
  <c r="AA7" i="10"/>
  <c r="Z7" i="10"/>
  <c r="Y7" i="10"/>
  <c r="K7" i="10"/>
  <c r="I7" i="10"/>
  <c r="H7" i="10"/>
  <c r="E7" i="10"/>
  <c r="D7" i="10"/>
  <c r="C7" i="10"/>
  <c r="AJ6" i="10"/>
  <c r="AH6" i="10"/>
  <c r="AA6" i="10"/>
  <c r="Z6" i="10"/>
  <c r="Y6" i="10"/>
  <c r="K6" i="10"/>
  <c r="I6" i="10"/>
  <c r="H6" i="10"/>
  <c r="E6" i="10"/>
  <c r="D6" i="10"/>
  <c r="AJ5" i="10"/>
  <c r="AI5" i="10"/>
  <c r="AH5" i="10"/>
  <c r="AA5" i="10"/>
  <c r="Z5" i="10"/>
  <c r="Y5" i="10"/>
  <c r="K5" i="10"/>
  <c r="H5" i="10"/>
  <c r="G5" i="10"/>
  <c r="E5" i="10"/>
  <c r="D5" i="10"/>
  <c r="AJ4" i="10"/>
  <c r="AI4" i="10"/>
  <c r="AA4" i="10"/>
  <c r="Z4" i="10"/>
  <c r="Y4" i="10"/>
  <c r="K4" i="10"/>
  <c r="H4" i="10"/>
  <c r="G4" i="10"/>
  <c r="D4" i="10"/>
  <c r="C4" i="10"/>
  <c r="AJ3" i="10"/>
  <c r="AI3" i="10"/>
  <c r="AA3" i="10"/>
  <c r="Z3" i="10"/>
  <c r="K3" i="10"/>
  <c r="I3" i="10"/>
  <c r="H3" i="10"/>
  <c r="G3" i="10"/>
  <c r="D3" i="10"/>
  <c r="C3" i="10"/>
  <c r="AI2" i="10"/>
  <c r="AH2" i="10"/>
  <c r="AA2" i="10"/>
  <c r="Z2" i="10"/>
  <c r="K2" i="10"/>
  <c r="I2" i="10"/>
  <c r="G2" i="10"/>
  <c r="E2" i="10"/>
  <c r="D2" i="10"/>
  <c r="C2" i="10"/>
  <c r="D34" i="9"/>
  <c r="C34" i="9"/>
  <c r="E34" i="9" s="1"/>
  <c r="F41" i="9"/>
  <c r="F40" i="9"/>
  <c r="G41" i="9"/>
  <c r="A11" i="9"/>
  <c r="A12" i="9" s="1"/>
  <c r="A13" i="9" s="1"/>
  <c r="A14" i="9" s="1"/>
  <c r="A15" i="9" s="1"/>
  <c r="A16" i="9" s="1"/>
  <c r="A17" i="9" s="1"/>
  <c r="A18" i="9" s="1"/>
  <c r="A19" i="9" s="1"/>
  <c r="A20" i="9" s="1"/>
  <c r="A21" i="9" s="1"/>
  <c r="A22" i="9" s="1"/>
  <c r="A23" i="9" s="1"/>
  <c r="A24" i="9" s="1"/>
  <c r="A25" i="9" s="1"/>
  <c r="A26" i="9" s="1"/>
  <c r="A27" i="9" s="1"/>
  <c r="A28" i="9" s="1"/>
  <c r="A29" i="9" s="1"/>
  <c r="A30" i="9" s="1"/>
  <c r="A31" i="9" s="1"/>
  <c r="D31" i="9"/>
  <c r="D30" i="9"/>
  <c r="D29" i="9"/>
  <c r="D28" i="9"/>
  <c r="D27" i="9"/>
  <c r="D26" i="9"/>
  <c r="D25" i="9"/>
  <c r="D24" i="9"/>
  <c r="D23" i="9"/>
  <c r="D22" i="9"/>
  <c r="D21" i="9"/>
  <c r="D20" i="9"/>
  <c r="D19" i="9"/>
  <c r="D18" i="9"/>
  <c r="D17" i="9"/>
  <c r="D16" i="9"/>
  <c r="D15" i="9"/>
  <c r="D14" i="9"/>
  <c r="D13" i="9"/>
  <c r="D12" i="9"/>
  <c r="D11" i="9"/>
  <c r="D10" i="9"/>
  <c r="C8" i="8"/>
  <c r="H8" i="8"/>
  <c r="C9" i="8"/>
  <c r="H9" i="8" s="1"/>
  <c r="C10" i="8"/>
  <c r="H10" i="8" s="1"/>
  <c r="C11" i="8"/>
  <c r="H11" i="8" s="1"/>
  <c r="D12" i="8"/>
  <c r="H12" i="8"/>
  <c r="D13" i="8"/>
  <c r="H13" i="8" s="1"/>
  <c r="D14" i="8"/>
  <c r="H14" i="8"/>
  <c r="D15" i="8"/>
  <c r="H15" i="8"/>
  <c r="D16" i="8"/>
  <c r="H16" i="8"/>
  <c r="D17" i="8"/>
  <c r="H17" i="8" s="1"/>
  <c r="D18" i="8"/>
  <c r="H18" i="8"/>
  <c r="D19" i="8"/>
  <c r="H19" i="8" s="1"/>
  <c r="D20" i="8"/>
  <c r="H20" i="8"/>
  <c r="D21" i="8"/>
  <c r="H21" i="8" s="1"/>
  <c r="D22" i="8"/>
  <c r="H22" i="8"/>
  <c r="D23" i="8"/>
  <c r="H23" i="8"/>
  <c r="D24" i="8"/>
  <c r="H24" i="8"/>
  <c r="D25" i="8"/>
  <c r="H25" i="8" s="1"/>
  <c r="D26" i="8"/>
  <c r="H26" i="8"/>
  <c r="D27" i="8"/>
  <c r="H27" i="8"/>
  <c r="D28" i="8"/>
  <c r="H28" i="8"/>
  <c r="D29" i="8"/>
  <c r="H29" i="8" s="1"/>
  <c r="D30" i="8"/>
  <c r="H30" i="8"/>
  <c r="D31" i="8"/>
  <c r="H31" i="8" s="1"/>
  <c r="D32" i="8"/>
  <c r="H32" i="8"/>
  <c r="D33" i="8"/>
  <c r="H33" i="8" s="1"/>
  <c r="D34" i="8"/>
  <c r="H34" i="8" s="1"/>
  <c r="D35" i="8"/>
  <c r="H35" i="8"/>
  <c r="D36" i="8"/>
  <c r="H36" i="8"/>
  <c r="D37" i="8"/>
  <c r="H37" i="8" s="1"/>
  <c r="D8" i="8"/>
  <c r="G8" i="8"/>
  <c r="D9" i="8"/>
  <c r="D10" i="8"/>
  <c r="G10" i="8"/>
  <c r="D11" i="8"/>
  <c r="G11" i="8"/>
  <c r="C12" i="8"/>
  <c r="G12" i="8"/>
  <c r="C13" i="8"/>
  <c r="G13" i="8"/>
  <c r="C14" i="8"/>
  <c r="G14" i="8"/>
  <c r="C15" i="8"/>
  <c r="G15" i="8"/>
  <c r="C16" i="8"/>
  <c r="G16" i="8"/>
  <c r="C17" i="8"/>
  <c r="G17" i="8"/>
  <c r="C18" i="8"/>
  <c r="G18" i="8"/>
  <c r="C19" i="8"/>
  <c r="G19" i="8"/>
  <c r="C20" i="8"/>
  <c r="G20" i="8"/>
  <c r="C21" i="8"/>
  <c r="G21" i="8"/>
  <c r="C22" i="8"/>
  <c r="G22" i="8"/>
  <c r="C23" i="8"/>
  <c r="G23" i="8"/>
  <c r="C24" i="8"/>
  <c r="G24" i="8"/>
  <c r="C25" i="8"/>
  <c r="G25" i="8"/>
  <c r="C26" i="8"/>
  <c r="G26" i="8"/>
  <c r="C27" i="8"/>
  <c r="G27" i="8"/>
  <c r="C28" i="8"/>
  <c r="G28" i="8"/>
  <c r="C29" i="8"/>
  <c r="C30" i="8"/>
  <c r="G30" i="8"/>
  <c r="C31" i="8"/>
  <c r="G31" i="8"/>
  <c r="C32" i="8"/>
  <c r="G32" i="8"/>
  <c r="C33" i="8"/>
  <c r="C34" i="8"/>
  <c r="G34" i="8"/>
  <c r="C35" i="8"/>
  <c r="G35" i="8"/>
  <c r="C36" i="8"/>
  <c r="G36" i="8"/>
  <c r="C37" i="8"/>
  <c r="I26" i="7"/>
  <c r="B25" i="7" s="1"/>
  <c r="B35" i="7"/>
  <c r="B50" i="7" s="1"/>
  <c r="B49" i="7" s="1"/>
  <c r="A26" i="7"/>
  <c r="B47" i="7"/>
  <c r="B43" i="7"/>
  <c r="D36" i="7"/>
  <c r="D37" i="7" s="1"/>
  <c r="G25" i="7"/>
  <c r="F25" i="7"/>
  <c r="E3" i="7"/>
  <c r="E4" i="7" s="1"/>
  <c r="E5" i="7" s="1"/>
  <c r="E6" i="7" s="1"/>
  <c r="E7" i="7" s="1"/>
  <c r="E8" i="7" s="1"/>
  <c r="E9" i="7" s="1"/>
  <c r="E10" i="7" s="1"/>
  <c r="E11" i="7" s="1"/>
  <c r="E12" i="7" s="1"/>
  <c r="E13" i="7" s="1"/>
  <c r="E14" i="7" s="1"/>
  <c r="E15" i="7" s="1"/>
  <c r="E16" i="7" s="1"/>
  <c r="E17" i="7" s="1"/>
  <c r="E18" i="7" s="1"/>
  <c r="E19" i="7" s="1"/>
  <c r="E20" i="7" s="1"/>
  <c r="E21" i="7" s="1"/>
  <c r="E22" i="7" s="1"/>
  <c r="E23" i="7" s="1"/>
  <c r="E24" i="7" s="1"/>
  <c r="E25" i="7" s="1"/>
  <c r="D25" i="7"/>
  <c r="C25" i="7"/>
  <c r="D24" i="7"/>
  <c r="C24" i="7"/>
  <c r="B24" i="7"/>
  <c r="H23" i="7"/>
  <c r="C23" i="7"/>
  <c r="B23" i="7"/>
  <c r="H22" i="7"/>
  <c r="G22" i="7"/>
  <c r="F22" i="7"/>
  <c r="C22" i="7"/>
  <c r="G21" i="7"/>
  <c r="F21" i="7"/>
  <c r="D21" i="7"/>
  <c r="C21" i="7"/>
  <c r="D20" i="7"/>
  <c r="C20" i="7"/>
  <c r="B20" i="7"/>
  <c r="H19" i="7"/>
  <c r="C19" i="7"/>
  <c r="B19" i="7"/>
  <c r="H18" i="7"/>
  <c r="G18" i="7"/>
  <c r="F18" i="7"/>
  <c r="C18" i="7"/>
  <c r="G17" i="7"/>
  <c r="F17" i="7"/>
  <c r="D17" i="7"/>
  <c r="C17" i="7"/>
  <c r="D16" i="7"/>
  <c r="C16" i="7"/>
  <c r="B16" i="7"/>
  <c r="H15" i="7"/>
  <c r="C15" i="7"/>
  <c r="B15" i="7"/>
  <c r="H14" i="7"/>
  <c r="G14" i="7"/>
  <c r="F14" i="7"/>
  <c r="C14" i="7"/>
  <c r="G13" i="7"/>
  <c r="F13" i="7"/>
  <c r="D13" i="7"/>
  <c r="C13" i="7"/>
  <c r="D12" i="7"/>
  <c r="C12" i="7"/>
  <c r="B12" i="7"/>
  <c r="H11" i="7"/>
  <c r="C11" i="7"/>
  <c r="B11" i="7"/>
  <c r="H10" i="7"/>
  <c r="G10" i="7"/>
  <c r="F10" i="7"/>
  <c r="C10" i="7"/>
  <c r="G9" i="7"/>
  <c r="F9" i="7"/>
  <c r="D9" i="7"/>
  <c r="C9" i="7"/>
  <c r="D8" i="7"/>
  <c r="C8" i="7"/>
  <c r="B8" i="7"/>
  <c r="H7" i="7"/>
  <c r="C7" i="7"/>
  <c r="B7" i="7"/>
  <c r="H6" i="7"/>
  <c r="G6" i="7"/>
  <c r="F6" i="7"/>
  <c r="C6" i="7"/>
  <c r="G5" i="7"/>
  <c r="F5" i="7"/>
  <c r="D5" i="7"/>
  <c r="C5" i="7"/>
  <c r="D4" i="7"/>
  <c r="C4" i="7"/>
  <c r="B4" i="7"/>
  <c r="H3" i="7"/>
  <c r="C3" i="7"/>
  <c r="B3" i="7"/>
  <c r="H2" i="7"/>
  <c r="G2" i="7"/>
  <c r="F2" i="7"/>
  <c r="C2" i="7"/>
  <c r="B2" i="7"/>
  <c r="I22" i="6"/>
  <c r="H18" i="6" s="1"/>
  <c r="B31" i="6"/>
  <c r="A22" i="6"/>
  <c r="B46" i="6" s="1"/>
  <c r="B33" i="6"/>
  <c r="B35" i="6"/>
  <c r="B43" i="6"/>
  <c r="B40" i="6"/>
  <c r="D32" i="6"/>
  <c r="D33" i="6" s="1"/>
  <c r="H21" i="6"/>
  <c r="G21" i="6"/>
  <c r="F21" i="6"/>
  <c r="E3" i="6"/>
  <c r="E4" i="6"/>
  <c r="E5" i="6" s="1"/>
  <c r="E6" i="6" s="1"/>
  <c r="E7" i="6" s="1"/>
  <c r="E8" i="6" s="1"/>
  <c r="E9" i="6" s="1"/>
  <c r="E10" i="6" s="1"/>
  <c r="E11" i="6" s="1"/>
  <c r="E12" i="6" s="1"/>
  <c r="E13" i="6" s="1"/>
  <c r="E14" i="6" s="1"/>
  <c r="E15" i="6" s="1"/>
  <c r="E16" i="6" s="1"/>
  <c r="E17" i="6" s="1"/>
  <c r="E18" i="6" s="1"/>
  <c r="E19" i="6" s="1"/>
  <c r="E20" i="6" s="1"/>
  <c r="E21" i="6" s="1"/>
  <c r="H20" i="6"/>
  <c r="G20" i="6"/>
  <c r="F20" i="6"/>
  <c r="D20" i="6"/>
  <c r="H19" i="6"/>
  <c r="G19" i="6"/>
  <c r="F19" i="6"/>
  <c r="D19" i="6"/>
  <c r="C19" i="6"/>
  <c r="B19" i="6"/>
  <c r="F18" i="6"/>
  <c r="C18" i="6"/>
  <c r="B18" i="6"/>
  <c r="H17" i="6"/>
  <c r="G17" i="6"/>
  <c r="H16" i="6"/>
  <c r="G16" i="6"/>
  <c r="F16" i="6"/>
  <c r="H15" i="6"/>
  <c r="G15" i="6"/>
  <c r="F15" i="6"/>
  <c r="D15" i="6"/>
  <c r="C15" i="6"/>
  <c r="B15" i="6"/>
  <c r="F14" i="6"/>
  <c r="B14" i="6"/>
  <c r="H13" i="6"/>
  <c r="G13" i="6"/>
  <c r="H12" i="6"/>
  <c r="G12" i="6"/>
  <c r="F12" i="6"/>
  <c r="D12" i="6"/>
  <c r="H11" i="6"/>
  <c r="G11" i="6"/>
  <c r="F11" i="6"/>
  <c r="C11" i="6"/>
  <c r="B11" i="6"/>
  <c r="G10" i="6"/>
  <c r="F10" i="6"/>
  <c r="C10" i="6"/>
  <c r="B10" i="6"/>
  <c r="H9" i="6"/>
  <c r="G9" i="6"/>
  <c r="C9" i="6"/>
  <c r="B9" i="6"/>
  <c r="H8" i="6"/>
  <c r="G8" i="6"/>
  <c r="F8" i="6"/>
  <c r="D8" i="6"/>
  <c r="H7" i="6"/>
  <c r="G7" i="6"/>
  <c r="F7" i="6"/>
  <c r="D7" i="6"/>
  <c r="C7" i="6"/>
  <c r="G6" i="6"/>
  <c r="F6" i="6"/>
  <c r="C6" i="6"/>
  <c r="B6" i="6"/>
  <c r="H5" i="6"/>
  <c r="G5" i="6"/>
  <c r="B5" i="6"/>
  <c r="H4" i="6"/>
  <c r="G4" i="6"/>
  <c r="F4" i="6"/>
  <c r="D4" i="6"/>
  <c r="H3" i="6"/>
  <c r="G3" i="6"/>
  <c r="F3" i="6"/>
  <c r="D3" i="6"/>
  <c r="C3" i="6"/>
  <c r="G2" i="6"/>
  <c r="F2" i="6"/>
  <c r="D2" i="6"/>
  <c r="C2" i="6"/>
  <c r="I32" i="5"/>
  <c r="G29" i="5" s="1"/>
  <c r="AA26" i="5"/>
  <c r="A32" i="5"/>
  <c r="B31" i="5" s="1"/>
  <c r="H31" i="5"/>
  <c r="G31" i="5"/>
  <c r="F31" i="5"/>
  <c r="E3" i="5"/>
  <c r="E4" i="5" s="1"/>
  <c r="E5" i="5" s="1"/>
  <c r="E6" i="5" s="1"/>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D31" i="5"/>
  <c r="C31" i="5"/>
  <c r="H30" i="5"/>
  <c r="G30" i="5"/>
  <c r="D30" i="5"/>
  <c r="C30" i="5"/>
  <c r="B30" i="5"/>
  <c r="H29" i="5"/>
  <c r="F29" i="5"/>
  <c r="D29" i="5"/>
  <c r="C29" i="5"/>
  <c r="B29" i="5"/>
  <c r="H28" i="5"/>
  <c r="G28" i="5"/>
  <c r="F28" i="5"/>
  <c r="C28" i="5"/>
  <c r="B28" i="5"/>
  <c r="R27" i="5"/>
  <c r="U26" i="5" s="1"/>
  <c r="H27" i="5"/>
  <c r="G27" i="5"/>
  <c r="F27" i="5"/>
  <c r="D27" i="5"/>
  <c r="B27" i="5"/>
  <c r="V13" i="5"/>
  <c r="V14" i="5" s="1"/>
  <c r="V15" i="5" s="1"/>
  <c r="V16" i="5" s="1"/>
  <c r="V17" i="5" s="1"/>
  <c r="V18" i="5" s="1"/>
  <c r="V19" i="5" s="1"/>
  <c r="V20" i="5" s="1"/>
  <c r="V21" i="5" s="1"/>
  <c r="V22" i="5" s="1"/>
  <c r="V23" i="5" s="1"/>
  <c r="V24" i="5" s="1"/>
  <c r="V25" i="5" s="1"/>
  <c r="V26" i="5" s="1"/>
  <c r="T26" i="5"/>
  <c r="S26" i="5"/>
  <c r="G26" i="5"/>
  <c r="F26" i="5"/>
  <c r="D26" i="5"/>
  <c r="C26" i="5"/>
  <c r="AE13" i="5"/>
  <c r="AE14" i="5" s="1"/>
  <c r="AE15" i="5" s="1"/>
  <c r="AE16" i="5" s="1"/>
  <c r="AE17" i="5" s="1"/>
  <c r="AE18" i="5" s="1"/>
  <c r="AE19" i="5" s="1"/>
  <c r="AE20" i="5" s="1"/>
  <c r="AE21" i="5" s="1"/>
  <c r="AE22" i="5" s="1"/>
  <c r="AE23" i="5" s="1"/>
  <c r="AE24" i="5" s="1"/>
  <c r="AE25" i="5" s="1"/>
  <c r="AD25" i="5"/>
  <c r="AC25" i="5"/>
  <c r="U25" i="5"/>
  <c r="T25" i="5"/>
  <c r="H25" i="5"/>
  <c r="G25" i="5"/>
  <c r="F25" i="5"/>
  <c r="D25" i="5"/>
  <c r="B25" i="5"/>
  <c r="AD24" i="5"/>
  <c r="AC24" i="5"/>
  <c r="AB24" i="5"/>
  <c r="U24" i="5"/>
  <c r="T24" i="5"/>
  <c r="S24" i="5"/>
  <c r="G24" i="5"/>
  <c r="F24" i="5"/>
  <c r="C24" i="5"/>
  <c r="B24" i="5"/>
  <c r="AD23" i="5"/>
  <c r="AC23" i="5"/>
  <c r="U23" i="5"/>
  <c r="T23" i="5"/>
  <c r="H23" i="5"/>
  <c r="G23" i="5"/>
  <c r="F23" i="5"/>
  <c r="D23" i="5"/>
  <c r="B23" i="5"/>
  <c r="AD22" i="5"/>
  <c r="AC22" i="5"/>
  <c r="AB22" i="5"/>
  <c r="U22" i="5"/>
  <c r="T22" i="5"/>
  <c r="S22" i="5"/>
  <c r="G22" i="5"/>
  <c r="F22" i="5"/>
  <c r="C22" i="5"/>
  <c r="B22" i="5"/>
  <c r="AD21" i="5"/>
  <c r="AC21" i="5"/>
  <c r="U21" i="5"/>
  <c r="T21" i="5"/>
  <c r="H21" i="5"/>
  <c r="G21" i="5"/>
  <c r="F21" i="5"/>
  <c r="D21" i="5"/>
  <c r="B21" i="5"/>
  <c r="AD20" i="5"/>
  <c r="AC20" i="5"/>
  <c r="AB20" i="5"/>
  <c r="U20" i="5"/>
  <c r="T20" i="5"/>
  <c r="S20" i="5"/>
  <c r="G20" i="5"/>
  <c r="F20" i="5"/>
  <c r="C20" i="5"/>
  <c r="B20" i="5"/>
  <c r="AD19" i="5"/>
  <c r="AC19" i="5"/>
  <c r="U19" i="5"/>
  <c r="T19" i="5"/>
  <c r="S19" i="5"/>
  <c r="H19" i="5"/>
  <c r="G19" i="5"/>
  <c r="F19" i="5"/>
  <c r="D19" i="5"/>
  <c r="B19" i="5"/>
  <c r="AD18" i="5"/>
  <c r="AC18" i="5"/>
  <c r="AB18" i="5"/>
  <c r="U18" i="5"/>
  <c r="T18" i="5"/>
  <c r="S18" i="5"/>
  <c r="G18" i="5"/>
  <c r="F18" i="5"/>
  <c r="D18" i="5"/>
  <c r="C18" i="5"/>
  <c r="B18" i="5"/>
  <c r="AD17" i="5"/>
  <c r="AC17" i="5"/>
  <c r="U17" i="5"/>
  <c r="T17" i="5"/>
  <c r="S17" i="5"/>
  <c r="H17" i="5"/>
  <c r="G17" i="5"/>
  <c r="F17" i="5"/>
  <c r="D17" i="5"/>
  <c r="B17" i="5"/>
  <c r="AD16" i="5"/>
  <c r="AC16" i="5"/>
  <c r="AB16" i="5"/>
  <c r="U16" i="5"/>
  <c r="T16" i="5"/>
  <c r="S16" i="5"/>
  <c r="G16" i="5"/>
  <c r="F16" i="5"/>
  <c r="D16" i="5"/>
  <c r="C16" i="5"/>
  <c r="B16" i="5"/>
  <c r="AD15" i="5"/>
  <c r="AC15" i="5"/>
  <c r="U15" i="5"/>
  <c r="T15" i="5"/>
  <c r="S15" i="5"/>
  <c r="H15" i="5"/>
  <c r="G15" i="5"/>
  <c r="F15" i="5"/>
  <c r="D15" i="5"/>
  <c r="B15" i="5"/>
  <c r="AD14" i="5"/>
  <c r="AC14" i="5"/>
  <c r="AB14" i="5"/>
  <c r="U14" i="5"/>
  <c r="T14" i="5"/>
  <c r="S14" i="5"/>
  <c r="G14" i="5"/>
  <c r="F14" i="5"/>
  <c r="D14" i="5"/>
  <c r="C14" i="5"/>
  <c r="B14" i="5"/>
  <c r="AD13" i="5"/>
  <c r="AC13" i="5"/>
  <c r="U13" i="5"/>
  <c r="T13" i="5"/>
  <c r="S13" i="5"/>
  <c r="H13" i="5"/>
  <c r="G13" i="5"/>
  <c r="F13" i="5"/>
  <c r="D13" i="5"/>
  <c r="C13" i="5"/>
  <c r="B13" i="5"/>
  <c r="AD12" i="5"/>
  <c r="AC12" i="5"/>
  <c r="AB12" i="5"/>
  <c r="U12" i="5"/>
  <c r="T12" i="5"/>
  <c r="S12" i="5"/>
  <c r="G12" i="5"/>
  <c r="F12" i="5"/>
  <c r="D12" i="5"/>
  <c r="C12" i="5"/>
  <c r="B12" i="5"/>
  <c r="AE8" i="5"/>
  <c r="AE9" i="5"/>
  <c r="AE10" i="5" s="1"/>
  <c r="AE11" i="5" s="1"/>
  <c r="AD11" i="5"/>
  <c r="AC11" i="5"/>
  <c r="AB11" i="5"/>
  <c r="V8" i="5"/>
  <c r="V9" i="5" s="1"/>
  <c r="V10" i="5" s="1"/>
  <c r="V11" i="5" s="1"/>
  <c r="U11" i="5"/>
  <c r="T11" i="5"/>
  <c r="S11" i="5"/>
  <c r="H11" i="5"/>
  <c r="G11" i="5"/>
  <c r="F11" i="5"/>
  <c r="D11" i="5"/>
  <c r="C11" i="5"/>
  <c r="B11" i="5"/>
  <c r="AD10" i="5"/>
  <c r="AC10" i="5"/>
  <c r="AB10" i="5"/>
  <c r="U10" i="5"/>
  <c r="T10" i="5"/>
  <c r="S10" i="5"/>
  <c r="G10" i="5"/>
  <c r="F10" i="5"/>
  <c r="D10" i="5"/>
  <c r="C10" i="5"/>
  <c r="B10" i="5"/>
  <c r="AD9" i="5"/>
  <c r="AC9" i="5"/>
  <c r="U9" i="5"/>
  <c r="T9" i="5"/>
  <c r="S9" i="5"/>
  <c r="H9" i="5"/>
  <c r="G9" i="5"/>
  <c r="F9" i="5"/>
  <c r="D9" i="5"/>
  <c r="C9" i="5"/>
  <c r="B9" i="5"/>
  <c r="AD8" i="5"/>
  <c r="AC8" i="5"/>
  <c r="AB8" i="5"/>
  <c r="U8" i="5"/>
  <c r="T8" i="5"/>
  <c r="S8" i="5"/>
  <c r="G8" i="5"/>
  <c r="F8" i="5"/>
  <c r="D8" i="5"/>
  <c r="C8" i="5"/>
  <c r="B8" i="5"/>
  <c r="AD7" i="5"/>
  <c r="AC7" i="5"/>
  <c r="U7" i="5"/>
  <c r="T7" i="5"/>
  <c r="S7" i="5"/>
  <c r="H7" i="5"/>
  <c r="G7" i="5"/>
  <c r="F7" i="5"/>
  <c r="D7" i="5"/>
  <c r="C7" i="5"/>
  <c r="B7" i="5"/>
  <c r="AE3" i="5"/>
  <c r="AE4" i="5" s="1"/>
  <c r="AE5" i="5" s="1"/>
  <c r="AE6" i="5" s="1"/>
  <c r="AD6" i="5"/>
  <c r="AC6" i="5"/>
  <c r="V3" i="5"/>
  <c r="V4" i="5"/>
  <c r="V5" i="5" s="1"/>
  <c r="V6" i="5" s="1"/>
  <c r="U6" i="5"/>
  <c r="T6" i="5"/>
  <c r="S6" i="5"/>
  <c r="G6" i="5"/>
  <c r="F6" i="5"/>
  <c r="D6" i="5"/>
  <c r="C6" i="5"/>
  <c r="B6" i="5"/>
  <c r="AD5" i="5"/>
  <c r="AC5" i="5"/>
  <c r="U5" i="5"/>
  <c r="T5" i="5"/>
  <c r="S5" i="5"/>
  <c r="H5" i="5"/>
  <c r="G5" i="5"/>
  <c r="F5" i="5"/>
  <c r="D5" i="5"/>
  <c r="C5" i="5"/>
  <c r="B5" i="5"/>
  <c r="AD4" i="5"/>
  <c r="AC4" i="5"/>
  <c r="AB4" i="5"/>
  <c r="U4" i="5"/>
  <c r="T4" i="5"/>
  <c r="S4" i="5"/>
  <c r="G4" i="5"/>
  <c r="F4" i="5"/>
  <c r="D4" i="5"/>
  <c r="C4" i="5"/>
  <c r="B4" i="5"/>
  <c r="AD3" i="5"/>
  <c r="AC3" i="5"/>
  <c r="U3" i="5"/>
  <c r="T3" i="5"/>
  <c r="S3" i="5"/>
  <c r="H3" i="5"/>
  <c r="G3" i="5"/>
  <c r="F3" i="5"/>
  <c r="D3" i="5"/>
  <c r="C3" i="5"/>
  <c r="B3" i="5"/>
  <c r="AD2" i="5"/>
  <c r="AC2" i="5"/>
  <c r="AB2" i="5"/>
  <c r="U2" i="5"/>
  <c r="T2" i="5"/>
  <c r="S2" i="5"/>
  <c r="H2" i="5"/>
  <c r="G2" i="5"/>
  <c r="F2" i="5"/>
  <c r="D2" i="5"/>
  <c r="C2" i="5"/>
  <c r="B2" i="5"/>
  <c r="C27" i="4"/>
  <c r="D27" i="4" s="1"/>
  <c r="B27" i="4"/>
  <c r="A27" i="4" s="1"/>
  <c r="A4"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D26" i="4"/>
  <c r="D25" i="4"/>
  <c r="D24" i="4"/>
  <c r="D23" i="4"/>
  <c r="D22" i="4"/>
  <c r="D21" i="4"/>
  <c r="D20" i="4"/>
  <c r="D19" i="4"/>
  <c r="D18" i="4"/>
  <c r="D17" i="4"/>
  <c r="D16" i="4"/>
  <c r="D15" i="4"/>
  <c r="D14" i="4"/>
  <c r="D13" i="4"/>
  <c r="D12" i="4"/>
  <c r="D11" i="4"/>
  <c r="D10" i="4"/>
  <c r="D9" i="4"/>
  <c r="D8" i="4"/>
  <c r="D7" i="4"/>
  <c r="D6" i="4"/>
  <c r="D5" i="4"/>
  <c r="D4" i="4"/>
  <c r="D3" i="4"/>
  <c r="B17" i="3"/>
  <c r="B18" i="3"/>
  <c r="C32" i="3"/>
  <c r="C45" i="3" s="1"/>
  <c r="C34" i="3"/>
  <c r="C36" i="3"/>
  <c r="C39" i="3"/>
  <c r="C43" i="3"/>
  <c r="B46" i="3"/>
  <c r="F14" i="24" l="1"/>
  <c r="D20" i="23"/>
  <c r="C20" i="23"/>
  <c r="F25" i="4"/>
  <c r="H23" i="4"/>
  <c r="E22" i="4"/>
  <c r="G20" i="4"/>
  <c r="F17" i="4"/>
  <c r="H15" i="4"/>
  <c r="E14" i="4"/>
  <c r="G12" i="4"/>
  <c r="F9" i="4"/>
  <c r="H7" i="4"/>
  <c r="E6" i="4"/>
  <c r="G4" i="4"/>
  <c r="H26" i="4"/>
  <c r="G23" i="4"/>
  <c r="H18" i="4"/>
  <c r="G15" i="4"/>
  <c r="F12" i="4"/>
  <c r="H10" i="4"/>
  <c r="G7" i="4"/>
  <c r="F4" i="4"/>
  <c r="H3" i="4"/>
  <c r="E13" i="4"/>
  <c r="G3" i="4"/>
  <c r="G9" i="4"/>
  <c r="E25" i="4"/>
  <c r="F20" i="4"/>
  <c r="E17" i="4"/>
  <c r="E9" i="4"/>
  <c r="E12" i="4"/>
  <c r="E4" i="4"/>
  <c r="G8" i="4"/>
  <c r="H22" i="4"/>
  <c r="G11" i="4"/>
  <c r="G17" i="4"/>
  <c r="F14" i="4"/>
  <c r="E3" i="4"/>
  <c r="G26" i="4"/>
  <c r="F23" i="4"/>
  <c r="H21" i="4"/>
  <c r="E20" i="4"/>
  <c r="G18" i="4"/>
  <c r="F15" i="4"/>
  <c r="H13" i="4"/>
  <c r="G10" i="4"/>
  <c r="F7" i="4"/>
  <c r="H5" i="4"/>
  <c r="F8" i="4"/>
  <c r="H20" i="4"/>
  <c r="E11" i="4"/>
  <c r="F26" i="4"/>
  <c r="H24" i="4"/>
  <c r="E23" i="4"/>
  <c r="G21" i="4"/>
  <c r="F18" i="4"/>
  <c r="H16" i="4"/>
  <c r="E15" i="4"/>
  <c r="G13" i="4"/>
  <c r="F10" i="4"/>
  <c r="H8" i="4"/>
  <c r="E7" i="4"/>
  <c r="G5" i="4"/>
  <c r="E26" i="4"/>
  <c r="G24" i="4"/>
  <c r="F21" i="4"/>
  <c r="H19" i="4"/>
  <c r="E18" i="4"/>
  <c r="G16" i="4"/>
  <c r="F13" i="4"/>
  <c r="H11" i="4"/>
  <c r="E10" i="4"/>
  <c r="F5" i="4"/>
  <c r="E21" i="4"/>
  <c r="H14" i="4"/>
  <c r="E5" i="4"/>
  <c r="G25" i="4"/>
  <c r="H12" i="4"/>
  <c r="F24" i="4"/>
  <c r="F16" i="4"/>
  <c r="G19" i="4"/>
  <c r="H6" i="4"/>
  <c r="E19" i="4"/>
  <c r="H4" i="4"/>
  <c r="H25" i="4"/>
  <c r="E24" i="4"/>
  <c r="G22" i="4"/>
  <c r="F19" i="4"/>
  <c r="H17" i="4"/>
  <c r="E16" i="4"/>
  <c r="G14" i="4"/>
  <c r="F11" i="4"/>
  <c r="H9" i="4"/>
  <c r="E8" i="4"/>
  <c r="G6" i="4"/>
  <c r="F3" i="4"/>
  <c r="F22" i="4"/>
  <c r="F6" i="4"/>
  <c r="C47" i="3"/>
  <c r="B47" i="3"/>
  <c r="B48" i="3"/>
  <c r="H38" i="8"/>
  <c r="E35" i="9"/>
  <c r="B34" i="9"/>
  <c r="E28" i="9" s="1"/>
  <c r="D20" i="5"/>
  <c r="S21" i="5"/>
  <c r="D22" i="5"/>
  <c r="S23" i="5"/>
  <c r="D24" i="5"/>
  <c r="S25" i="5"/>
  <c r="H26" i="5"/>
  <c r="F30" i="5"/>
  <c r="B3" i="6"/>
  <c r="D6" i="6"/>
  <c r="D11" i="6"/>
  <c r="B45" i="6"/>
  <c r="B44" i="6"/>
  <c r="B41" i="5"/>
  <c r="E32" i="6"/>
  <c r="E33" i="6" s="1"/>
  <c r="E35" i="6" s="1"/>
  <c r="C20" i="6"/>
  <c r="C16" i="6"/>
  <c r="C12" i="6"/>
  <c r="C8" i="6"/>
  <c r="C4" i="6"/>
  <c r="D21" i="6"/>
  <c r="B20" i="6"/>
  <c r="D17" i="6"/>
  <c r="B16" i="6"/>
  <c r="D13" i="6"/>
  <c r="B12" i="6"/>
  <c r="D9" i="6"/>
  <c r="B8" i="6"/>
  <c r="D5" i="6"/>
  <c r="B4" i="6"/>
  <c r="C44" i="6"/>
  <c r="C21" i="6"/>
  <c r="C17" i="6"/>
  <c r="C13" i="6"/>
  <c r="B21" i="6"/>
  <c r="D18" i="6"/>
  <c r="B17" i="6"/>
  <c r="D14" i="6"/>
  <c r="B13" i="6"/>
  <c r="G30" i="9"/>
  <c r="F29" i="9"/>
  <c r="G22" i="9"/>
  <c r="G14" i="9"/>
  <c r="F13" i="9"/>
  <c r="E12" i="9"/>
  <c r="E31" i="9"/>
  <c r="G25" i="9"/>
  <c r="F24" i="9"/>
  <c r="G17" i="9"/>
  <c r="E15" i="9"/>
  <c r="F30" i="9"/>
  <c r="G27" i="9"/>
  <c r="F20" i="9"/>
  <c r="G11" i="9"/>
  <c r="E10" i="9"/>
  <c r="E30" i="9"/>
  <c r="F27" i="9"/>
  <c r="G24" i="9"/>
  <c r="E17" i="9"/>
  <c r="G31" i="9"/>
  <c r="E27" i="9"/>
  <c r="E24" i="9"/>
  <c r="G21" i="9"/>
  <c r="G18" i="9"/>
  <c r="G15" i="9"/>
  <c r="G28" i="9"/>
  <c r="E21" i="9"/>
  <c r="F18" i="9"/>
  <c r="F15" i="9"/>
  <c r="G12" i="9"/>
  <c r="F28" i="9"/>
  <c r="G19" i="9"/>
  <c r="E18" i="9"/>
  <c r="F12" i="9"/>
  <c r="E25" i="9"/>
  <c r="F19" i="9"/>
  <c r="G16" i="9"/>
  <c r="H41" i="9"/>
  <c r="G29" i="9"/>
  <c r="G26" i="9"/>
  <c r="G23" i="9"/>
  <c r="E19" i="9"/>
  <c r="G13" i="9"/>
  <c r="G10" i="9"/>
  <c r="F23" i="9"/>
  <c r="G20" i="9"/>
  <c r="E13" i="9"/>
  <c r="AB3" i="5"/>
  <c r="H4" i="5"/>
  <c r="AB5" i="5"/>
  <c r="H6" i="5"/>
  <c r="AB6" i="5"/>
  <c r="AB7" i="5"/>
  <c r="H8" i="5"/>
  <c r="AB9" i="5"/>
  <c r="H10" i="5"/>
  <c r="H12" i="5"/>
  <c r="AB13" i="5"/>
  <c r="H14" i="5"/>
  <c r="C15" i="5"/>
  <c r="AB15" i="5"/>
  <c r="H16" i="5"/>
  <c r="C17" i="5"/>
  <c r="AB17" i="5"/>
  <c r="H18" i="5"/>
  <c r="C19" i="5"/>
  <c r="AB19" i="5"/>
  <c r="H20" i="5"/>
  <c r="C21" i="5"/>
  <c r="AB21" i="5"/>
  <c r="H22" i="5"/>
  <c r="C23" i="5"/>
  <c r="AB23" i="5"/>
  <c r="H24" i="5"/>
  <c r="C25" i="5"/>
  <c r="AB25" i="5"/>
  <c r="B26" i="5"/>
  <c r="C27" i="5"/>
  <c r="D28" i="5"/>
  <c r="B2" i="6"/>
  <c r="C5" i="6"/>
  <c r="B7" i="6"/>
  <c r="D10" i="6"/>
  <c r="C14" i="6"/>
  <c r="D16" i="6"/>
  <c r="D108" i="11"/>
  <c r="F107" i="11"/>
  <c r="D107" i="11"/>
  <c r="D109" i="11"/>
  <c r="C107" i="11"/>
  <c r="H25" i="7"/>
  <c r="B48" i="7"/>
  <c r="F4" i="7"/>
  <c r="H5" i="7"/>
  <c r="F8" i="7"/>
  <c r="H9" i="7"/>
  <c r="F12" i="7"/>
  <c r="H13" i="7"/>
  <c r="F16" i="7"/>
  <c r="H17" i="7"/>
  <c r="F20" i="7"/>
  <c r="H21" i="7"/>
  <c r="F24" i="7"/>
  <c r="C48" i="7"/>
  <c r="G37" i="8"/>
  <c r="G33" i="8"/>
  <c r="G29" i="8"/>
  <c r="G9" i="8"/>
  <c r="G38" i="8" s="1"/>
  <c r="D3" i="7"/>
  <c r="G4" i="7"/>
  <c r="B6" i="7"/>
  <c r="D7" i="7"/>
  <c r="G8" i="7"/>
  <c r="B10" i="7"/>
  <c r="D11" i="7"/>
  <c r="G12" i="7"/>
  <c r="B14" i="7"/>
  <c r="D15" i="7"/>
  <c r="G16" i="7"/>
  <c r="B18" i="7"/>
  <c r="D19" i="7"/>
  <c r="G20" i="7"/>
  <c r="B22" i="7"/>
  <c r="D23" i="7"/>
  <c r="G24" i="7"/>
  <c r="G14" i="6"/>
  <c r="G18" i="6"/>
  <c r="F3" i="7"/>
  <c r="H4" i="7"/>
  <c r="F7" i="7"/>
  <c r="H8" i="7"/>
  <c r="F11" i="7"/>
  <c r="H12" i="7"/>
  <c r="F15" i="7"/>
  <c r="H16" i="7"/>
  <c r="F19" i="7"/>
  <c r="H20" i="7"/>
  <c r="F23" i="7"/>
  <c r="H24" i="7"/>
  <c r="E36" i="7"/>
  <c r="E37" i="7" s="1"/>
  <c r="E39" i="7" s="1"/>
  <c r="H2" i="6"/>
  <c r="F5" i="6"/>
  <c r="H6" i="6"/>
  <c r="F9" i="6"/>
  <c r="H10" i="6"/>
  <c r="F13" i="6"/>
  <c r="H14" i="6"/>
  <c r="F17" i="6"/>
  <c r="D2" i="7"/>
  <c r="G3" i="7"/>
  <c r="B5" i="7"/>
  <c r="D6" i="7"/>
  <c r="G7" i="7"/>
  <c r="B9" i="7"/>
  <c r="D10" i="7"/>
  <c r="G11" i="7"/>
  <c r="B13" i="7"/>
  <c r="D14" i="7"/>
  <c r="G15" i="7"/>
  <c r="B17" i="7"/>
  <c r="D18" i="7"/>
  <c r="G19" i="7"/>
  <c r="B21" i="7"/>
  <c r="D22" i="7"/>
  <c r="G23" i="7"/>
  <c r="H31" i="10"/>
  <c r="C56" i="10"/>
  <c r="C55" i="10" s="1"/>
  <c r="C35" i="11"/>
  <c r="C36" i="11"/>
  <c r="C22" i="18"/>
  <c r="E42" i="10"/>
  <c r="E43" i="10" s="1"/>
  <c r="F45" i="10" s="1"/>
  <c r="D35" i="11"/>
  <c r="F34" i="11"/>
  <c r="D34" i="11"/>
  <c r="D36" i="11"/>
  <c r="J18" i="20"/>
  <c r="D68" i="11"/>
  <c r="C38" i="17"/>
  <c r="C43" i="20"/>
  <c r="L18" i="20" s="1"/>
  <c r="H2" i="10"/>
  <c r="AJ2" i="10"/>
  <c r="Y3" i="10"/>
  <c r="E4" i="10"/>
  <c r="AH4" i="10"/>
  <c r="I5" i="10"/>
  <c r="C6" i="10"/>
  <c r="G7" i="10"/>
  <c r="AI7" i="10"/>
  <c r="AA9" i="10"/>
  <c r="H10" i="10"/>
  <c r="AJ10" i="10"/>
  <c r="Y11" i="10"/>
  <c r="E12" i="10"/>
  <c r="AH12" i="10"/>
  <c r="I13" i="10"/>
  <c r="C14" i="10"/>
  <c r="G15" i="10"/>
  <c r="AI15" i="10"/>
  <c r="AA17" i="10"/>
  <c r="H18" i="10"/>
  <c r="AJ18" i="10"/>
  <c r="Y19" i="10"/>
  <c r="E20" i="10"/>
  <c r="AH20" i="10"/>
  <c r="I21" i="10"/>
  <c r="C22" i="10"/>
  <c r="G23" i="10"/>
  <c r="AJ23" i="10"/>
  <c r="Y24" i="10"/>
  <c r="E25" i="10"/>
  <c r="AH25" i="10"/>
  <c r="I26" i="10"/>
  <c r="C27" i="10"/>
  <c r="E29" i="10"/>
  <c r="G30" i="10"/>
  <c r="G56" i="10"/>
  <c r="G55" i="10" s="1"/>
  <c r="G53" i="10"/>
  <c r="C108" i="11"/>
  <c r="C109" i="11"/>
  <c r="G24" i="12"/>
  <c r="C31" i="13"/>
  <c r="D36" i="13"/>
  <c r="D27" i="13"/>
  <c r="C20" i="18"/>
  <c r="C23" i="18"/>
  <c r="K53" i="21"/>
  <c r="I18" i="10"/>
  <c r="C19" i="10"/>
  <c r="G20" i="10"/>
  <c r="AI20" i="10"/>
  <c r="AA22" i="10"/>
  <c r="H23" i="10"/>
  <c r="C24" i="10"/>
  <c r="G25" i="10"/>
  <c r="AI25" i="10"/>
  <c r="E28" i="10"/>
  <c r="G29" i="10"/>
  <c r="H30" i="10"/>
  <c r="E36" i="10"/>
  <c r="C53" i="10"/>
  <c r="K18" i="20"/>
  <c r="E46" i="21"/>
  <c r="F46" i="21" s="1"/>
  <c r="K4" i="21" s="1"/>
  <c r="F54" i="21"/>
  <c r="AA19" i="10"/>
  <c r="H20" i="10"/>
  <c r="AJ20" i="10"/>
  <c r="Y21" i="10"/>
  <c r="E22" i="10"/>
  <c r="AH22" i="10"/>
  <c r="I23" i="10"/>
  <c r="AA24" i="10"/>
  <c r="H25" i="10"/>
  <c r="AJ25" i="10"/>
  <c r="Y26" i="10"/>
  <c r="E27" i="10"/>
  <c r="G28" i="10"/>
  <c r="H29" i="10"/>
  <c r="I30" i="10"/>
  <c r="G10" i="16"/>
  <c r="J12" i="16"/>
  <c r="C42" i="17"/>
  <c r="C37" i="17"/>
  <c r="C45" i="17"/>
  <c r="C36" i="17"/>
  <c r="Y2" i="10"/>
  <c r="E3" i="10"/>
  <c r="AH3" i="10"/>
  <c r="I4" i="10"/>
  <c r="C5" i="10"/>
  <c r="G6" i="10"/>
  <c r="AI6" i="10"/>
  <c r="AA8" i="10"/>
  <c r="H9" i="10"/>
  <c r="AJ9" i="10"/>
  <c r="Y10" i="10"/>
  <c r="E11" i="10"/>
  <c r="AH11" i="10"/>
  <c r="I12" i="10"/>
  <c r="C13" i="10"/>
  <c r="G14" i="10"/>
  <c r="AI14" i="10"/>
  <c r="AA16" i="10"/>
  <c r="H17" i="10"/>
  <c r="AJ17" i="10"/>
  <c r="Y18" i="10"/>
  <c r="E19" i="10"/>
  <c r="AH19" i="10"/>
  <c r="I20" i="10"/>
  <c r="C21" i="10"/>
  <c r="G22" i="10"/>
  <c r="AI22" i="10"/>
  <c r="E24" i="10"/>
  <c r="AH24" i="10"/>
  <c r="I25" i="10"/>
  <c r="G27" i="10"/>
  <c r="H28" i="10"/>
  <c r="I29" i="10"/>
  <c r="G54" i="10"/>
  <c r="C30" i="13"/>
  <c r="C43" i="17"/>
  <c r="AA26" i="10"/>
  <c r="H27" i="10"/>
  <c r="I28" i="10"/>
  <c r="C31" i="10"/>
  <c r="G31" i="10"/>
  <c r="C34" i="11"/>
  <c r="I11" i="16"/>
  <c r="K12" i="16"/>
  <c r="H11" i="16"/>
  <c r="G11" i="16" s="1"/>
  <c r="J16" i="20"/>
  <c r="K16" i="20" s="1"/>
  <c r="E2" i="21"/>
  <c r="F2" i="21" s="1"/>
  <c r="I3" i="21" s="1"/>
  <c r="F22" i="21"/>
  <c r="F20" i="21"/>
  <c r="F18" i="21"/>
  <c r="F16" i="21"/>
  <c r="F14" i="21"/>
  <c r="F12" i="21"/>
  <c r="F10" i="21"/>
  <c r="F8" i="21"/>
  <c r="F6" i="21"/>
  <c r="F4" i="21"/>
  <c r="F23" i="21"/>
  <c r="I4" i="21"/>
  <c r="F21" i="21"/>
  <c r="F19" i="21"/>
  <c r="F17" i="21"/>
  <c r="F15" i="21"/>
  <c r="F13" i="21"/>
  <c r="F11" i="21"/>
  <c r="F9" i="21"/>
  <c r="F7" i="21"/>
  <c r="F5" i="21"/>
  <c r="C31" i="20"/>
  <c r="C34" i="20" s="1"/>
  <c r="I17" i="20" s="1"/>
  <c r="J2" i="21"/>
  <c r="C73" i="11"/>
  <c r="C24" i="20"/>
  <c r="C26" i="20" s="1"/>
  <c r="L16" i="20" s="1"/>
  <c r="D54" i="10"/>
  <c r="C74" i="11"/>
  <c r="C41" i="20"/>
  <c r="C26" i="17"/>
  <c r="C16" i="19"/>
  <c r="G22" i="21" l="1"/>
  <c r="G20" i="21"/>
  <c r="G18" i="21"/>
  <c r="G16" i="21"/>
  <c r="G14" i="21"/>
  <c r="G12" i="21"/>
  <c r="G10" i="21"/>
  <c r="G8" i="21"/>
  <c r="G6" i="21"/>
  <c r="G4" i="21"/>
  <c r="G23" i="21"/>
  <c r="G21" i="21"/>
  <c r="G19" i="21"/>
  <c r="G17" i="21"/>
  <c r="G15" i="21"/>
  <c r="G13" i="21"/>
  <c r="G11" i="21"/>
  <c r="G9" i="21"/>
  <c r="G7" i="21"/>
  <c r="G5" i="21"/>
  <c r="J17" i="20"/>
  <c r="K17" i="20" s="1"/>
  <c r="M53" i="21"/>
  <c r="O53" i="21" s="1"/>
  <c r="F99" i="11"/>
  <c r="F91" i="11"/>
  <c r="F83" i="11"/>
  <c r="F96" i="11"/>
  <c r="F88" i="11"/>
  <c r="F80" i="11"/>
  <c r="F101" i="11"/>
  <c r="F93" i="11"/>
  <c r="F85" i="11"/>
  <c r="F98" i="11"/>
  <c r="F90" i="11"/>
  <c r="F82" i="11"/>
  <c r="F100" i="11"/>
  <c r="F92" i="11"/>
  <c r="F84" i="11"/>
  <c r="F102" i="11"/>
  <c r="F94" i="11"/>
  <c r="F86" i="11"/>
  <c r="F78" i="11"/>
  <c r="F89" i="11"/>
  <c r="F87" i="11"/>
  <c r="F97" i="11"/>
  <c r="F95" i="11"/>
  <c r="F81" i="11"/>
  <c r="F79" i="11"/>
  <c r="C33" i="18"/>
  <c r="C34" i="18"/>
  <c r="G39" i="8"/>
  <c r="G41" i="8"/>
  <c r="G40" i="8"/>
  <c r="H31" i="9"/>
  <c r="J25" i="9"/>
  <c r="I24" i="9"/>
  <c r="H23" i="9"/>
  <c r="J17" i="9"/>
  <c r="I16" i="9"/>
  <c r="H15" i="9"/>
  <c r="J28" i="9"/>
  <c r="I27" i="9"/>
  <c r="H26" i="9"/>
  <c r="J20" i="9"/>
  <c r="I19" i="9"/>
  <c r="H18" i="9"/>
  <c r="J12" i="9"/>
  <c r="I11" i="9"/>
  <c r="H10" i="9"/>
  <c r="J31" i="9"/>
  <c r="H24" i="9"/>
  <c r="I21" i="9"/>
  <c r="J18" i="9"/>
  <c r="J15" i="9"/>
  <c r="I31" i="9"/>
  <c r="I28" i="9"/>
  <c r="J22" i="9"/>
  <c r="H21" i="9"/>
  <c r="I18" i="9"/>
  <c r="I15" i="9"/>
  <c r="I12" i="9"/>
  <c r="H28" i="9"/>
  <c r="I25" i="9"/>
  <c r="I22" i="9"/>
  <c r="J19" i="9"/>
  <c r="H12" i="9"/>
  <c r="J29" i="9"/>
  <c r="H25" i="9"/>
  <c r="H22" i="9"/>
  <c r="H19" i="9"/>
  <c r="J16" i="9"/>
  <c r="J13" i="9"/>
  <c r="I29" i="9"/>
  <c r="J26" i="9"/>
  <c r="J23" i="9"/>
  <c r="H16" i="9"/>
  <c r="I13" i="9"/>
  <c r="J10" i="9"/>
  <c r="J30" i="9"/>
  <c r="H29" i="9"/>
  <c r="I26" i="9"/>
  <c r="I23" i="9"/>
  <c r="I20" i="9"/>
  <c r="J14" i="9"/>
  <c r="H13" i="9"/>
  <c r="I10" i="9"/>
  <c r="I30" i="9"/>
  <c r="J27" i="9"/>
  <c r="H20" i="9"/>
  <c r="I17" i="9"/>
  <c r="I14" i="9"/>
  <c r="J11" i="9"/>
  <c r="H30" i="9"/>
  <c r="H27" i="9"/>
  <c r="J24" i="9"/>
  <c r="J21" i="9"/>
  <c r="H17" i="9"/>
  <c r="H14" i="9"/>
  <c r="H11" i="9"/>
  <c r="D74" i="11"/>
  <c r="D72" i="11"/>
  <c r="D73" i="11"/>
  <c r="F72" i="11"/>
  <c r="H28" i="11"/>
  <c r="H20" i="11"/>
  <c r="H12" i="11"/>
  <c r="H25" i="11"/>
  <c r="H17" i="11"/>
  <c r="H9" i="11"/>
  <c r="H22" i="11"/>
  <c r="H14" i="11"/>
  <c r="H6" i="11"/>
  <c r="H27" i="11"/>
  <c r="H19" i="11"/>
  <c r="H11" i="11"/>
  <c r="H29" i="11"/>
  <c r="H21" i="11"/>
  <c r="H13" i="11"/>
  <c r="H5" i="11"/>
  <c r="H23" i="11"/>
  <c r="H15" i="11"/>
  <c r="H7" i="11"/>
  <c r="H8" i="11"/>
  <c r="H18" i="11"/>
  <c r="H16" i="11"/>
  <c r="H26" i="11"/>
  <c r="H24" i="11"/>
  <c r="H10" i="11"/>
  <c r="C72" i="11"/>
  <c r="D31" i="13"/>
  <c r="D30" i="13"/>
  <c r="D29" i="13"/>
  <c r="C29" i="13"/>
  <c r="G31" i="13"/>
  <c r="F26" i="11"/>
  <c r="F18" i="11"/>
  <c r="F10" i="11"/>
  <c r="F23" i="11"/>
  <c r="F15" i="11"/>
  <c r="F7" i="11"/>
  <c r="F28" i="11"/>
  <c r="F20" i="11"/>
  <c r="F12" i="11"/>
  <c r="F25" i="11"/>
  <c r="F17" i="11"/>
  <c r="F9" i="11"/>
  <c r="F27" i="11"/>
  <c r="F19" i="11"/>
  <c r="F11" i="11"/>
  <c r="F29" i="11"/>
  <c r="F21" i="11"/>
  <c r="F13" i="11"/>
  <c r="F5" i="11"/>
  <c r="F8" i="11"/>
  <c r="F6" i="11"/>
  <c r="F16" i="11"/>
  <c r="F14" i="11"/>
  <c r="F24" i="11"/>
  <c r="F22" i="11"/>
  <c r="H101" i="11"/>
  <c r="H93" i="11"/>
  <c r="H85" i="11"/>
  <c r="H98" i="11"/>
  <c r="H90" i="11"/>
  <c r="H82" i="11"/>
  <c r="H95" i="11"/>
  <c r="H87" i="11"/>
  <c r="H79" i="11"/>
  <c r="H100" i="11"/>
  <c r="H92" i="11"/>
  <c r="H84" i="11"/>
  <c r="H102" i="11"/>
  <c r="H94" i="11"/>
  <c r="H86" i="11"/>
  <c r="H78" i="11"/>
  <c r="H96" i="11"/>
  <c r="H88" i="11"/>
  <c r="H80" i="11"/>
  <c r="H99" i="11"/>
  <c r="H97" i="11"/>
  <c r="H83" i="11"/>
  <c r="H81" i="11"/>
  <c r="H91" i="11"/>
  <c r="H89" i="11"/>
  <c r="F26" i="9"/>
  <c r="F16" i="9"/>
  <c r="E42" i="5"/>
  <c r="E43" i="5" s="1"/>
  <c r="B56" i="5"/>
  <c r="B55" i="5" s="1"/>
  <c r="D42" i="5"/>
  <c r="D43" i="5" s="1"/>
  <c r="C54" i="5"/>
  <c r="B54" i="5"/>
  <c r="B53" i="5"/>
  <c r="H39" i="8"/>
  <c r="H40" i="8"/>
  <c r="H41" i="8"/>
  <c r="G25" i="13"/>
  <c r="G21" i="13"/>
  <c r="G17" i="13"/>
  <c r="G13" i="13"/>
  <c r="G9" i="13"/>
  <c r="G5" i="13"/>
  <c r="G26" i="13"/>
  <c r="G22" i="13"/>
  <c r="G18" i="13"/>
  <c r="G14" i="13"/>
  <c r="G10" i="13"/>
  <c r="G6" i="13"/>
  <c r="G23" i="13"/>
  <c r="G19" i="13"/>
  <c r="G15" i="13"/>
  <c r="G11" i="13"/>
  <c r="G7" i="13"/>
  <c r="G3" i="13"/>
  <c r="G24" i="13"/>
  <c r="G20" i="13"/>
  <c r="G16" i="13"/>
  <c r="G12" i="13"/>
  <c r="G8" i="13"/>
  <c r="G4" i="13"/>
  <c r="C30" i="18"/>
  <c r="C31" i="18"/>
  <c r="G65" i="11"/>
  <c r="G57" i="11"/>
  <c r="G49" i="11"/>
  <c r="G62" i="11"/>
  <c r="G54" i="11"/>
  <c r="G46" i="11"/>
  <c r="G67" i="11"/>
  <c r="G59" i="11"/>
  <c r="G51" i="11"/>
  <c r="G43" i="11"/>
  <c r="G64" i="11"/>
  <c r="G56" i="11"/>
  <c r="G48" i="11"/>
  <c r="G66" i="11"/>
  <c r="G58" i="11"/>
  <c r="G50" i="11"/>
  <c r="G60" i="11"/>
  <c r="G52" i="11"/>
  <c r="G44" i="11"/>
  <c r="G61" i="11"/>
  <c r="G47" i="11"/>
  <c r="G45" i="11"/>
  <c r="G55" i="11"/>
  <c r="G53" i="11"/>
  <c r="G63" i="11"/>
  <c r="F42" i="21"/>
  <c r="F40" i="21"/>
  <c r="F38" i="21"/>
  <c r="F36" i="21"/>
  <c r="F34" i="21"/>
  <c r="F32" i="21"/>
  <c r="F30" i="21"/>
  <c r="F28" i="21"/>
  <c r="E25" i="21"/>
  <c r="F25" i="21" s="1"/>
  <c r="J3" i="21" s="1"/>
  <c r="F43" i="21"/>
  <c r="F41" i="21"/>
  <c r="F39" i="21"/>
  <c r="F37" i="21"/>
  <c r="F35" i="21"/>
  <c r="F33" i="21"/>
  <c r="F31" i="21"/>
  <c r="F29" i="21"/>
  <c r="F27" i="21"/>
  <c r="F53" i="21"/>
  <c r="I53" i="21" s="1"/>
  <c r="F44" i="21"/>
  <c r="I12" i="16"/>
  <c r="G12" i="16" s="1"/>
  <c r="G23" i="11"/>
  <c r="G15" i="11"/>
  <c r="G7" i="11"/>
  <c r="G28" i="11"/>
  <c r="G20" i="11"/>
  <c r="G12" i="11"/>
  <c r="G25" i="11"/>
  <c r="G17" i="11"/>
  <c r="G9" i="11"/>
  <c r="G22" i="11"/>
  <c r="G14" i="11"/>
  <c r="G6" i="11"/>
  <c r="G24" i="11"/>
  <c r="G16" i="11"/>
  <c r="G8" i="11"/>
  <c r="G26" i="11"/>
  <c r="G18" i="11"/>
  <c r="G10" i="11"/>
  <c r="G19" i="11"/>
  <c r="G29" i="11"/>
  <c r="G27" i="11"/>
  <c r="G5" i="11"/>
  <c r="G13" i="11"/>
  <c r="G11" i="11"/>
  <c r="G21" i="11"/>
  <c r="E29" i="9"/>
  <c r="F22" i="9"/>
  <c r="F31" i="9"/>
  <c r="F11" i="9"/>
  <c r="F14" i="9"/>
  <c r="E20" i="9"/>
  <c r="E22" i="21"/>
  <c r="E20" i="21"/>
  <c r="E18" i="21"/>
  <c r="E16" i="21"/>
  <c r="E14" i="21"/>
  <c r="E12" i="21"/>
  <c r="E10" i="21"/>
  <c r="E8" i="21"/>
  <c r="E6" i="21"/>
  <c r="E4" i="21"/>
  <c r="E23" i="21"/>
  <c r="E21" i="21"/>
  <c r="E19" i="21"/>
  <c r="E17" i="21"/>
  <c r="E15" i="21"/>
  <c r="E13" i="21"/>
  <c r="E11" i="21"/>
  <c r="E9" i="21"/>
  <c r="E7" i="21"/>
  <c r="E5" i="21"/>
  <c r="C44" i="17"/>
  <c r="C46" i="17" s="1"/>
  <c r="G96" i="11"/>
  <c r="G88" i="11"/>
  <c r="G80" i="11"/>
  <c r="G101" i="11"/>
  <c r="G93" i="11"/>
  <c r="G85" i="11"/>
  <c r="G98" i="11"/>
  <c r="G90" i="11"/>
  <c r="G82" i="11"/>
  <c r="G95" i="11"/>
  <c r="G87" i="11"/>
  <c r="G79" i="11"/>
  <c r="G97" i="11"/>
  <c r="G89" i="11"/>
  <c r="G81" i="11"/>
  <c r="G99" i="11"/>
  <c r="G91" i="11"/>
  <c r="G83" i="11"/>
  <c r="G78" i="11"/>
  <c r="G86" i="11"/>
  <c r="G84" i="11"/>
  <c r="G94" i="11"/>
  <c r="G92" i="11"/>
  <c r="G102" i="11"/>
  <c r="G100" i="11"/>
  <c r="C28" i="18"/>
  <c r="C27" i="18"/>
  <c r="C32" i="20"/>
  <c r="K3" i="21"/>
  <c r="F25" i="9"/>
  <c r="E11" i="9"/>
  <c r="E14" i="9"/>
  <c r="F17" i="9"/>
  <c r="E23" i="9"/>
  <c r="F21" i="9"/>
  <c r="F60" i="11"/>
  <c r="F52" i="11"/>
  <c r="F44" i="11"/>
  <c r="F65" i="11"/>
  <c r="F57" i="11"/>
  <c r="F49" i="11"/>
  <c r="F62" i="11"/>
  <c r="F54" i="11"/>
  <c r="F46" i="11"/>
  <c r="F67" i="11"/>
  <c r="F59" i="11"/>
  <c r="F51" i="11"/>
  <c r="F43" i="11"/>
  <c r="F61" i="11"/>
  <c r="F53" i="11"/>
  <c r="F45" i="11"/>
  <c r="F63" i="11"/>
  <c r="F55" i="11"/>
  <c r="F47" i="11"/>
  <c r="F50" i="11"/>
  <c r="F48" i="11"/>
  <c r="F58" i="11"/>
  <c r="F56" i="11"/>
  <c r="F66" i="11"/>
  <c r="F64" i="11"/>
  <c r="F24" i="13"/>
  <c r="F20" i="13"/>
  <c r="F16" i="13"/>
  <c r="F12" i="13"/>
  <c r="F8" i="13"/>
  <c r="F4" i="13"/>
  <c r="F25" i="13"/>
  <c r="F21" i="13"/>
  <c r="F17" i="13"/>
  <c r="F13" i="13"/>
  <c r="F9" i="13"/>
  <c r="F5" i="13"/>
  <c r="F23" i="13"/>
  <c r="F7" i="13"/>
  <c r="F22" i="13"/>
  <c r="F6" i="13"/>
  <c r="F11" i="13"/>
  <c r="F26" i="13"/>
  <c r="F10" i="13"/>
  <c r="F15" i="13"/>
  <c r="F14" i="13"/>
  <c r="F19" i="13"/>
  <c r="F3" i="13"/>
  <c r="F18" i="13"/>
  <c r="C48" i="3"/>
  <c r="C46" i="3"/>
  <c r="C29" i="17"/>
  <c r="C27" i="17"/>
  <c r="F10" i="9"/>
  <c r="E16" i="9"/>
  <c r="E22" i="9"/>
  <c r="E26" i="9"/>
  <c r="G43" i="21" l="1"/>
  <c r="G41" i="21"/>
  <c r="G39" i="21"/>
  <c r="G37" i="21"/>
  <c r="G35" i="21"/>
  <c r="G33" i="21"/>
  <c r="G31" i="21"/>
  <c r="G29" i="21"/>
  <c r="G27" i="21"/>
  <c r="G44" i="21"/>
  <c r="G42" i="21"/>
  <c r="G40" i="21"/>
  <c r="G38" i="21"/>
  <c r="G36" i="21"/>
  <c r="G34" i="21"/>
  <c r="G32" i="21"/>
  <c r="G30" i="21"/>
  <c r="G28" i="21"/>
  <c r="O36" i="8"/>
  <c r="O32" i="8"/>
  <c r="O28" i="8"/>
  <c r="O24" i="8"/>
  <c r="O20" i="8"/>
  <c r="O16" i="8"/>
  <c r="O12" i="8"/>
  <c r="O8" i="8"/>
  <c r="O37" i="8"/>
  <c r="O33" i="8"/>
  <c r="O29" i="8"/>
  <c r="O25" i="8"/>
  <c r="O21" i="8"/>
  <c r="O17" i="8"/>
  <c r="O13" i="8"/>
  <c r="O9" i="8"/>
  <c r="O34" i="8"/>
  <c r="O30" i="8"/>
  <c r="O26" i="8"/>
  <c r="O22" i="8"/>
  <c r="O18" i="8"/>
  <c r="O14" i="8"/>
  <c r="O10" i="8"/>
  <c r="O35" i="8"/>
  <c r="O31" i="8"/>
  <c r="O27" i="8"/>
  <c r="O23" i="8"/>
  <c r="O19" i="8"/>
  <c r="O15" i="8"/>
  <c r="O11" i="8"/>
  <c r="J26" i="13"/>
  <c r="J22" i="13"/>
  <c r="J18" i="13"/>
  <c r="J14" i="13"/>
  <c r="J10" i="13"/>
  <c r="J6" i="13"/>
  <c r="J23" i="13"/>
  <c r="J19" i="13"/>
  <c r="J15" i="13"/>
  <c r="J11" i="13"/>
  <c r="J7" i="13"/>
  <c r="J3" i="13"/>
  <c r="J24" i="13"/>
  <c r="J20" i="13"/>
  <c r="J16" i="13"/>
  <c r="J12" i="13"/>
  <c r="J8" i="13"/>
  <c r="J4" i="13"/>
  <c r="J25" i="13"/>
  <c r="J21" i="13"/>
  <c r="J17" i="13"/>
  <c r="J13" i="13"/>
  <c r="J9" i="13"/>
  <c r="J5" i="13"/>
  <c r="N35" i="8"/>
  <c r="N31" i="8"/>
  <c r="N27" i="8"/>
  <c r="N23" i="8"/>
  <c r="N19" i="8"/>
  <c r="N15" i="8"/>
  <c r="N11" i="8"/>
  <c r="N36" i="8"/>
  <c r="N32" i="8"/>
  <c r="N28" i="8"/>
  <c r="N24" i="8"/>
  <c r="N20" i="8"/>
  <c r="N16" i="8"/>
  <c r="N12" i="8"/>
  <c r="N8" i="8"/>
  <c r="N37" i="8"/>
  <c r="N33" i="8"/>
  <c r="N29" i="8"/>
  <c r="N25" i="8"/>
  <c r="N21" i="8"/>
  <c r="N17" i="8"/>
  <c r="N13" i="8"/>
  <c r="N9" i="8"/>
  <c r="N34" i="8"/>
  <c r="N30" i="8"/>
  <c r="N26" i="8"/>
  <c r="N22" i="8"/>
  <c r="N18" i="8"/>
  <c r="N14" i="8"/>
  <c r="N10" i="8"/>
  <c r="H62" i="11"/>
  <c r="H54" i="11"/>
  <c r="H46" i="11"/>
  <c r="H67" i="11"/>
  <c r="H59" i="11"/>
  <c r="H51" i="11"/>
  <c r="H43" i="11"/>
  <c r="H64" i="11"/>
  <c r="H56" i="11"/>
  <c r="H48" i="11"/>
  <c r="H61" i="11"/>
  <c r="H53" i="11"/>
  <c r="H45" i="11"/>
  <c r="H63" i="11"/>
  <c r="H55" i="11"/>
  <c r="H47" i="11"/>
  <c r="H65" i="11"/>
  <c r="H57" i="11"/>
  <c r="H49" i="11"/>
  <c r="H50" i="11"/>
  <c r="H60" i="11"/>
  <c r="H58" i="11"/>
  <c r="H66" i="11"/>
  <c r="H44" i="11"/>
  <c r="H52" i="11"/>
  <c r="L34" i="8"/>
  <c r="L30" i="8"/>
  <c r="L26" i="8"/>
  <c r="L22" i="8"/>
  <c r="L18" i="8"/>
  <c r="L14" i="8"/>
  <c r="L10" i="8"/>
  <c r="L35" i="8"/>
  <c r="L31" i="8"/>
  <c r="L27" i="8"/>
  <c r="L23" i="8"/>
  <c r="L19" i="8"/>
  <c r="L15" i="8"/>
  <c r="L11" i="8"/>
  <c r="L36" i="8"/>
  <c r="L32" i="8"/>
  <c r="L28" i="8"/>
  <c r="L24" i="8"/>
  <c r="L20" i="8"/>
  <c r="L16" i="8"/>
  <c r="L12" i="8"/>
  <c r="L8" i="8"/>
  <c r="L37" i="8"/>
  <c r="L33" i="8"/>
  <c r="L29" i="8"/>
  <c r="L25" i="8"/>
  <c r="L21" i="8"/>
  <c r="L17" i="8"/>
  <c r="L13" i="8"/>
  <c r="L9" i="8"/>
  <c r="J4" i="21"/>
  <c r="M35" i="8"/>
  <c r="M31" i="8"/>
  <c r="M27" i="8"/>
  <c r="M23" i="8"/>
  <c r="M19" i="8"/>
  <c r="M15" i="8"/>
  <c r="M11" i="8"/>
  <c r="M36" i="8"/>
  <c r="M32" i="8"/>
  <c r="M28" i="8"/>
  <c r="M24" i="8"/>
  <c r="M20" i="8"/>
  <c r="M16" i="8"/>
  <c r="M12" i="8"/>
  <c r="M8" i="8"/>
  <c r="M37" i="8"/>
  <c r="M33" i="8"/>
  <c r="M29" i="8"/>
  <c r="M25" i="8"/>
  <c r="M21" i="8"/>
  <c r="M17" i="8"/>
  <c r="M13" i="8"/>
  <c r="M9" i="8"/>
  <c r="M34" i="8"/>
  <c r="M30" i="8"/>
  <c r="M26" i="8"/>
  <c r="M22" i="8"/>
  <c r="M18" i="8"/>
  <c r="M14" i="8"/>
  <c r="M10" i="8"/>
  <c r="K34" i="8"/>
  <c r="K30" i="8"/>
  <c r="K26" i="8"/>
  <c r="K22" i="8"/>
  <c r="K18" i="8"/>
  <c r="K14" i="8"/>
  <c r="K10" i="8"/>
  <c r="K35" i="8"/>
  <c r="K31" i="8"/>
  <c r="K27" i="8"/>
  <c r="K23" i="8"/>
  <c r="K19" i="8"/>
  <c r="K15" i="8"/>
  <c r="K11" i="8"/>
  <c r="K36" i="8"/>
  <c r="K32" i="8"/>
  <c r="K28" i="8"/>
  <c r="K24" i="8"/>
  <c r="K20" i="8"/>
  <c r="K16" i="8"/>
  <c r="K12" i="8"/>
  <c r="K8" i="8"/>
  <c r="K37" i="8"/>
  <c r="K33" i="8"/>
  <c r="K29" i="8"/>
  <c r="K25" i="8"/>
  <c r="K21" i="8"/>
  <c r="K17" i="8"/>
  <c r="K13" i="8"/>
  <c r="K9" i="8"/>
  <c r="C33" i="20"/>
  <c r="C35" i="20" s="1"/>
  <c r="L17" i="20" s="1"/>
  <c r="C33" i="13"/>
  <c r="C36" i="13"/>
  <c r="E36" i="13" s="1"/>
  <c r="F36" i="13" s="1"/>
  <c r="C35" i="13" s="1"/>
  <c r="D34" i="13"/>
  <c r="C34" i="13" s="1"/>
  <c r="E34" i="13"/>
  <c r="E45" i="5"/>
  <c r="H25" i="13"/>
  <c r="H21" i="13"/>
  <c r="H17" i="13"/>
  <c r="H13" i="13"/>
  <c r="H9" i="13"/>
  <c r="H5" i="13"/>
  <c r="H26" i="13"/>
  <c r="H22" i="13"/>
  <c r="H18" i="13"/>
  <c r="H14" i="13"/>
  <c r="H10" i="13"/>
  <c r="H6" i="13"/>
  <c r="H12" i="13"/>
  <c r="H11" i="13"/>
  <c r="H16" i="13"/>
  <c r="H15" i="13"/>
  <c r="H20" i="13"/>
  <c r="H4" i="13"/>
  <c r="H19" i="13"/>
  <c r="H3" i="13"/>
  <c r="H24" i="13"/>
  <c r="H8" i="13"/>
  <c r="H23" i="13"/>
  <c r="H7" i="13"/>
  <c r="I54" i="21"/>
  <c r="L23" i="13"/>
  <c r="L19" i="13"/>
  <c r="L15" i="13"/>
  <c r="L11" i="13"/>
  <c r="L7" i="13"/>
  <c r="L3" i="13"/>
  <c r="L24" i="13"/>
  <c r="L20" i="13"/>
  <c r="L16" i="13"/>
  <c r="L12" i="13"/>
  <c r="L8" i="13"/>
  <c r="L4" i="13"/>
  <c r="L25" i="13"/>
  <c r="L21" i="13"/>
  <c r="L17" i="13"/>
  <c r="L13" i="13"/>
  <c r="L9" i="13"/>
  <c r="L5" i="13"/>
  <c r="L26" i="13"/>
  <c r="L22" i="13"/>
  <c r="L18" i="13"/>
  <c r="L14" i="13"/>
  <c r="L10" i="13"/>
  <c r="L6" i="13"/>
  <c r="P36" i="8"/>
  <c r="P32" i="8"/>
  <c r="P28" i="8"/>
  <c r="P24" i="8"/>
  <c r="P20" i="8"/>
  <c r="P16" i="8"/>
  <c r="P12" i="8"/>
  <c r="P8" i="8"/>
  <c r="P37" i="8"/>
  <c r="P33" i="8"/>
  <c r="P29" i="8"/>
  <c r="P25" i="8"/>
  <c r="P21" i="8"/>
  <c r="P17" i="8"/>
  <c r="P13" i="8"/>
  <c r="P9" i="8"/>
  <c r="P34" i="8"/>
  <c r="P30" i="8"/>
  <c r="P26" i="8"/>
  <c r="P22" i="8"/>
  <c r="P18" i="8"/>
  <c r="P14" i="8"/>
  <c r="P10" i="8"/>
  <c r="P35" i="8"/>
  <c r="P31" i="8"/>
  <c r="P27" i="8"/>
  <c r="P23" i="8"/>
  <c r="P19" i="8"/>
  <c r="P15" i="8"/>
  <c r="P11" i="8"/>
  <c r="K26" i="13"/>
  <c r="K22" i="13"/>
  <c r="K18" i="13"/>
  <c r="K14" i="13"/>
  <c r="K10" i="13"/>
  <c r="K6" i="13"/>
  <c r="K23" i="13"/>
  <c r="K19" i="13"/>
  <c r="K15" i="13"/>
  <c r="K11" i="13"/>
  <c r="K7" i="13"/>
  <c r="K3" i="13"/>
  <c r="K17" i="13"/>
  <c r="K16" i="13"/>
  <c r="K21" i="13"/>
  <c r="K5" i="13"/>
  <c r="K20" i="13"/>
  <c r="K4" i="13"/>
  <c r="K25" i="13"/>
  <c r="K9" i="13"/>
  <c r="K24" i="13"/>
  <c r="K8" i="13"/>
  <c r="K13" i="13"/>
  <c r="K12" i="13"/>
  <c r="E44" i="21" l="1"/>
  <c r="E42" i="21"/>
  <c r="E40" i="21"/>
  <c r="E38" i="21"/>
  <c r="E36" i="21"/>
  <c r="E34" i="21"/>
  <c r="E32" i="21"/>
  <c r="E30" i="21"/>
  <c r="E28" i="21"/>
  <c r="E43" i="21"/>
  <c r="E41" i="21"/>
  <c r="E39" i="21"/>
  <c r="E37" i="21"/>
  <c r="E35" i="21"/>
  <c r="E33" i="21"/>
  <c r="E31" i="21"/>
  <c r="E29" i="21"/>
  <c r="E27" i="21"/>
</calcChain>
</file>

<file path=xl/sharedStrings.xml><?xml version="1.0" encoding="utf-8"?>
<sst xmlns="http://schemas.openxmlformats.org/spreadsheetml/2006/main" count="621" uniqueCount="283">
  <si>
    <t>Trabajador</t>
  </si>
  <si>
    <t>Operaciones</t>
  </si>
  <si>
    <t>c</t>
  </si>
  <si>
    <t>LCS</t>
  </si>
  <si>
    <t>LCI</t>
  </si>
  <si>
    <t xml:space="preserve">El octavo trabajdor realiza pocas operaciones en comparación a sus compañeros.  De hecho a partir del 6 al 14 empleado </t>
  </si>
  <si>
    <t>hay mucha diferencia en el número de operaciones que llevan a cabo los empleados.  Se debería de estándarizar un poco más</t>
  </si>
  <si>
    <t>las responsabilidades.</t>
  </si>
  <si>
    <t>Rango Móvil</t>
  </si>
  <si>
    <t>R =</t>
  </si>
  <si>
    <t>LCC</t>
  </si>
  <si>
    <r>
      <t>D</t>
    </r>
    <r>
      <rPr>
        <sz val="8"/>
        <rFont val="Arial"/>
        <family val="2"/>
      </rPr>
      <t>4</t>
    </r>
    <r>
      <rPr>
        <sz val="12"/>
        <color theme="1"/>
        <rFont val="Calibri"/>
        <family val="2"/>
        <scheme val="minor"/>
      </rPr>
      <t xml:space="preserve"> =</t>
    </r>
  </si>
  <si>
    <r>
      <t>D</t>
    </r>
    <r>
      <rPr>
        <sz val="8"/>
        <rFont val="Arial"/>
        <family val="2"/>
      </rPr>
      <t>3</t>
    </r>
    <r>
      <rPr>
        <sz val="12"/>
        <color theme="1"/>
        <rFont val="Calibri"/>
        <family val="2"/>
        <scheme val="minor"/>
      </rPr>
      <t xml:space="preserve"> =</t>
    </r>
  </si>
  <si>
    <t>Con ambos gráficos se llega a la misma conclusión.  Hay una gran variabilidad en el número de operaciones que deben de hacer los empleados.</t>
  </si>
  <si>
    <t>No sería conveniente quitar los estándares de trabajo, en su lugar hay que reoganizarlos para que el trabajo sea más equitativo. Una opción</t>
  </si>
  <si>
    <t>sería estándarizar no el puesto de trabajo, sino más bien el flujo de las operaciones y trabajar con empléados polivalentes (JIT).</t>
  </si>
  <si>
    <t>La gráfica de individuales me permite observar las diferencias importantes que hay viendo el gráfico de intervalos.</t>
  </si>
  <si>
    <t>a)</t>
  </si>
  <si>
    <t>b)</t>
  </si>
  <si>
    <t>c)</t>
  </si>
  <si>
    <t>d)</t>
  </si>
  <si>
    <t xml:space="preserve">       Límites Fijos</t>
  </si>
  <si>
    <t xml:space="preserve">   Límites Variables</t>
  </si>
  <si>
    <t>Lote</t>
  </si>
  <si>
    <t>Tamaño</t>
  </si>
  <si>
    <t>Defectos</t>
  </si>
  <si>
    <t>U</t>
  </si>
  <si>
    <t>UCL</t>
  </si>
  <si>
    <t>LCL</t>
  </si>
  <si>
    <t>Promedio</t>
  </si>
  <si>
    <t>USL</t>
  </si>
  <si>
    <t>CSL</t>
  </si>
  <si>
    <t>LSL</t>
  </si>
  <si>
    <t>m</t>
  </si>
  <si>
    <t>Rango</t>
  </si>
  <si>
    <t>A2</t>
  </si>
  <si>
    <t>D4</t>
  </si>
  <si>
    <t>D3</t>
  </si>
  <si>
    <t>d2</t>
  </si>
  <si>
    <t>a) Defectuosos</t>
  </si>
  <si>
    <t>Sigma</t>
  </si>
  <si>
    <t>Z2</t>
  </si>
  <si>
    <t>Z1</t>
  </si>
  <si>
    <t>LSC</t>
  </si>
  <si>
    <t>LIC</t>
  </si>
  <si>
    <t>Total</t>
  </si>
  <si>
    <t>b) Inestabilidad</t>
  </si>
  <si>
    <t>St</t>
  </si>
  <si>
    <t>c) Capacidad</t>
  </si>
  <si>
    <t>Cp</t>
  </si>
  <si>
    <t>Cpk</t>
  </si>
  <si>
    <t>Cpm</t>
  </si>
  <si>
    <t>Tau</t>
  </si>
  <si>
    <t>d) Estado del proceso</t>
  </si>
  <si>
    <t>A pesar del porcentaje bajo de defectuosos el proceso no está bajo control estadístico</t>
  </si>
  <si>
    <t>se tiene problemas de capacidad, estabilidad y variabilidad</t>
  </si>
  <si>
    <t>e) Mejorar capacidad o estabilidad?</t>
  </si>
  <si>
    <t>Se debe mejorar en todos los aspectos, controlar mejor materia prima, más entrenamiento</t>
  </si>
  <si>
    <t>mejores métodos de trabajo y más calibración del equipo</t>
  </si>
  <si>
    <t>Causas asignables</t>
  </si>
  <si>
    <t>Puntos graficados</t>
  </si>
  <si>
    <t>A pesar del porcentaje bajo de defectuosos el proceso no está bajo control estadístico se tiene una leve causa asignable</t>
  </si>
  <si>
    <t>No tenemos problemas de capacidad tenemos un brinco en el proceso que se debe analizar, pero no es algo grave</t>
  </si>
  <si>
    <t>Se debe de tratar de llegar a un Cp de 1.33, tratar de centrar el proceso y eliminar la única causa asignable</t>
  </si>
  <si>
    <t>A pesar de que todos los indicadores de capacidad indican que el proceso es altamente capaz, aparenta no tener</t>
    <phoneticPr fontId="0"/>
  </si>
  <si>
    <t>causas asignables y cero defectos la realidad es que está ocurriendo el patrón 5 falta de variabilidad, probablemente</t>
    <phoneticPr fontId="0"/>
  </si>
  <si>
    <t>causado por el empleado nuevo y una incorrecta inducción en el proceso de toma de muestras.</t>
    <phoneticPr fontId="0"/>
  </si>
  <si>
    <t>No queda más que repetir todo el proceso de control la próxima semana con el cuidado de una toma de muestras adecuada!</t>
    <phoneticPr fontId="0"/>
  </si>
  <si>
    <t>Especificación</t>
  </si>
  <si>
    <t>LCS =</t>
  </si>
  <si>
    <t>LCC =</t>
  </si>
  <si>
    <t>LCI =</t>
  </si>
  <si>
    <t>Sub grupo</t>
    <phoneticPr fontId="3" type="noConversion"/>
  </si>
  <si>
    <t>Peso de las latas en gramos escurridos</t>
  </si>
  <si>
    <t>Media</t>
  </si>
  <si>
    <t>Máquina 1</t>
  </si>
  <si>
    <t>Máquina 2</t>
  </si>
  <si>
    <t>A2 =</t>
  </si>
  <si>
    <t>D3 =</t>
  </si>
  <si>
    <t>D4 =</t>
  </si>
  <si>
    <t xml:space="preserve">Ocurre el patrón 5 </t>
    <phoneticPr fontId="3" type="noConversion"/>
  </si>
  <si>
    <t>Agrupamiento en una misma muestra a datos provenientes de universos con medias bastantes diferentes que al combinarse se compensan unas con otras.</t>
    <phoneticPr fontId="3" type="noConversion"/>
  </si>
  <si>
    <t xml:space="preserve">fuerte para controlarlo y después calcular nuevamente su capacidad. </t>
    <phoneticPr fontId="3" type="noConversion"/>
  </si>
  <si>
    <t xml:space="preserve">No es conveniente porque las gráfica p y no son cartas para controlar la proporción de defectos en un lote y en este caso lo que se </t>
  </si>
  <si>
    <t>quiere controlar son la cantidad de defectos por pieza por lo cual es conveniente utilizar una carta u o una carta c</t>
  </si>
  <si>
    <t xml:space="preserve">       Límites Carta U</t>
  </si>
  <si>
    <t xml:space="preserve">   Límites Carta c</t>
  </si>
  <si>
    <t>CCL</t>
  </si>
  <si>
    <t>Carta u</t>
  </si>
  <si>
    <t>u</t>
  </si>
  <si>
    <t>Carta c</t>
  </si>
  <si>
    <t>Rugosidades por pieza después del diseño de experiementos</t>
  </si>
  <si>
    <t>n</t>
  </si>
  <si>
    <t>Dfectos</t>
  </si>
  <si>
    <t>Si surtío efecto, las rugosidades promedio por pieza bajaron a casi una tercera parte de lo que se tenía al inicio.</t>
  </si>
  <si>
    <t>Hora</t>
  </si>
  <si>
    <t>USL Esp.</t>
  </si>
  <si>
    <t>CSL Esp.</t>
  </si>
  <si>
    <t>LSL Esp.</t>
  </si>
  <si>
    <t>Defectuosas</t>
  </si>
  <si>
    <t>Solo con Roberto</t>
  </si>
  <si>
    <t xml:space="preserve">Parece que hay problemas de capacidad y estabilidad pero los índices están cerca de superar el 1 por lo que el </t>
  </si>
  <si>
    <t>proceso no es fuertemente incapaz, pero si está tirado levemente hacia el límite superior</t>
  </si>
  <si>
    <t>e)En dónde está el problema?</t>
  </si>
  <si>
    <t xml:space="preserve">Parece ser que el problema se da en las horas de almuerzo y café, todo indica que falta capacitar mejor </t>
  </si>
  <si>
    <t>a Caludio ya que la gráfica con límites especificados indica que Roberto hace muy bien su trabajo, sería</t>
  </si>
  <si>
    <t>bueno ver la variabiliad solo cuando está trabajando Roberto, para determinar el efecto verdadero en los índices de capacidad.</t>
  </si>
  <si>
    <t>Intervalo</t>
  </si>
  <si>
    <t>Gráfica de promedios</t>
    <phoneticPr fontId="0" type="noConversion"/>
  </si>
  <si>
    <t>Subgrupo</t>
    <phoneticPr fontId="0" type="noConversion"/>
  </si>
  <si>
    <t>Horas</t>
  </si>
  <si>
    <t>Rango Móvil</t>
    <phoneticPr fontId="0" type="noConversion"/>
  </si>
  <si>
    <t>LCL</t>
    <phoneticPr fontId="0" type="noConversion"/>
  </si>
  <si>
    <t>CCL</t>
    <phoneticPr fontId="0" type="noConversion"/>
  </si>
  <si>
    <t>UCL</t>
    <phoneticPr fontId="0" type="noConversion"/>
  </si>
  <si>
    <r>
      <t>D</t>
    </r>
    <r>
      <rPr>
        <vertAlign val="subscript"/>
        <sz val="10"/>
        <rFont val="Verdana"/>
        <family val="2"/>
      </rPr>
      <t xml:space="preserve">4 </t>
    </r>
    <r>
      <rPr>
        <sz val="12"/>
        <color theme="1"/>
        <rFont val="Calibri"/>
        <family val="2"/>
        <scheme val="minor"/>
      </rPr>
      <t xml:space="preserve"> =</t>
    </r>
  </si>
  <si>
    <r>
      <t>D</t>
    </r>
    <r>
      <rPr>
        <vertAlign val="subscript"/>
        <sz val="10"/>
        <rFont val="Verdana"/>
        <family val="2"/>
      </rPr>
      <t xml:space="preserve">3  </t>
    </r>
    <r>
      <rPr>
        <sz val="12"/>
        <color theme="1"/>
        <rFont val="Calibri"/>
        <family val="2"/>
        <scheme val="minor"/>
      </rPr>
      <t>=</t>
    </r>
  </si>
  <si>
    <t>Especificación</t>
    <phoneticPr fontId="0" type="noConversion"/>
  </si>
  <si>
    <r>
      <t>d</t>
    </r>
    <r>
      <rPr>
        <vertAlign val="subscript"/>
        <sz val="10"/>
        <rFont val="Verdana"/>
        <family val="2"/>
      </rPr>
      <t xml:space="preserve">2 </t>
    </r>
    <r>
      <rPr>
        <sz val="12"/>
        <color theme="1"/>
        <rFont val="Calibri"/>
        <family val="2"/>
        <scheme val="minor"/>
      </rPr>
      <t xml:space="preserve"> =</t>
    </r>
  </si>
  <si>
    <t>σ =</t>
    <phoneticPr fontId="0" type="noConversion"/>
  </si>
  <si>
    <t>Respuesta</t>
  </si>
  <si>
    <t>Todo parece indicar que es en la tercera empresa en donde han estado haciendo esfuerzos para mejorar los procesos de mantenimiento y por ello se observa claramente un mejor desempeño en tiempo productivo y una clara tendencia hacia la baja en las horas caídas en las últimas semanas.</t>
  </si>
  <si>
    <t># Muestra</t>
  </si>
  <si>
    <t># defectos</t>
  </si>
  <si>
    <t>Sum</t>
  </si>
  <si>
    <t>Average</t>
  </si>
  <si>
    <t>a. Ambas gráficas son idénticas al ser el tamaño de muestra constante.</t>
  </si>
  <si>
    <t>b. En este caso es preferible la c pues la muestra es igual.</t>
  </si>
  <si>
    <t>c. Se recomiendan 4.</t>
  </si>
  <si>
    <t>d. El análisis de datos indicó que el proceso no está cumpliendo con la calidad especificada.</t>
  </si>
  <si>
    <t>Gráfica de promedios</t>
    <phoneticPr fontId="0" type="noConversion"/>
  </si>
  <si>
    <t>Gráfica de Intervalos</t>
    <phoneticPr fontId="0" type="noConversion"/>
  </si>
  <si>
    <t>Subgrupo</t>
    <phoneticPr fontId="0" type="noConversion"/>
  </si>
  <si>
    <t>Temperatura</t>
    <phoneticPr fontId="0" type="noConversion"/>
  </si>
  <si>
    <t>Rango Móvil</t>
    <phoneticPr fontId="0" type="noConversion"/>
  </si>
  <si>
    <t>LCL</t>
    <phoneticPr fontId="0" type="noConversion"/>
  </si>
  <si>
    <t>CCL</t>
    <phoneticPr fontId="0" type="noConversion"/>
  </si>
  <si>
    <t>UCL</t>
    <phoneticPr fontId="0" type="noConversion"/>
  </si>
  <si>
    <t>Límites</t>
  </si>
  <si>
    <t>Promedios</t>
  </si>
  <si>
    <t>Rango móvil</t>
  </si>
  <si>
    <t>Especificación</t>
    <phoneticPr fontId="0" type="noConversion"/>
  </si>
  <si>
    <t>σ =</t>
    <phoneticPr fontId="0" type="noConversion"/>
  </si>
  <si>
    <t>t</t>
  </si>
  <si>
    <r>
      <rPr>
        <b/>
        <sz val="10"/>
        <color rgb="FFFF0000"/>
        <rFont val="Verdana"/>
        <family val="2"/>
      </rPr>
      <t xml:space="preserve">R/ </t>
    </r>
    <r>
      <rPr>
        <sz val="12"/>
        <color theme="1"/>
        <rFont val="Calibri"/>
        <family val="2"/>
        <scheme val="minor"/>
      </rPr>
      <t>En la carta de rangos móviles podemos observar que la temperatura en el horno estuvo en control estadistico en cuanto a la variabilidad, las diferencias entre las temperaturas de una hora a otra estuvieron fluctuando de manera estable entre 0 y 7.2 grados centígrados.  Analizando los índices de capacidad podemos ver que el proceso no está centrado, no se cumplen con las especificaciones superiores y la media del proceso tiende hacia el límite superior.  Al relacionar los resultados del CP y Cpk con la gráfica de individuales se concluye que la falta de mantenimiento del horno hace que las temperaturas a las que trabaja son superiores a las necesarias y con el tiempo superan el límmite superior de la especificación, en la gráfica a partir de la muestra 18 se oberva claramente esta tendencia.</t>
    </r>
  </si>
  <si>
    <t>a y b) Se puede observar que el proceso no está bajo control ya que la muestra 8 supera el límite superior. No se logra alcanzar la meta propuesta de defectos por teléfono.</t>
  </si>
  <si>
    <t>c) Si se elimina la causa asignable y se recalcula la carta podemos ver que el proceso quedaría bajo control estadístico y a su vez se alcanzaría la meta propuesta de 1.5 defectos por teléfono.</t>
  </si>
  <si>
    <t>Muestra</t>
  </si>
  <si>
    <t>Artículos defectuosos</t>
  </si>
  <si>
    <t>El proceso se observa bajo control estadístico</t>
  </si>
  <si>
    <t>El estimado de la proporción defectuosa es de 0.0513 por lo que no se cumple la meta.</t>
  </si>
  <si>
    <t>Sub Grupo</t>
  </si>
  <si>
    <t>LSE</t>
  </si>
  <si>
    <t>σ</t>
  </si>
  <si>
    <t xml:space="preserve">     A</t>
  </si>
  <si>
    <t>B</t>
  </si>
  <si>
    <t>LCE</t>
  </si>
  <si>
    <t>LIE</t>
  </si>
  <si>
    <t>Cp =</t>
  </si>
  <si>
    <t xml:space="preserve">     C</t>
  </si>
  <si>
    <t>D</t>
  </si>
  <si>
    <t>Cpk = min</t>
  </si>
  <si>
    <t>Cpm =</t>
  </si>
  <si>
    <t>t=</t>
  </si>
  <si>
    <t>St =</t>
  </si>
  <si>
    <t>Observando las gráficas el proceso aparenta estar bajo control estadístico.  Sin embargo, los índices nos indican lo contrario y son contradictorios los índices de capacidad con lo que indica el índice de estabilidad y las cartas.  Esto se debe a la alta variabilidad en los rangos a partir de la muestra 11, se necesita tener las observaciones originales para ver si debido a esta variabilidad hay valores que caen fuera de especificaciones ya que los promedios no lo hacen, pero con una variabilidad tan alta no se puede asegurar que no haya productos que no cumplan con especificaciones y así nos lo indica el Cpk.  Se recomienda tomar más muestras para poder concluir.</t>
  </si>
  <si>
    <t>Subgrupos</t>
    <phoneticPr fontId="6" type="noConversion"/>
  </si>
  <si>
    <t>n</t>
    <phoneticPr fontId="6" type="noConversion"/>
  </si>
  <si>
    <t>Límites del proceso</t>
    <phoneticPr fontId="6" type="noConversion"/>
  </si>
  <si>
    <t>Promedio</t>
    <phoneticPr fontId="6" type="noConversion"/>
  </si>
  <si>
    <t>mm</t>
    <phoneticPr fontId="6" type="noConversion"/>
  </si>
  <si>
    <t>R promedio</t>
    <phoneticPr fontId="6" type="noConversion"/>
  </si>
  <si>
    <t>Límites de</t>
    <phoneticPr fontId="6" type="noConversion"/>
  </si>
  <si>
    <t>± 0.56 mm</t>
    <phoneticPr fontId="6" type="noConversion"/>
  </si>
  <si>
    <t>Especificación</t>
    <phoneticPr fontId="6" type="noConversion"/>
  </si>
  <si>
    <t>Costo material</t>
    <phoneticPr fontId="6" type="noConversion"/>
  </si>
  <si>
    <t>Re maquinado</t>
    <phoneticPr fontId="6" type="noConversion"/>
  </si>
  <si>
    <t>Costo operación</t>
    <phoneticPr fontId="6" type="noConversion"/>
  </si>
  <si>
    <t>Costo transporte</t>
    <phoneticPr fontId="6" type="noConversion"/>
  </si>
  <si>
    <t>a) Costo esperado por pieza?</t>
    <phoneticPr fontId="6" type="noConversion"/>
  </si>
  <si>
    <t>b) Posición más económica de la media?</t>
    <phoneticPr fontId="6" type="noConversion"/>
  </si>
  <si>
    <t>a)</t>
    <phoneticPr fontId="6" type="noConversion"/>
  </si>
  <si>
    <t>d2</t>
    <phoneticPr fontId="6" type="noConversion"/>
  </si>
  <si>
    <t>desviación</t>
    <phoneticPr fontId="6" type="noConversion"/>
  </si>
  <si>
    <t>Posición actual</t>
  </si>
  <si>
    <t>x =</t>
  </si>
  <si>
    <t>LIC =</t>
  </si>
  <si>
    <t>Buenas</t>
    <phoneticPr fontId="6" type="noConversion"/>
  </si>
  <si>
    <t>Remaquinado</t>
    <phoneticPr fontId="6" type="noConversion"/>
  </si>
  <si>
    <t>Costo esperado</t>
  </si>
  <si>
    <t>b)</t>
    <phoneticPr fontId="6" type="noConversion"/>
  </si>
  <si>
    <t>Posición hacia el límite superior</t>
    <phoneticPr fontId="6" type="noConversion"/>
  </si>
  <si>
    <t>?</t>
    <phoneticPr fontId="6" type="noConversion"/>
  </si>
  <si>
    <t>Nueva media</t>
    <phoneticPr fontId="6" type="noConversion"/>
  </si>
  <si>
    <t>Posición hacia el límite inferior</t>
    <phoneticPr fontId="6" type="noConversion"/>
  </si>
  <si>
    <t>R/Lo más conveniente es mantenerse</t>
  </si>
  <si>
    <t>en la posición inicial con un costo esperado</t>
    <phoneticPr fontId="6" type="noConversion"/>
  </si>
  <si>
    <t xml:space="preserve">por pieza de $16.97 </t>
  </si>
  <si>
    <t>Miligramos de cafeína</t>
  </si>
  <si>
    <t>1.5 ± 0.5 mg</t>
  </si>
  <si>
    <t>Desv. Est.</t>
  </si>
  <si>
    <t>x</t>
  </si>
  <si>
    <t>s</t>
  </si>
  <si>
    <t>Cpk1</t>
  </si>
  <si>
    <t>Cpk2</t>
  </si>
  <si>
    <t>Estimación con 95% de confianza</t>
  </si>
  <si>
    <t>a. Los intervalos tanto de Cp como Ck y Cpm dan muy bajos. El proceso no es capaz con los índices calculados.</t>
  </si>
  <si>
    <t>b. No hay seguridad de que el proceso sea satisfactorio. Fue necesario estimar por intervalo porque no se conocían los datos poblacionales..</t>
  </si>
  <si>
    <t>60 ± 1</t>
  </si>
  <si>
    <t>a.</t>
  </si>
  <si>
    <t>&lt;---</t>
  </si>
  <si>
    <t>Intervalos</t>
  </si>
  <si>
    <t>Es riesgoso con esa muestra afirmar que el proceso es potencialmente capaz, ya que Cpk puede estar entre 0.89 y 1.45.</t>
  </si>
  <si>
    <t>También es riegoso afirmar que es malo, pues también tiene valores buenos de Cp, Cpk y Cpm.</t>
  </si>
  <si>
    <t>Para reducir la incertidumbre se deben medir más preformas y aumentar el tamaño de muestra.</t>
  </si>
  <si>
    <t>b.</t>
  </si>
  <si>
    <t>No hay seguridad de que la capacidad sea satisfactoria.</t>
  </si>
  <si>
    <t>c.</t>
  </si>
  <si>
    <t>Fue necesario estimar por intervalo pues no había suficientes datos para obtener el μ y σ</t>
  </si>
  <si>
    <t>Límites del proceso</t>
    <phoneticPr fontId="8" type="noConversion"/>
  </si>
  <si>
    <t>Promedio</t>
    <phoneticPr fontId="8" type="noConversion"/>
  </si>
  <si>
    <t>Límites especificados</t>
  </si>
  <si>
    <t>±</t>
  </si>
  <si>
    <t>Costo material</t>
    <phoneticPr fontId="8" type="noConversion"/>
  </si>
  <si>
    <t>Demanda</t>
  </si>
  <si>
    <t>Precio de Venta</t>
  </si>
  <si>
    <t>Re maquinado</t>
    <phoneticPr fontId="8" type="noConversion"/>
  </si>
  <si>
    <t>Costo operación</t>
    <phoneticPr fontId="8" type="noConversion"/>
  </si>
  <si>
    <t>Costo destrucción</t>
  </si>
  <si>
    <t>a) Costo esperado por pieza?</t>
    <phoneticPr fontId="8" type="noConversion"/>
  </si>
  <si>
    <t>b) Posición más económica de la media?</t>
    <phoneticPr fontId="8" type="noConversion"/>
  </si>
  <si>
    <t>Producción</t>
  </si>
  <si>
    <t>Desecho</t>
  </si>
  <si>
    <t>Venta</t>
  </si>
  <si>
    <t>Utilidades</t>
  </si>
  <si>
    <t>Proceso Centrado</t>
  </si>
  <si>
    <t>a)</t>
    <phoneticPr fontId="8" type="noConversion"/>
  </si>
  <si>
    <t>Proceso hacia límite superior</t>
  </si>
  <si>
    <t>Proceso hacia límite inferior</t>
  </si>
  <si>
    <t>σ =</t>
  </si>
  <si>
    <t>Buenas</t>
    <phoneticPr fontId="8" type="noConversion"/>
  </si>
  <si>
    <t>Remaquinado</t>
    <phoneticPr fontId="8" type="noConversion"/>
  </si>
  <si>
    <t>b)</t>
    <phoneticPr fontId="8" type="noConversion"/>
  </si>
  <si>
    <t>Posición hacia el límite superior</t>
    <phoneticPr fontId="8" type="noConversion"/>
  </si>
  <si>
    <t>?</t>
    <phoneticPr fontId="8" type="noConversion"/>
  </si>
  <si>
    <t>Nueva media</t>
    <phoneticPr fontId="8" type="noConversion"/>
  </si>
  <si>
    <t>Remaquinado</t>
  </si>
  <si>
    <t>Posición hacia el límite inferior</t>
    <phoneticPr fontId="8" type="noConversion"/>
  </si>
  <si>
    <t>Re maquinado</t>
  </si>
  <si>
    <t>Límites recalculados</t>
  </si>
  <si>
    <t xml:space="preserve">a) </t>
  </si>
  <si>
    <t>n =</t>
  </si>
  <si>
    <t>Día</t>
  </si>
  <si>
    <t>Disconformes</t>
  </si>
  <si>
    <t>Fracción</t>
  </si>
  <si>
    <r>
      <t>Ho: P</t>
    </r>
    <r>
      <rPr>
        <vertAlign val="subscript"/>
        <sz val="10"/>
        <rFont val="Verdana"/>
        <family val="2"/>
      </rPr>
      <t>1</t>
    </r>
    <r>
      <rPr>
        <sz val="12"/>
        <color theme="1"/>
        <rFont val="Calibri"/>
        <family val="2"/>
        <scheme val="minor"/>
      </rPr>
      <t xml:space="preserve"> = P</t>
    </r>
    <r>
      <rPr>
        <vertAlign val="subscript"/>
        <sz val="10"/>
        <rFont val="Verdana"/>
        <family val="2"/>
      </rPr>
      <t>2</t>
    </r>
  </si>
  <si>
    <t>Ho= El proceso se mantiene igual</t>
  </si>
  <si>
    <r>
      <t>H</t>
    </r>
    <r>
      <rPr>
        <vertAlign val="subscript"/>
        <sz val="10"/>
        <rFont val="Verdana"/>
        <family val="2"/>
      </rPr>
      <t>1</t>
    </r>
    <r>
      <rPr>
        <sz val="12"/>
        <color theme="1"/>
        <rFont val="Calibri"/>
        <family val="2"/>
        <scheme val="minor"/>
      </rPr>
      <t>: P</t>
    </r>
    <r>
      <rPr>
        <vertAlign val="subscript"/>
        <sz val="10"/>
        <rFont val="Verdana"/>
        <family val="2"/>
      </rPr>
      <t>1</t>
    </r>
    <r>
      <rPr>
        <sz val="12"/>
        <color theme="1"/>
        <rFont val="Calibri"/>
        <family val="2"/>
        <scheme val="minor"/>
      </rPr>
      <t xml:space="preserve"> &gt; P</t>
    </r>
    <r>
      <rPr>
        <vertAlign val="subscript"/>
        <sz val="10"/>
        <rFont val="Verdana"/>
        <family val="2"/>
      </rPr>
      <t>2</t>
    </r>
  </si>
  <si>
    <t>Ha= El proceso ha mejorado</t>
  </si>
  <si>
    <r>
      <t>P</t>
    </r>
    <r>
      <rPr>
        <vertAlign val="subscript"/>
        <sz val="10"/>
        <rFont val="Verdana"/>
        <family val="2"/>
      </rPr>
      <t>1</t>
    </r>
    <r>
      <rPr>
        <sz val="12"/>
        <color theme="1"/>
        <rFont val="Calibri"/>
        <family val="2"/>
        <scheme val="minor"/>
      </rPr>
      <t xml:space="preserve"> =</t>
    </r>
  </si>
  <si>
    <t>P =</t>
  </si>
  <si>
    <t>P'=</t>
  </si>
  <si>
    <t>q'=</t>
  </si>
  <si>
    <r>
      <t>P</t>
    </r>
    <r>
      <rPr>
        <vertAlign val="subscript"/>
        <sz val="10"/>
        <rFont val="Verdana"/>
        <family val="2"/>
      </rPr>
      <t>2</t>
    </r>
    <r>
      <rPr>
        <sz val="12"/>
        <color theme="1"/>
        <rFont val="Calibri"/>
        <family val="2"/>
        <scheme val="minor"/>
      </rPr>
      <t xml:space="preserve"> =</t>
    </r>
  </si>
  <si>
    <r>
      <t>Z</t>
    </r>
    <r>
      <rPr>
        <vertAlign val="subscript"/>
        <sz val="10"/>
        <rFont val="Verdana"/>
        <family val="2"/>
      </rPr>
      <t xml:space="preserve">0 </t>
    </r>
    <r>
      <rPr>
        <sz val="10"/>
        <rFont val="Verdana"/>
        <family val="2"/>
      </rPr>
      <t>=</t>
    </r>
  </si>
  <si>
    <r>
      <t>Z</t>
    </r>
    <r>
      <rPr>
        <vertAlign val="subscript"/>
        <sz val="10"/>
        <rFont val="Verdana"/>
        <family val="2"/>
      </rPr>
      <t xml:space="preserve">0.05 </t>
    </r>
    <r>
      <rPr>
        <sz val="10"/>
        <rFont val="Verdana"/>
        <family val="2"/>
      </rPr>
      <t>=</t>
    </r>
  </si>
  <si>
    <t>Se rechaza Ho y se concluye que el proceso ha mejorado.</t>
  </si>
  <si>
    <t>Observación</t>
  </si>
  <si>
    <t>a) Se pude observar que ocurre el patrón #1, cambios en el nivel del proceso, analizando el caso se deduce que el proceso ha mejorado gracias a los esfuerzos del equipo seis sigma.</t>
  </si>
  <si>
    <t>b) Se rechaza la hipótesis nula de igualdad de medias por lo que se acepta la hipótesis altarnativa de que el proceso ha mejorado ya que los tiempos de armado son menores.</t>
  </si>
  <si>
    <t xml:space="preserve">Se debe concluir que este proceso no está bajo control estadístico y no se debe prestar mucha atención a los cálculos de su capacidad. Se debe trabajar </t>
  </si>
  <si>
    <t>St=</t>
  </si>
  <si>
    <t>Proceso 1</t>
  </si>
  <si>
    <t>Proceso 2</t>
  </si>
  <si>
    <t>Es mejor utilizar el proceso 2 ya que el proceso 1 no se puede asegurar que sea capáz ya que sus valores de Cp y Cpk pueden caer por debajo de uno, indicativo de que tal vez el proceso no sea capaz y de que del mismo se obtiene producto que no cumple  con especificaciones</t>
  </si>
  <si>
    <t xml:space="preserve">n = </t>
  </si>
  <si>
    <t>Costo material</t>
  </si>
  <si>
    <t>Límites del proceso</t>
  </si>
  <si>
    <t>Costo remaquinado</t>
  </si>
  <si>
    <t>Costo operación</t>
  </si>
  <si>
    <t>d2 =</t>
  </si>
  <si>
    <t>Sigma =</t>
  </si>
  <si>
    <t>Buenas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</si>
</sst>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
    <numFmt numFmtId="165" formatCode="0.000%"/>
    <numFmt numFmtId="166" formatCode="0.00000"/>
    <numFmt numFmtId="167" formatCode="0.0"/>
    <numFmt numFmtId="168" formatCode="[$-409]h:mm:ss\ AM/PM;@"/>
    <numFmt numFmtId="169" formatCode="0.0000"/>
    <numFmt numFmtId="170" formatCode="\¢#,##0.00"/>
    <numFmt numFmtId="171" formatCode="&quot;$&quot;#,##0.00"/>
  </numFmts>
  <fonts count="27">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8"/>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0"/>
      <name val="Arial"/>
      <family val="2"/>
    </font>
    <font>
      <sz val="10"/>
      <name val="Verdana"/>
      <family val="2"/>
    </font>
    <font>
      <b/>
      <sz val="10"/>
      <name val="Verdana"/>
      <family val="2"/>
    </font>
    <font>
      <sz val="10"/>
      <color indexed="10"/>
      <name val="Verdana"/>
      <family val="2"/>
    </font>
    <font>
      <sz val="16"/>
      <name val="Verdana"/>
      <family val="2"/>
    </font>
    <font>
      <b/>
      <sz val="10"/>
      <color indexed="10"/>
      <name val="Arial"/>
      <family val="2"/>
    </font>
    <font>
      <vertAlign val="subscript"/>
      <sz val="10"/>
      <name val="Verdana"/>
      <family val="2"/>
    </font>
    <font>
      <b/>
      <sz val="10"/>
      <color rgb="FFFF0000"/>
      <name val="Verdana"/>
      <family val="2"/>
    </font>
    <font>
      <sz val="16"/>
      <color theme="1"/>
      <name val="Calibri"/>
      <family val="2"/>
      <scheme val="minor"/>
    </font>
    <font>
      <sz val="14"/>
      <color theme="1"/>
      <name val="Calibri"/>
      <family val="2"/>
      <scheme val="minor"/>
    </font>
    <font>
      <b/>
      <sz val="14"/>
      <color theme="1"/>
      <name val="Times New Roman"/>
      <family val="1"/>
    </font>
    <font>
      <sz val="14"/>
      <color theme="1"/>
      <name val="Times New Roman"/>
      <family val="1"/>
    </font>
    <font>
      <sz val="14"/>
      <color theme="1"/>
      <name val="Arial"/>
      <family val="2"/>
    </font>
    <font>
      <b/>
      <sz val="12"/>
      <color rgb="FFFF0000"/>
      <name val="Calibri"/>
      <family val="2"/>
      <scheme val="minor"/>
    </font>
    <font>
      <b/>
      <sz val="12"/>
      <color theme="1"/>
      <name val="Times New Roman"/>
      <family val="1"/>
    </font>
    <font>
      <sz val="12"/>
      <color theme="1"/>
      <name val="Times New Roman"/>
      <family val="1"/>
    </font>
    <font>
      <sz val="20"/>
      <color theme="1"/>
      <name val="Calibri"/>
      <family val="2"/>
      <scheme val="minor"/>
    </font>
    <font>
      <b/>
      <sz val="20"/>
      <color theme="1"/>
      <name val="Calibri"/>
      <family val="2"/>
      <scheme val="minor"/>
    </font>
    <font>
      <sz val="10"/>
      <name val="Verdan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3"/>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7">
    <xf numFmtId="0" fontId="0" fillId="0" borderId="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applyNumberFormat="0" applyFill="0" applyBorder="0" applyAlignment="0" applyProtection="0"/>
    <xf numFmtId="0" fontId="7" fillId="0" borderId="0" applyNumberFormat="0" applyFill="0" applyBorder="0" applyAlignment="0" applyProtection="0"/>
    <xf numFmtId="43" fontId="3"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6" fillId="0" borderId="0"/>
  </cellStyleXfs>
  <cellXfs count="227">
    <xf numFmtId="0" fontId="0" fillId="0" borderId="0" xfId="0"/>
    <xf numFmtId="0" fontId="3" fillId="0" borderId="0" xfId="1" applyAlignment="1">
      <alignment horizontal="center"/>
    </xf>
    <xf numFmtId="0" fontId="3" fillId="0" borderId="0" xfId="1"/>
    <xf numFmtId="2" fontId="3" fillId="0" borderId="0" xfId="1" applyNumberFormat="1" applyAlignment="1">
      <alignment horizontal="center"/>
    </xf>
    <xf numFmtId="0" fontId="8" fillId="0" borderId="0" xfId="1" applyFont="1"/>
    <xf numFmtId="0" fontId="8" fillId="0" borderId="0" xfId="1" applyFont="1" applyAlignment="1">
      <alignment horizontal="center"/>
    </xf>
    <xf numFmtId="0" fontId="10" fillId="0" borderId="0" xfId="6" applyFont="1" applyAlignment="1">
      <alignment horizontal="center"/>
    </xf>
    <xf numFmtId="0" fontId="9" fillId="0" borderId="0" xfId="6"/>
    <xf numFmtId="2" fontId="9" fillId="0" borderId="0" xfId="6" applyNumberFormat="1" applyAlignment="1">
      <alignment horizontal="right"/>
    </xf>
    <xf numFmtId="164" fontId="9" fillId="0" borderId="0" xfId="6" applyNumberFormat="1" applyAlignment="1">
      <alignment horizontal="center"/>
    </xf>
    <xf numFmtId="0" fontId="9" fillId="0" borderId="0" xfId="6" applyAlignment="1">
      <alignment horizontal="center"/>
    </xf>
    <xf numFmtId="2" fontId="9" fillId="0" borderId="0" xfId="6" applyNumberFormat="1"/>
    <xf numFmtId="0" fontId="10" fillId="0" borderId="0" xfId="6" applyFont="1"/>
    <xf numFmtId="0" fontId="11" fillId="0" borderId="0" xfId="6" applyFont="1"/>
    <xf numFmtId="165" fontId="9" fillId="0" borderId="0" xfId="6" applyNumberFormat="1"/>
    <xf numFmtId="2" fontId="9" fillId="0" borderId="0" xfId="6" applyNumberFormat="1" applyAlignment="1">
      <alignment horizontal="center"/>
    </xf>
    <xf numFmtId="166" fontId="9" fillId="0" borderId="0" xfId="6" applyNumberFormat="1"/>
    <xf numFmtId="164" fontId="9" fillId="0" borderId="0" xfId="6" applyNumberFormat="1"/>
    <xf numFmtId="167" fontId="9" fillId="0" borderId="0" xfId="6" applyNumberFormat="1"/>
    <xf numFmtId="0" fontId="9" fillId="0" borderId="0" xfId="6" applyFont="1"/>
    <xf numFmtId="0" fontId="10" fillId="0" borderId="1" xfId="6" applyFont="1" applyBorder="1" applyAlignment="1">
      <alignment horizontal="center"/>
    </xf>
    <xf numFmtId="0" fontId="10" fillId="0" borderId="1" xfId="6" applyFont="1" applyBorder="1"/>
    <xf numFmtId="0" fontId="9" fillId="0" borderId="1" xfId="6" applyBorder="1" applyAlignment="1">
      <alignment horizontal="center"/>
    </xf>
    <xf numFmtId="2" fontId="9" fillId="0" borderId="1" xfId="6" applyNumberFormat="1" applyBorder="1" applyAlignment="1">
      <alignment horizontal="center"/>
    </xf>
    <xf numFmtId="167" fontId="9" fillId="0" borderId="1" xfId="6" applyNumberFormat="1" applyBorder="1" applyAlignment="1">
      <alignment horizontal="center"/>
    </xf>
    <xf numFmtId="167" fontId="9" fillId="0" borderId="0" xfId="6" applyNumberFormat="1" applyAlignment="1">
      <alignment horizontal="center"/>
    </xf>
    <xf numFmtId="0" fontId="12" fillId="0" borderId="0" xfId="6" applyFont="1"/>
    <xf numFmtId="0" fontId="13" fillId="0" borderId="0" xfId="1" applyFont="1"/>
    <xf numFmtId="167" fontId="3" fillId="0" borderId="0" xfId="1" applyNumberFormat="1"/>
    <xf numFmtId="167" fontId="3" fillId="0" borderId="0" xfId="1" applyNumberFormat="1" applyAlignment="1">
      <alignment horizontal="center"/>
    </xf>
    <xf numFmtId="10" fontId="3" fillId="0" borderId="0" xfId="1" applyNumberFormat="1"/>
    <xf numFmtId="0" fontId="5" fillId="0" borderId="0" xfId="0" applyFont="1" applyAlignment="1">
      <alignment horizontal="center"/>
    </xf>
    <xf numFmtId="0" fontId="10" fillId="0" borderId="0" xfId="0" applyFont="1" applyAlignment="1">
      <alignment horizontal="center"/>
    </xf>
    <xf numFmtId="168" fontId="0" fillId="0" borderId="0" xfId="0" applyNumberFormat="1"/>
    <xf numFmtId="164" fontId="0" fillId="0" borderId="0" xfId="0" applyNumberFormat="1" applyAlignment="1">
      <alignment horizontal="center"/>
    </xf>
    <xf numFmtId="0" fontId="0" fillId="0" borderId="0" xfId="0" applyAlignment="1">
      <alignment horizontal="center"/>
    </xf>
    <xf numFmtId="164" fontId="0" fillId="0" borderId="0" xfId="0" applyNumberFormat="1"/>
    <xf numFmtId="164" fontId="0" fillId="2" borderId="0" xfId="0" applyNumberFormat="1" applyFill="1" applyAlignment="1">
      <alignment horizontal="center"/>
    </xf>
    <xf numFmtId="2" fontId="0" fillId="0" borderId="0" xfId="0" applyNumberFormat="1" applyAlignment="1">
      <alignment horizontal="right"/>
    </xf>
    <xf numFmtId="0" fontId="10" fillId="0" borderId="0" xfId="0" applyFont="1"/>
    <xf numFmtId="0" fontId="11" fillId="0" borderId="0" xfId="0" applyFont="1"/>
    <xf numFmtId="169" fontId="0" fillId="0" borderId="0" xfId="0" applyNumberFormat="1"/>
    <xf numFmtId="165" fontId="0" fillId="0" borderId="0" xfId="0" applyNumberFormat="1"/>
    <xf numFmtId="2" fontId="0" fillId="0" borderId="0" xfId="0" applyNumberFormat="1"/>
    <xf numFmtId="168" fontId="0" fillId="0" borderId="0" xfId="0" applyNumberFormat="1" applyAlignment="1">
      <alignment horizontal="center"/>
    </xf>
    <xf numFmtId="0" fontId="9" fillId="0" borderId="0" xfId="6" applyAlignment="1"/>
    <xf numFmtId="2" fontId="9" fillId="0" borderId="0" xfId="6" applyNumberFormat="1" applyFont="1" applyAlignment="1">
      <alignment horizontal="center"/>
    </xf>
    <xf numFmtId="0" fontId="15" fillId="0" borderId="0" xfId="6" applyFont="1" applyAlignment="1">
      <alignment horizontal="center"/>
    </xf>
    <xf numFmtId="0" fontId="10" fillId="0" borderId="0" xfId="6" applyFont="1" applyAlignment="1">
      <alignment wrapText="1"/>
    </xf>
    <xf numFmtId="167" fontId="0" fillId="0" borderId="0" xfId="0" applyNumberFormat="1"/>
    <xf numFmtId="0" fontId="5" fillId="0" borderId="0" xfId="0" applyFont="1"/>
    <xf numFmtId="0" fontId="9" fillId="0" borderId="6" xfId="6" applyBorder="1" applyAlignment="1">
      <alignment horizontal="center"/>
    </xf>
    <xf numFmtId="0" fontId="9" fillId="0" borderId="7" xfId="6" applyBorder="1" applyAlignment="1">
      <alignment horizontal="center"/>
    </xf>
    <xf numFmtId="0" fontId="9" fillId="0" borderId="8" xfId="6" applyBorder="1" applyAlignment="1">
      <alignment horizontal="center"/>
    </xf>
    <xf numFmtId="0" fontId="9" fillId="0" borderId="9" xfId="6" applyBorder="1" applyAlignment="1">
      <alignment horizontal="center"/>
    </xf>
    <xf numFmtId="0" fontId="9" fillId="0" borderId="6" xfId="6" applyBorder="1"/>
    <xf numFmtId="0" fontId="9" fillId="0" borderId="8" xfId="6" applyBorder="1"/>
    <xf numFmtId="0" fontId="9" fillId="0" borderId="10" xfId="6" applyBorder="1" applyAlignment="1">
      <alignment horizontal="center"/>
    </xf>
    <xf numFmtId="167" fontId="9" fillId="0" borderId="0" xfId="6" applyNumberFormat="1" applyBorder="1" applyAlignment="1">
      <alignment horizontal="center"/>
    </xf>
    <xf numFmtId="167" fontId="9" fillId="0" borderId="11" xfId="6" applyNumberFormat="1" applyBorder="1" applyAlignment="1">
      <alignment horizontal="center"/>
    </xf>
    <xf numFmtId="0" fontId="9" fillId="0" borderId="12" xfId="6" applyBorder="1" applyAlignment="1">
      <alignment horizontal="center"/>
    </xf>
    <xf numFmtId="0" fontId="9" fillId="0" borderId="10" xfId="6" applyBorder="1"/>
    <xf numFmtId="0" fontId="9" fillId="0" borderId="11" xfId="6" applyBorder="1"/>
    <xf numFmtId="0" fontId="9" fillId="0" borderId="13" xfId="6" applyBorder="1" applyAlignment="1">
      <alignment horizontal="center"/>
    </xf>
    <xf numFmtId="167" fontId="9" fillId="0" borderId="2" xfId="6" applyNumberFormat="1" applyBorder="1" applyAlignment="1">
      <alignment horizontal="center"/>
    </xf>
    <xf numFmtId="0" fontId="9" fillId="0" borderId="14" xfId="6" applyBorder="1" applyAlignment="1">
      <alignment horizontal="center"/>
    </xf>
    <xf numFmtId="0" fontId="9" fillId="0" borderId="15" xfId="6" applyBorder="1" applyAlignment="1">
      <alignment horizontal="center"/>
    </xf>
    <xf numFmtId="0" fontId="9" fillId="0" borderId="13" xfId="6" applyBorder="1"/>
    <xf numFmtId="0" fontId="9" fillId="0" borderId="14" xfId="6" applyBorder="1"/>
    <xf numFmtId="0" fontId="9" fillId="0" borderId="6" xfId="6" applyFill="1" applyBorder="1" applyAlignment="1">
      <alignment horizontal="center"/>
    </xf>
    <xf numFmtId="2" fontId="9" fillId="0" borderId="8" xfId="6" applyNumberFormat="1" applyBorder="1" applyAlignment="1">
      <alignment horizontal="center"/>
    </xf>
    <xf numFmtId="0" fontId="9" fillId="0" borderId="5" xfId="6" applyBorder="1" applyAlignment="1">
      <alignment horizontal="center"/>
    </xf>
    <xf numFmtId="0" fontId="9" fillId="0" borderId="10" xfId="6" applyFill="1" applyBorder="1" applyAlignment="1">
      <alignment horizontal="center"/>
    </xf>
    <xf numFmtId="2" fontId="9" fillId="0" borderId="11" xfId="6" applyNumberFormat="1" applyBorder="1" applyAlignment="1">
      <alignment horizontal="center"/>
    </xf>
    <xf numFmtId="2" fontId="9" fillId="0" borderId="5" xfId="6" applyNumberFormat="1" applyBorder="1" applyAlignment="1">
      <alignment horizontal="center"/>
    </xf>
    <xf numFmtId="0" fontId="9" fillId="0" borderId="13" xfId="6" applyFill="1" applyBorder="1" applyAlignment="1">
      <alignment horizontal="center"/>
    </xf>
    <xf numFmtId="2" fontId="9" fillId="0" borderId="14" xfId="6" applyNumberFormat="1" applyBorder="1" applyAlignment="1">
      <alignment horizontal="center"/>
    </xf>
    <xf numFmtId="0" fontId="9" fillId="0" borderId="0" xfId="6" applyFill="1" applyBorder="1" applyAlignment="1">
      <alignment horizontal="center"/>
    </xf>
    <xf numFmtId="0" fontId="17" fillId="0" borderId="0" xfId="0" applyFont="1" applyBorder="1" applyAlignment="1">
      <alignmen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19" fillId="0" borderId="0" xfId="0" applyFont="1" applyFill="1" applyBorder="1" applyAlignment="1">
      <alignment horizontal="center" vertical="center" wrapText="1"/>
    </xf>
    <xf numFmtId="0" fontId="5" fillId="0" borderId="1" xfId="0" applyFont="1" applyBorder="1"/>
    <xf numFmtId="0" fontId="5" fillId="0" borderId="1" xfId="0" applyFont="1" applyBorder="1" applyAlignment="1">
      <alignment horizontal="center"/>
    </xf>
    <xf numFmtId="0" fontId="0" fillId="0" borderId="1" xfId="0" applyBorder="1" applyAlignment="1">
      <alignment horizontal="center"/>
    </xf>
    <xf numFmtId="0" fontId="21" fillId="0" borderId="0" xfId="0" applyFont="1"/>
    <xf numFmtId="0" fontId="22" fillId="0" borderId="1" xfId="0" applyFont="1" applyBorder="1" applyAlignment="1">
      <alignment horizontal="center"/>
    </xf>
    <xf numFmtId="0" fontId="23" fillId="0" borderId="1" xfId="0" applyFont="1" applyBorder="1" applyAlignment="1">
      <alignment horizontal="center"/>
    </xf>
    <xf numFmtId="2" fontId="23" fillId="0" borderId="1" xfId="0" applyNumberFormat="1" applyFont="1" applyBorder="1"/>
    <xf numFmtId="164" fontId="23" fillId="0" borderId="1" xfId="0" applyNumberFormat="1" applyFont="1" applyBorder="1"/>
    <xf numFmtId="2" fontId="16" fillId="3" borderId="7" xfId="0" applyNumberFormat="1" applyFont="1" applyFill="1" applyBorder="1"/>
    <xf numFmtId="2" fontId="16" fillId="3" borderId="8" xfId="0" applyNumberFormat="1" applyFont="1" applyFill="1" applyBorder="1"/>
    <xf numFmtId="0" fontId="0" fillId="3" borderId="0" xfId="0" applyFill="1"/>
    <xf numFmtId="164" fontId="16" fillId="3" borderId="0" xfId="0" applyNumberFormat="1" applyFont="1" applyFill="1"/>
    <xf numFmtId="0" fontId="24" fillId="3" borderId="0" xfId="0" applyFont="1" applyFill="1" applyAlignment="1">
      <alignment horizontal="right"/>
    </xf>
    <xf numFmtId="0" fontId="0" fillId="3" borderId="0" xfId="0" applyFont="1" applyFill="1"/>
    <xf numFmtId="0" fontId="16" fillId="3" borderId="0" xfId="0" applyFont="1" applyFill="1" applyBorder="1"/>
    <xf numFmtId="2" fontId="16" fillId="3" borderId="11" xfId="0" applyNumberFormat="1" applyFont="1" applyFill="1" applyBorder="1"/>
    <xf numFmtId="2" fontId="16" fillId="3" borderId="0" xfId="0" applyNumberFormat="1" applyFont="1" applyFill="1"/>
    <xf numFmtId="0" fontId="16" fillId="3" borderId="0" xfId="0" applyFont="1" applyFill="1"/>
    <xf numFmtId="0" fontId="16" fillId="3" borderId="2" xfId="0" applyFont="1" applyFill="1" applyBorder="1"/>
    <xf numFmtId="2" fontId="16" fillId="3" borderId="14" xfId="0" applyNumberFormat="1" applyFont="1" applyFill="1" applyBorder="1"/>
    <xf numFmtId="0" fontId="16" fillId="3" borderId="6" xfId="0" applyFont="1" applyFill="1" applyBorder="1"/>
    <xf numFmtId="0" fontId="16" fillId="3" borderId="10" xfId="0" applyFont="1" applyFill="1" applyBorder="1"/>
    <xf numFmtId="2" fontId="16" fillId="3" borderId="0" xfId="0" applyNumberFormat="1" applyFont="1" applyFill="1" applyAlignment="1">
      <alignment vertical="center"/>
    </xf>
    <xf numFmtId="0" fontId="16" fillId="3" borderId="0" xfId="0" applyFont="1" applyFill="1" applyAlignment="1">
      <alignment horizontal="center"/>
    </xf>
    <xf numFmtId="0" fontId="16" fillId="3" borderId="13" xfId="0" applyFont="1" applyFill="1" applyBorder="1"/>
    <xf numFmtId="0" fontId="16" fillId="3" borderId="14" xfId="0" applyFont="1" applyFill="1" applyBorder="1"/>
    <xf numFmtId="0" fontId="25" fillId="3" borderId="0" xfId="0" applyFont="1" applyFill="1" applyAlignment="1">
      <alignment vertical="center"/>
    </xf>
    <xf numFmtId="0" fontId="0" fillId="0" borderId="0" xfId="0" applyAlignment="1">
      <alignment horizontal="center"/>
    </xf>
    <xf numFmtId="0" fontId="12" fillId="0" borderId="0" xfId="6" applyFont="1" applyAlignment="1"/>
    <xf numFmtId="0" fontId="9" fillId="0" borderId="0" xfId="6" applyAlignment="1"/>
    <xf numFmtId="0" fontId="9" fillId="0" borderId="0" xfId="11"/>
    <xf numFmtId="0" fontId="10" fillId="0" borderId="0" xfId="11" applyFont="1"/>
    <xf numFmtId="170" fontId="9" fillId="0" borderId="0" xfId="11" applyNumberFormat="1"/>
    <xf numFmtId="0" fontId="9" fillId="0" borderId="0" xfId="11" applyAlignment="1">
      <alignment horizontal="right"/>
    </xf>
    <xf numFmtId="10" fontId="9" fillId="0" borderId="0" xfId="11" applyNumberFormat="1"/>
    <xf numFmtId="2" fontId="9" fillId="0" borderId="0" xfId="11" applyNumberFormat="1" applyAlignment="1">
      <alignment horizontal="center"/>
    </xf>
    <xf numFmtId="10" fontId="9" fillId="0" borderId="0" xfId="11" applyNumberFormat="1" applyAlignment="1">
      <alignment horizontal="center"/>
    </xf>
    <xf numFmtId="170" fontId="10" fillId="0" borderId="0" xfId="11" applyNumberFormat="1" applyFont="1"/>
    <xf numFmtId="171" fontId="9" fillId="0" borderId="0" xfId="11" applyNumberFormat="1" applyAlignment="1">
      <alignment horizontal="center"/>
    </xf>
    <xf numFmtId="0" fontId="9" fillId="4" borderId="0" xfId="11" applyFill="1"/>
    <xf numFmtId="0" fontId="23" fillId="0" borderId="0" xfId="0" applyFont="1" applyAlignment="1">
      <alignment horizontal="justify" vertical="center" wrapText="1"/>
    </xf>
    <xf numFmtId="164" fontId="5" fillId="0" borderId="0" xfId="0" applyNumberFormat="1" applyFont="1"/>
    <xf numFmtId="0" fontId="0" fillId="0" borderId="0" xfId="0" applyFont="1"/>
    <xf numFmtId="164" fontId="0" fillId="0" borderId="0" xfId="0" applyNumberFormat="1" applyFont="1"/>
    <xf numFmtId="164" fontId="21" fillId="0" borderId="0" xfId="0" applyNumberFormat="1" applyFont="1"/>
    <xf numFmtId="2" fontId="9" fillId="0" borderId="0" xfId="11" applyNumberFormat="1"/>
    <xf numFmtId="0" fontId="10" fillId="0" borderId="0" xfId="11" applyFont="1" applyAlignment="1">
      <alignment horizontal="left"/>
    </xf>
    <xf numFmtId="0" fontId="9" fillId="0" borderId="0" xfId="11" applyAlignment="1">
      <alignment horizontal="center"/>
    </xf>
    <xf numFmtId="170" fontId="10" fillId="0" borderId="0" xfId="11" applyNumberFormat="1" applyFont="1" applyAlignment="1">
      <alignment horizontal="center"/>
    </xf>
    <xf numFmtId="0" fontId="10" fillId="0" borderId="0" xfId="11" applyFont="1" applyAlignment="1">
      <alignment horizontal="center"/>
    </xf>
    <xf numFmtId="1" fontId="9" fillId="0" borderId="0" xfId="11" applyNumberFormat="1" applyAlignment="1">
      <alignment horizontal="center"/>
    </xf>
    <xf numFmtId="164" fontId="10" fillId="0" borderId="0" xfId="11" applyNumberFormat="1" applyFont="1" applyAlignment="1">
      <alignment horizontal="center"/>
    </xf>
    <xf numFmtId="0" fontId="10" fillId="0" borderId="0" xfId="11" applyFont="1" applyAlignment="1">
      <alignment horizontal="center" wrapText="1"/>
    </xf>
    <xf numFmtId="169" fontId="9" fillId="0" borderId="0" xfId="11" applyNumberFormat="1"/>
    <xf numFmtId="164" fontId="9" fillId="0" borderId="0" xfId="11" applyNumberFormat="1"/>
    <xf numFmtId="0" fontId="9" fillId="0" borderId="0" xfId="0" applyFont="1"/>
    <xf numFmtId="169" fontId="15" fillId="0" borderId="0" xfId="11" applyNumberFormat="1" applyFont="1"/>
    <xf numFmtId="2" fontId="0" fillId="0" borderId="0" xfId="0" applyNumberFormat="1" applyAlignment="1">
      <alignment horizontal="center"/>
    </xf>
    <xf numFmtId="1" fontId="0" fillId="0" borderId="0" xfId="0" applyNumberFormat="1"/>
    <xf numFmtId="0" fontId="0" fillId="0" borderId="0" xfId="0" applyAlignment="1">
      <alignment vertical="center" wrapText="1"/>
    </xf>
    <xf numFmtId="10" fontId="9" fillId="0" borderId="0" xfId="15" applyNumberFormat="1" applyFont="1"/>
    <xf numFmtId="0" fontId="0" fillId="0" borderId="11" xfId="0" applyBorder="1"/>
    <xf numFmtId="0" fontId="0" fillId="0" borderId="10" xfId="0" applyBorder="1"/>
    <xf numFmtId="0" fontId="5" fillId="0" borderId="10" xfId="0" applyFont="1" applyBorder="1"/>
    <xf numFmtId="164" fontId="0" fillId="0" borderId="11" xfId="0" applyNumberFormat="1" applyBorder="1"/>
    <xf numFmtId="0" fontId="0" fillId="0" borderId="13" xfId="0" applyBorder="1"/>
    <xf numFmtId="164" fontId="0" fillId="0" borderId="2" xfId="0" applyNumberFormat="1" applyBorder="1"/>
    <xf numFmtId="164" fontId="0" fillId="0" borderId="14" xfId="0" applyNumberFormat="1" applyBorder="1"/>
    <xf numFmtId="0" fontId="26" fillId="0" borderId="0" xfId="16" applyAlignment="1">
      <alignment horizontal="right"/>
    </xf>
    <xf numFmtId="0" fontId="26" fillId="0" borderId="0" xfId="16" applyAlignment="1">
      <alignment horizontal="left"/>
    </xf>
    <xf numFmtId="0" fontId="26" fillId="0" borderId="0" xfId="16"/>
    <xf numFmtId="171" fontId="26" fillId="0" borderId="0" xfId="16" applyNumberFormat="1"/>
    <xf numFmtId="10" fontId="26" fillId="0" borderId="0" xfId="16" applyNumberFormat="1" applyAlignment="1">
      <alignment horizontal="center"/>
    </xf>
    <xf numFmtId="10" fontId="26" fillId="0" borderId="0" xfId="16" applyNumberFormat="1"/>
    <xf numFmtId="171" fontId="26" fillId="0" borderId="0" xfId="16" applyNumberFormat="1" applyAlignment="1">
      <alignment horizontal="center"/>
    </xf>
    <xf numFmtId="0" fontId="12" fillId="0" borderId="0" xfId="6" applyFont="1" applyAlignment="1"/>
    <xf numFmtId="0" fontId="9" fillId="0" borderId="0" xfId="6" applyAlignment="1"/>
    <xf numFmtId="0" fontId="10" fillId="0" borderId="1" xfId="6" applyFont="1" applyBorder="1" applyAlignment="1">
      <alignment horizontal="center"/>
    </xf>
    <xf numFmtId="0" fontId="8" fillId="0" borderId="0" xfId="1" applyFont="1" applyAlignment="1">
      <alignment horizontal="center"/>
    </xf>
    <xf numFmtId="0" fontId="0" fillId="0" borderId="0" xfId="0" applyAlignment="1">
      <alignment horizontal="center"/>
    </xf>
    <xf numFmtId="0" fontId="9" fillId="0" borderId="0" xfId="6" applyAlignment="1">
      <alignment horizontal="center"/>
    </xf>
    <xf numFmtId="0" fontId="10" fillId="0" borderId="0" xfId="6" applyFont="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9" fillId="0" borderId="0" xfId="6" applyFont="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4" xfId="0" applyFont="1" applyBorder="1" applyAlignment="1">
      <alignment horizontal="center" vertical="center" wrapText="1"/>
    </xf>
    <xf numFmtId="0" fontId="17" fillId="3" borderId="6" xfId="0" applyFont="1" applyFill="1" applyBorder="1" applyAlignment="1">
      <alignment horizontal="center" wrapText="1"/>
    </xf>
    <xf numFmtId="0" fontId="17" fillId="3" borderId="7" xfId="0" applyFont="1" applyFill="1" applyBorder="1" applyAlignment="1">
      <alignment horizontal="center" wrapText="1"/>
    </xf>
    <xf numFmtId="0" fontId="17" fillId="3" borderId="8" xfId="0" applyFont="1" applyFill="1" applyBorder="1" applyAlignment="1">
      <alignment horizontal="center" wrapText="1"/>
    </xf>
    <xf numFmtId="0" fontId="17" fillId="3" borderId="10" xfId="0" applyFont="1" applyFill="1" applyBorder="1" applyAlignment="1">
      <alignment horizontal="center" wrapText="1"/>
    </xf>
    <xf numFmtId="0" fontId="17" fillId="3" borderId="0" xfId="0" applyFont="1" applyFill="1" applyBorder="1" applyAlignment="1">
      <alignment horizontal="center" wrapText="1"/>
    </xf>
    <xf numFmtId="0" fontId="17" fillId="3" borderId="11" xfId="0" applyFont="1" applyFill="1" applyBorder="1" applyAlignment="1">
      <alignment horizontal="center" wrapText="1"/>
    </xf>
    <xf numFmtId="0" fontId="17" fillId="3" borderId="13" xfId="0" applyFont="1" applyFill="1" applyBorder="1" applyAlignment="1">
      <alignment horizontal="center" wrapText="1"/>
    </xf>
    <xf numFmtId="0" fontId="17" fillId="3" borderId="2" xfId="0" applyFont="1" applyFill="1" applyBorder="1" applyAlignment="1">
      <alignment horizontal="center" wrapText="1"/>
    </xf>
    <xf numFmtId="0" fontId="17" fillId="3" borderId="14" xfId="0" applyFont="1" applyFill="1" applyBorder="1" applyAlignment="1">
      <alignment horizontal="center" wrapText="1"/>
    </xf>
    <xf numFmtId="0" fontId="0" fillId="3" borderId="6"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3" xfId="0" applyFont="1" applyFill="1" applyBorder="1" applyAlignment="1">
      <alignment horizontal="center" vertical="center"/>
    </xf>
    <xf numFmtId="0" fontId="25" fillId="0" borderId="16" xfId="0" applyFont="1" applyBorder="1" applyAlignment="1">
      <alignment horizontal="center" vertical="top"/>
    </xf>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0"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21" xfId="0" applyFont="1" applyFill="1" applyBorder="1" applyAlignment="1">
      <alignment horizontal="left" vertical="center"/>
    </xf>
    <xf numFmtId="0" fontId="24" fillId="3" borderId="22" xfId="0" applyFont="1" applyFill="1" applyBorder="1" applyAlignment="1">
      <alignment horizontal="left" vertical="center"/>
    </xf>
    <xf numFmtId="0" fontId="24" fillId="3" borderId="23" xfId="0" applyFont="1" applyFill="1" applyBorder="1" applyAlignment="1">
      <alignment horizontal="left" vertical="center"/>
    </xf>
    <xf numFmtId="0" fontId="9" fillId="0" borderId="0" xfId="11"/>
    <xf numFmtId="0" fontId="9" fillId="4" borderId="0" xfId="11" applyFill="1"/>
    <xf numFmtId="0" fontId="10" fillId="0" borderId="0" xfId="11" applyFont="1"/>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left" vertical="center" wrapText="1"/>
    </xf>
    <xf numFmtId="0" fontId="0" fillId="0" borderId="14" xfId="0" applyBorder="1" applyAlignment="1">
      <alignment horizontal="left"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0" fillId="0" borderId="10" xfId="0" applyBorder="1" applyAlignment="1">
      <alignment horizontal="center" vertical="center"/>
    </xf>
    <xf numFmtId="0" fontId="5" fillId="0" borderId="0" xfId="0" applyFont="1" applyAlignment="1">
      <alignment horizontal="center" vertical="center" wrapText="1"/>
    </xf>
  </cellXfs>
  <cellStyles count="17">
    <cellStyle name="Comma 2" xfId="9" xr:uid="{00000000-0005-0000-0000-000000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 name="Normal 2" xfId="1" xr:uid="{00000000-0005-0000-0000-000008000000}"/>
    <cellStyle name="Normal 2 2" xfId="11" xr:uid="{00000000-0005-0000-0000-000009000000}"/>
    <cellStyle name="Normal 3" xfId="6" xr:uid="{00000000-0005-0000-0000-00000A000000}"/>
    <cellStyle name="Normal 4" xfId="10" xr:uid="{00000000-0005-0000-0000-00000B000000}"/>
    <cellStyle name="Normal 5" xfId="16" xr:uid="{EEDC71FA-9051-A24F-9F38-653B5CCDFE1B}"/>
    <cellStyle name="Percent" xfId="15" builtinId="5"/>
    <cellStyle name="Percent 2" xfId="12" xr:uid="{00000000-0005-0000-0000-00000D000000}"/>
    <cellStyle name="Percent 3" xfId="13" xr:uid="{00000000-0005-0000-0000-00000E000000}"/>
    <cellStyle name="Percent 4" xfId="14" xr:uid="{00000000-0005-0000-0000-00000F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Gráfica de Individuales</a:t>
            </a:r>
          </a:p>
        </c:rich>
      </c:tx>
      <c:layout>
        <c:manualLayout>
          <c:xMode val="edge"/>
          <c:yMode val="edge"/>
          <c:x val="0.34626827818737099"/>
          <c:y val="4.4025022034007599E-2"/>
        </c:manualLayout>
      </c:layout>
      <c:overlay val="0"/>
      <c:spPr>
        <a:noFill/>
        <a:ln w="25400">
          <a:noFill/>
        </a:ln>
      </c:spPr>
    </c:title>
    <c:autoTitleDeleted val="0"/>
    <c:plotArea>
      <c:layout>
        <c:manualLayout>
          <c:layoutTarget val="inner"/>
          <c:xMode val="edge"/>
          <c:yMode val="edge"/>
          <c:x val="0.104477497728948"/>
          <c:y val="0.25786084334204501"/>
          <c:w val="0.85970055274105805"/>
          <c:h val="0.44653950920207702"/>
        </c:manualLayout>
      </c:layout>
      <c:lineChart>
        <c:grouping val="standard"/>
        <c:varyColors val="0"/>
        <c:ser>
          <c:idx val="0"/>
          <c:order val="0"/>
          <c:tx>
            <c:strRef>
              <c:f>'1'!$B$30</c:f>
              <c:strCache>
                <c:ptCount val="1"/>
                <c:pt idx="0">
                  <c:v>Operaciones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'1'!$B$31:$B$44</c:f>
              <c:numCache>
                <c:formatCode>General</c:formatCode>
                <c:ptCount val="14"/>
                <c:pt idx="0">
                  <c:v>295</c:v>
                </c:pt>
                <c:pt idx="1">
                  <c:v>306</c:v>
                </c:pt>
                <c:pt idx="2">
                  <c:v>292</c:v>
                </c:pt>
                <c:pt idx="3">
                  <c:v>297</c:v>
                </c:pt>
                <c:pt idx="4">
                  <c:v>294</c:v>
                </c:pt>
                <c:pt idx="5">
                  <c:v>343</c:v>
                </c:pt>
                <c:pt idx="6">
                  <c:v>285</c:v>
                </c:pt>
                <c:pt idx="7">
                  <c:v>240</c:v>
                </c:pt>
                <c:pt idx="8">
                  <c:v>329</c:v>
                </c:pt>
                <c:pt idx="9">
                  <c:v>305</c:v>
                </c:pt>
                <c:pt idx="10">
                  <c:v>277</c:v>
                </c:pt>
                <c:pt idx="11">
                  <c:v>260</c:v>
                </c:pt>
                <c:pt idx="12">
                  <c:v>337</c:v>
                </c:pt>
                <c:pt idx="13">
                  <c:v>320</c:v>
                </c:pt>
              </c:numCache>
            </c:numRef>
          </c:val>
          <c:smooth val="0"/>
          <c:extLst>
            <c:ext xmlns:c16="http://schemas.microsoft.com/office/drawing/2014/chart" uri="{C3380CC4-5D6E-409C-BE32-E72D297353CC}">
              <c16:uniqueId val="{00000000-0D01-2B44-8FC6-F2F1534AA33B}"/>
            </c:ext>
          </c:extLst>
        </c:ser>
        <c:dLbls>
          <c:showLegendKey val="0"/>
          <c:showVal val="0"/>
          <c:showCatName val="0"/>
          <c:showSerName val="0"/>
          <c:showPercent val="0"/>
          <c:showBubbleSize val="0"/>
        </c:dLbls>
        <c:marker val="1"/>
        <c:smooth val="0"/>
        <c:axId val="1047340696"/>
        <c:axId val="1047345448"/>
      </c:lineChart>
      <c:catAx>
        <c:axId val="1047340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047345448"/>
        <c:crosses val="autoZero"/>
        <c:auto val="1"/>
        <c:lblAlgn val="ctr"/>
        <c:lblOffset val="100"/>
        <c:tickLblSkip val="1"/>
        <c:tickMarkSkip val="1"/>
        <c:noMultiLvlLbl val="0"/>
      </c:catAx>
      <c:valAx>
        <c:axId val="1047345448"/>
        <c:scaling>
          <c:orientation val="minMax"/>
          <c:max val="400"/>
          <c:min val="2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047340696"/>
        <c:crosses val="autoZero"/>
        <c:crossBetween val="between"/>
        <c:majorUnit val="20"/>
        <c:minorUnit val="20"/>
      </c:valAx>
      <c:spPr>
        <a:solidFill>
          <a:srgbClr val="C0C0C0"/>
        </a:solidFill>
        <a:ln w="12700">
          <a:solidFill>
            <a:srgbClr val="808080"/>
          </a:solidFill>
          <a:prstDash val="solid"/>
        </a:ln>
      </c:spPr>
    </c:plotArea>
    <c:legend>
      <c:legendPos val="b"/>
      <c:layout>
        <c:manualLayout>
          <c:xMode val="edge"/>
          <c:yMode val="edge"/>
          <c:x val="0.41492491955210797"/>
          <c:y val="0.87421115181815101"/>
          <c:w val="0.23283556636736999"/>
          <c:h val="8.80500440680151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CR"/>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n-US"/>
              <a:t>Gráfica X</a:t>
            </a:r>
          </a:p>
        </c:rich>
      </c:tx>
      <c:layout>
        <c:manualLayout>
          <c:xMode val="edge"/>
          <c:yMode val="edge"/>
          <c:x val="0.44133113614738601"/>
          <c:y val="3.1700288184438E-2"/>
        </c:manualLayout>
      </c:layout>
      <c:overlay val="0"/>
      <c:spPr>
        <a:noFill/>
        <a:ln w="25400">
          <a:noFill/>
        </a:ln>
      </c:spPr>
    </c:title>
    <c:autoTitleDeleted val="0"/>
    <c:plotArea>
      <c:layout>
        <c:manualLayout>
          <c:layoutTarget val="inner"/>
          <c:xMode val="edge"/>
          <c:yMode val="edge"/>
          <c:x val="9.1068320694813201E-2"/>
          <c:y val="0.16138345562071099"/>
          <c:w val="0.88966744063394498"/>
          <c:h val="0.68876153380981797"/>
        </c:manualLayout>
      </c:layout>
      <c:lineChart>
        <c:grouping val="standard"/>
        <c:varyColors val="0"/>
        <c:ser>
          <c:idx val="0"/>
          <c:order val="0"/>
          <c:tx>
            <c:strRef>
              <c:f>'4'!$A$1</c:f>
              <c:strCache>
                <c:ptCount val="1"/>
                <c:pt idx="0">
                  <c:v>Promedio</c:v>
                </c:pt>
              </c:strCache>
            </c:strRef>
          </c:tx>
          <c:spPr>
            <a:ln w="25400">
              <a:solidFill>
                <a:srgbClr val="63AAFE"/>
              </a:solidFill>
              <a:prstDash val="solid"/>
            </a:ln>
          </c:spPr>
          <c:marker>
            <c:symbol val="diamond"/>
            <c:size val="7"/>
            <c:spPr>
              <a:solidFill>
                <a:srgbClr val="63AAFE"/>
              </a:solidFill>
              <a:ln>
                <a:solidFill>
                  <a:srgbClr val="63AAFE"/>
                </a:solidFill>
                <a:prstDash val="solid"/>
              </a:ln>
              <a:effectLst>
                <a:outerShdw dist="35921" dir="2700000" algn="br">
                  <a:srgbClr val="000000"/>
                </a:outerShdw>
              </a:effectLst>
            </c:spPr>
          </c:marker>
          <c:val>
            <c:numRef>
              <c:f>'4'!$A$2:$A$21</c:f>
              <c:numCache>
                <c:formatCode>0.00</c:formatCode>
                <c:ptCount val="20"/>
                <c:pt idx="0">
                  <c:v>30.3</c:v>
                </c:pt>
                <c:pt idx="1">
                  <c:v>30.2</c:v>
                </c:pt>
                <c:pt idx="2">
                  <c:v>28</c:v>
                </c:pt>
                <c:pt idx="3">
                  <c:v>27</c:v>
                </c:pt>
                <c:pt idx="4">
                  <c:v>29</c:v>
                </c:pt>
                <c:pt idx="5">
                  <c:v>30.5</c:v>
                </c:pt>
                <c:pt idx="6">
                  <c:v>26.6</c:v>
                </c:pt>
                <c:pt idx="7">
                  <c:v>26.5</c:v>
                </c:pt>
                <c:pt idx="8">
                  <c:v>26.6</c:v>
                </c:pt>
                <c:pt idx="9">
                  <c:v>29</c:v>
                </c:pt>
                <c:pt idx="10">
                  <c:v>28</c:v>
                </c:pt>
                <c:pt idx="11">
                  <c:v>30.4</c:v>
                </c:pt>
                <c:pt idx="12">
                  <c:v>29</c:v>
                </c:pt>
                <c:pt idx="13">
                  <c:v>28</c:v>
                </c:pt>
                <c:pt idx="14">
                  <c:v>29</c:v>
                </c:pt>
                <c:pt idx="15">
                  <c:v>29.5</c:v>
                </c:pt>
                <c:pt idx="16">
                  <c:v>28</c:v>
                </c:pt>
                <c:pt idx="17">
                  <c:v>29.4</c:v>
                </c:pt>
                <c:pt idx="18">
                  <c:v>29.3</c:v>
                </c:pt>
                <c:pt idx="19">
                  <c:v>30</c:v>
                </c:pt>
              </c:numCache>
            </c:numRef>
          </c:val>
          <c:smooth val="0"/>
          <c:extLst>
            <c:ext xmlns:c16="http://schemas.microsoft.com/office/drawing/2014/chart" uri="{C3380CC4-5D6E-409C-BE32-E72D297353CC}">
              <c16:uniqueId val="{00000000-457B-6240-B2B8-3D3F51F857E3}"/>
            </c:ext>
          </c:extLst>
        </c:ser>
        <c:ser>
          <c:idx val="1"/>
          <c:order val="1"/>
          <c:tx>
            <c:strRef>
              <c:f>'4'!$B$1</c:f>
              <c:strCache>
                <c:ptCount val="1"/>
                <c:pt idx="0">
                  <c:v>USL</c:v>
                </c:pt>
              </c:strCache>
            </c:strRef>
          </c:tx>
          <c:spPr>
            <a:ln w="25400">
              <a:solidFill>
                <a:srgbClr val="DD2D32"/>
              </a:solidFill>
              <a:prstDash val="solid"/>
            </a:ln>
          </c:spPr>
          <c:marker>
            <c:symbol val="square"/>
            <c:size val="7"/>
            <c:spPr>
              <a:solidFill>
                <a:srgbClr val="DD2D32"/>
              </a:solidFill>
              <a:ln>
                <a:solidFill>
                  <a:srgbClr val="DD2D32"/>
                </a:solidFill>
                <a:prstDash val="solid"/>
              </a:ln>
              <a:effectLst>
                <a:outerShdw dist="35921" dir="2700000" algn="br">
                  <a:srgbClr val="000000"/>
                </a:outerShdw>
              </a:effectLst>
            </c:spPr>
          </c:marker>
          <c:val>
            <c:numRef>
              <c:f>'4'!$B$2:$B$21</c:f>
              <c:numCache>
                <c:formatCode>0.000</c:formatCode>
                <c:ptCount val="20"/>
                <c:pt idx="0">
                  <c:v>31.105849999999997</c:v>
                </c:pt>
                <c:pt idx="1">
                  <c:v>31.105849999999997</c:v>
                </c:pt>
                <c:pt idx="2">
                  <c:v>31.105849999999997</c:v>
                </c:pt>
                <c:pt idx="3">
                  <c:v>31.105849999999997</c:v>
                </c:pt>
                <c:pt idx="4">
                  <c:v>31.105849999999997</c:v>
                </c:pt>
                <c:pt idx="5">
                  <c:v>31.105849999999997</c:v>
                </c:pt>
                <c:pt idx="6">
                  <c:v>31.105849999999997</c:v>
                </c:pt>
                <c:pt idx="7">
                  <c:v>31.105849999999997</c:v>
                </c:pt>
                <c:pt idx="8">
                  <c:v>31.105849999999997</c:v>
                </c:pt>
                <c:pt idx="9">
                  <c:v>31.105849999999997</c:v>
                </c:pt>
                <c:pt idx="10">
                  <c:v>31.105849999999997</c:v>
                </c:pt>
                <c:pt idx="11">
                  <c:v>31.105849999999997</c:v>
                </c:pt>
                <c:pt idx="12">
                  <c:v>31.105849999999997</c:v>
                </c:pt>
                <c:pt idx="13">
                  <c:v>31.105849999999997</c:v>
                </c:pt>
                <c:pt idx="14">
                  <c:v>31.105849999999997</c:v>
                </c:pt>
                <c:pt idx="15">
                  <c:v>31.105849999999997</c:v>
                </c:pt>
                <c:pt idx="16">
                  <c:v>31.105849999999997</c:v>
                </c:pt>
                <c:pt idx="17">
                  <c:v>31.105849999999997</c:v>
                </c:pt>
                <c:pt idx="18">
                  <c:v>31.105849999999997</c:v>
                </c:pt>
                <c:pt idx="19">
                  <c:v>31.105849999999997</c:v>
                </c:pt>
              </c:numCache>
            </c:numRef>
          </c:val>
          <c:smooth val="0"/>
          <c:extLst>
            <c:ext xmlns:c16="http://schemas.microsoft.com/office/drawing/2014/chart" uri="{C3380CC4-5D6E-409C-BE32-E72D297353CC}">
              <c16:uniqueId val="{00000001-457B-6240-B2B8-3D3F51F857E3}"/>
            </c:ext>
          </c:extLst>
        </c:ser>
        <c:ser>
          <c:idx val="2"/>
          <c:order val="2"/>
          <c:tx>
            <c:strRef>
              <c:f>'4'!$C$1</c:f>
              <c:strCache>
                <c:ptCount val="1"/>
                <c:pt idx="0">
                  <c:v>CSL</c:v>
                </c:pt>
              </c:strCache>
            </c:strRef>
          </c:tx>
          <c:spPr>
            <a:ln w="25400">
              <a:solidFill>
                <a:srgbClr val="FFF58C"/>
              </a:solidFill>
              <a:prstDash val="solid"/>
            </a:ln>
          </c:spPr>
          <c:marker>
            <c:symbol val="triangle"/>
            <c:size val="7"/>
            <c:spPr>
              <a:solidFill>
                <a:srgbClr val="FFF58C"/>
              </a:solidFill>
              <a:ln>
                <a:solidFill>
                  <a:srgbClr val="FFF58C"/>
                </a:solidFill>
                <a:prstDash val="solid"/>
              </a:ln>
              <a:effectLst>
                <a:outerShdw dist="35921" dir="2700000" algn="br">
                  <a:srgbClr val="000000"/>
                </a:outerShdw>
              </a:effectLst>
            </c:spPr>
          </c:marker>
          <c:val>
            <c:numRef>
              <c:f>'4'!$C$2:$C$21</c:f>
              <c:numCache>
                <c:formatCode>0.000</c:formatCode>
                <c:ptCount val="20"/>
                <c:pt idx="0">
                  <c:v>28.714999999999996</c:v>
                </c:pt>
                <c:pt idx="1">
                  <c:v>28.714999999999996</c:v>
                </c:pt>
                <c:pt idx="2">
                  <c:v>28.714999999999996</c:v>
                </c:pt>
                <c:pt idx="3">
                  <c:v>28.714999999999996</c:v>
                </c:pt>
                <c:pt idx="4">
                  <c:v>28.714999999999996</c:v>
                </c:pt>
                <c:pt idx="5">
                  <c:v>28.714999999999996</c:v>
                </c:pt>
                <c:pt idx="6">
                  <c:v>28.714999999999996</c:v>
                </c:pt>
                <c:pt idx="7">
                  <c:v>28.714999999999996</c:v>
                </c:pt>
                <c:pt idx="8">
                  <c:v>28.714999999999996</c:v>
                </c:pt>
                <c:pt idx="9">
                  <c:v>28.714999999999996</c:v>
                </c:pt>
                <c:pt idx="10">
                  <c:v>28.714999999999996</c:v>
                </c:pt>
                <c:pt idx="11">
                  <c:v>28.714999999999996</c:v>
                </c:pt>
                <c:pt idx="12">
                  <c:v>28.714999999999996</c:v>
                </c:pt>
                <c:pt idx="13">
                  <c:v>28.714999999999996</c:v>
                </c:pt>
                <c:pt idx="14">
                  <c:v>28.714999999999996</c:v>
                </c:pt>
                <c:pt idx="15">
                  <c:v>28.714999999999996</c:v>
                </c:pt>
                <c:pt idx="16">
                  <c:v>28.714999999999996</c:v>
                </c:pt>
                <c:pt idx="17">
                  <c:v>28.714999999999996</c:v>
                </c:pt>
                <c:pt idx="18">
                  <c:v>28.714999999999996</c:v>
                </c:pt>
                <c:pt idx="19">
                  <c:v>28.714999999999996</c:v>
                </c:pt>
              </c:numCache>
            </c:numRef>
          </c:val>
          <c:smooth val="0"/>
          <c:extLst>
            <c:ext xmlns:c16="http://schemas.microsoft.com/office/drawing/2014/chart" uri="{C3380CC4-5D6E-409C-BE32-E72D297353CC}">
              <c16:uniqueId val="{00000002-457B-6240-B2B8-3D3F51F857E3}"/>
            </c:ext>
          </c:extLst>
        </c:ser>
        <c:ser>
          <c:idx val="3"/>
          <c:order val="3"/>
          <c:tx>
            <c:strRef>
              <c:f>'4'!$D$1</c:f>
              <c:strCache>
                <c:ptCount val="1"/>
                <c:pt idx="0">
                  <c:v>LSL</c:v>
                </c:pt>
              </c:strCache>
            </c:strRef>
          </c:tx>
          <c:spPr>
            <a:ln w="25400">
              <a:solidFill>
                <a:srgbClr val="4EE257"/>
              </a:solidFill>
              <a:prstDash val="solid"/>
            </a:ln>
          </c:spPr>
          <c:marker>
            <c:symbol val="x"/>
            <c:size val="7"/>
            <c:spPr>
              <a:noFill/>
              <a:ln>
                <a:solidFill>
                  <a:srgbClr val="4EE257"/>
                </a:solidFill>
                <a:prstDash val="solid"/>
              </a:ln>
              <a:effectLst>
                <a:outerShdw dist="35921" dir="2700000" algn="br">
                  <a:srgbClr val="000000"/>
                </a:outerShdw>
              </a:effectLst>
            </c:spPr>
          </c:marker>
          <c:val>
            <c:numRef>
              <c:f>'4'!$D$2:$D$21</c:f>
              <c:numCache>
                <c:formatCode>0.000</c:formatCode>
                <c:ptCount val="20"/>
                <c:pt idx="0">
                  <c:v>26.324149999999996</c:v>
                </c:pt>
                <c:pt idx="1">
                  <c:v>26.324149999999996</c:v>
                </c:pt>
                <c:pt idx="2">
                  <c:v>26.324149999999996</c:v>
                </c:pt>
                <c:pt idx="3">
                  <c:v>26.324149999999996</c:v>
                </c:pt>
                <c:pt idx="4">
                  <c:v>26.324149999999996</c:v>
                </c:pt>
                <c:pt idx="5">
                  <c:v>26.324149999999996</c:v>
                </c:pt>
                <c:pt idx="6">
                  <c:v>26.324149999999996</c:v>
                </c:pt>
                <c:pt idx="7">
                  <c:v>26.324149999999996</c:v>
                </c:pt>
                <c:pt idx="8">
                  <c:v>26.324149999999996</c:v>
                </c:pt>
                <c:pt idx="9">
                  <c:v>26.324149999999996</c:v>
                </c:pt>
                <c:pt idx="10">
                  <c:v>26.324149999999996</c:v>
                </c:pt>
                <c:pt idx="11">
                  <c:v>26.324149999999996</c:v>
                </c:pt>
                <c:pt idx="12">
                  <c:v>26.324149999999996</c:v>
                </c:pt>
                <c:pt idx="13">
                  <c:v>26.324149999999996</c:v>
                </c:pt>
                <c:pt idx="14">
                  <c:v>26.324149999999996</c:v>
                </c:pt>
                <c:pt idx="15">
                  <c:v>26.324149999999996</c:v>
                </c:pt>
                <c:pt idx="16">
                  <c:v>26.324149999999996</c:v>
                </c:pt>
                <c:pt idx="17">
                  <c:v>26.324149999999996</c:v>
                </c:pt>
                <c:pt idx="18">
                  <c:v>26.324149999999996</c:v>
                </c:pt>
                <c:pt idx="19">
                  <c:v>26.324149999999996</c:v>
                </c:pt>
              </c:numCache>
            </c:numRef>
          </c:val>
          <c:smooth val="0"/>
          <c:extLst>
            <c:ext xmlns:c16="http://schemas.microsoft.com/office/drawing/2014/chart" uri="{C3380CC4-5D6E-409C-BE32-E72D297353CC}">
              <c16:uniqueId val="{00000003-457B-6240-B2B8-3D3F51F857E3}"/>
            </c:ext>
          </c:extLst>
        </c:ser>
        <c:dLbls>
          <c:showLegendKey val="0"/>
          <c:showVal val="0"/>
          <c:showCatName val="0"/>
          <c:showSerName val="0"/>
          <c:showPercent val="0"/>
          <c:showBubbleSize val="0"/>
        </c:dLbls>
        <c:marker val="1"/>
        <c:smooth val="0"/>
        <c:axId val="1047251352"/>
        <c:axId val="1047255816"/>
      </c:lineChart>
      <c:catAx>
        <c:axId val="1047251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CR"/>
          </a:p>
        </c:txPr>
        <c:crossAx val="1047255816"/>
        <c:crosses val="autoZero"/>
        <c:auto val="1"/>
        <c:lblAlgn val="ctr"/>
        <c:lblOffset val="100"/>
        <c:tickLblSkip val="1"/>
        <c:tickMarkSkip val="1"/>
        <c:noMultiLvlLbl val="0"/>
      </c:catAx>
      <c:valAx>
        <c:axId val="1047255816"/>
        <c:scaling>
          <c:orientation val="minMax"/>
          <c:min val="24"/>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CR"/>
          </a:p>
        </c:txPr>
        <c:crossAx val="1047251352"/>
        <c:crosses val="autoZero"/>
        <c:crossBetween val="between"/>
      </c:valAx>
      <c:spPr>
        <a:solidFill>
          <a:srgbClr val="CDCDCD"/>
        </a:solidFill>
        <a:ln w="12700">
          <a:solidFill>
            <a:srgbClr val="808080"/>
          </a:solidFill>
          <a:prstDash val="solid"/>
        </a:ln>
      </c:spPr>
    </c:plotArea>
    <c:legend>
      <c:legendPos val="r"/>
      <c:layout>
        <c:manualLayout>
          <c:xMode val="edge"/>
          <c:yMode val="edge"/>
          <c:x val="0.332749700070328"/>
          <c:y val="0.94236402005945197"/>
          <c:w val="0.41331012038556503"/>
          <c:h val="4.3227665706051799E-2"/>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n-US"/>
              <a:t>Gráfica R</a:t>
            </a:r>
          </a:p>
        </c:rich>
      </c:tx>
      <c:layout>
        <c:manualLayout>
          <c:xMode val="edge"/>
          <c:yMode val="edge"/>
          <c:x val="0.44133113614738601"/>
          <c:y val="3.1884057971014498E-2"/>
        </c:manualLayout>
      </c:layout>
      <c:overlay val="0"/>
      <c:spPr>
        <a:noFill/>
        <a:ln w="25400">
          <a:noFill/>
        </a:ln>
      </c:spPr>
    </c:title>
    <c:autoTitleDeleted val="0"/>
    <c:plotArea>
      <c:layout>
        <c:manualLayout>
          <c:layoutTarget val="inner"/>
          <c:xMode val="edge"/>
          <c:yMode val="edge"/>
          <c:x val="0.10157620385190699"/>
          <c:y val="0.16231878314694301"/>
          <c:w val="0.87915955747685104"/>
          <c:h val="0.68695627867545594"/>
        </c:manualLayout>
      </c:layout>
      <c:lineChart>
        <c:grouping val="standard"/>
        <c:varyColors val="0"/>
        <c:ser>
          <c:idx val="0"/>
          <c:order val="0"/>
          <c:tx>
            <c:strRef>
              <c:f>'4'!$F$1</c:f>
              <c:strCache>
                <c:ptCount val="1"/>
                <c:pt idx="0">
                  <c:v>USL</c:v>
                </c:pt>
              </c:strCache>
            </c:strRef>
          </c:tx>
          <c:spPr>
            <a:ln w="25400">
              <a:solidFill>
                <a:srgbClr val="63AAFE"/>
              </a:solidFill>
              <a:prstDash val="solid"/>
            </a:ln>
          </c:spPr>
          <c:marker>
            <c:symbol val="diamond"/>
            <c:size val="7"/>
            <c:spPr>
              <a:solidFill>
                <a:srgbClr val="63AAFE"/>
              </a:solidFill>
              <a:ln>
                <a:solidFill>
                  <a:srgbClr val="63AAFE"/>
                </a:solidFill>
                <a:prstDash val="solid"/>
              </a:ln>
              <a:effectLst>
                <a:outerShdw dist="35921" dir="2700000" algn="br">
                  <a:srgbClr val="000000"/>
                </a:outerShdw>
              </a:effectLst>
            </c:spPr>
          </c:marker>
          <c:val>
            <c:numRef>
              <c:f>'4'!$F$2:$F$21</c:f>
              <c:numCache>
                <c:formatCode>0.000</c:formatCode>
                <c:ptCount val="20"/>
                <c:pt idx="0">
                  <c:v>9.9198000000000004</c:v>
                </c:pt>
                <c:pt idx="1">
                  <c:v>9.9198000000000004</c:v>
                </c:pt>
                <c:pt idx="2">
                  <c:v>9.9198000000000004</c:v>
                </c:pt>
                <c:pt idx="3">
                  <c:v>9.9198000000000004</c:v>
                </c:pt>
                <c:pt idx="4">
                  <c:v>9.9198000000000004</c:v>
                </c:pt>
                <c:pt idx="5">
                  <c:v>9.9198000000000004</c:v>
                </c:pt>
                <c:pt idx="6">
                  <c:v>9.9198000000000004</c:v>
                </c:pt>
                <c:pt idx="7">
                  <c:v>9.9198000000000004</c:v>
                </c:pt>
                <c:pt idx="8">
                  <c:v>9.9198000000000004</c:v>
                </c:pt>
                <c:pt idx="9">
                  <c:v>9.9198000000000004</c:v>
                </c:pt>
                <c:pt idx="10">
                  <c:v>9.9198000000000004</c:v>
                </c:pt>
                <c:pt idx="11">
                  <c:v>9.9198000000000004</c:v>
                </c:pt>
                <c:pt idx="12">
                  <c:v>9.9198000000000004</c:v>
                </c:pt>
                <c:pt idx="13">
                  <c:v>9.9198000000000004</c:v>
                </c:pt>
                <c:pt idx="14">
                  <c:v>9.9198000000000004</c:v>
                </c:pt>
                <c:pt idx="15">
                  <c:v>9.9198000000000004</c:v>
                </c:pt>
                <c:pt idx="16">
                  <c:v>9.9198000000000004</c:v>
                </c:pt>
                <c:pt idx="17">
                  <c:v>9.9198000000000004</c:v>
                </c:pt>
                <c:pt idx="18">
                  <c:v>9.9198000000000004</c:v>
                </c:pt>
                <c:pt idx="19">
                  <c:v>9.9198000000000004</c:v>
                </c:pt>
              </c:numCache>
            </c:numRef>
          </c:val>
          <c:smooth val="0"/>
          <c:extLst>
            <c:ext xmlns:c16="http://schemas.microsoft.com/office/drawing/2014/chart" uri="{C3380CC4-5D6E-409C-BE32-E72D297353CC}">
              <c16:uniqueId val="{00000000-A030-F04E-AD18-1817B16AA97F}"/>
            </c:ext>
          </c:extLst>
        </c:ser>
        <c:ser>
          <c:idx val="1"/>
          <c:order val="1"/>
          <c:tx>
            <c:strRef>
              <c:f>'4'!$G$1</c:f>
              <c:strCache>
                <c:ptCount val="1"/>
                <c:pt idx="0">
                  <c:v>CSL</c:v>
                </c:pt>
              </c:strCache>
            </c:strRef>
          </c:tx>
          <c:spPr>
            <a:ln w="25400">
              <a:solidFill>
                <a:srgbClr val="DD2D32"/>
              </a:solidFill>
              <a:prstDash val="solid"/>
            </a:ln>
          </c:spPr>
          <c:marker>
            <c:symbol val="square"/>
            <c:size val="7"/>
            <c:spPr>
              <a:solidFill>
                <a:srgbClr val="DD2D32"/>
              </a:solidFill>
              <a:ln>
                <a:solidFill>
                  <a:srgbClr val="DD2D32"/>
                </a:solidFill>
                <a:prstDash val="solid"/>
              </a:ln>
              <a:effectLst>
                <a:outerShdw dist="35921" dir="2700000" algn="br">
                  <a:srgbClr val="000000"/>
                </a:outerShdw>
              </a:effectLst>
            </c:spPr>
          </c:marker>
          <c:val>
            <c:numRef>
              <c:f>'4'!$G$2:$G$21</c:f>
              <c:numCache>
                <c:formatCode>0.000</c:formatCode>
                <c:ptCount val="20"/>
                <c:pt idx="0">
                  <c:v>4.95</c:v>
                </c:pt>
                <c:pt idx="1">
                  <c:v>4.95</c:v>
                </c:pt>
                <c:pt idx="2">
                  <c:v>4.95</c:v>
                </c:pt>
                <c:pt idx="3">
                  <c:v>4.95</c:v>
                </c:pt>
                <c:pt idx="4">
                  <c:v>4.95</c:v>
                </c:pt>
                <c:pt idx="5">
                  <c:v>4.95</c:v>
                </c:pt>
                <c:pt idx="6">
                  <c:v>4.95</c:v>
                </c:pt>
                <c:pt idx="7">
                  <c:v>4.95</c:v>
                </c:pt>
                <c:pt idx="8">
                  <c:v>4.95</c:v>
                </c:pt>
                <c:pt idx="9">
                  <c:v>4.95</c:v>
                </c:pt>
                <c:pt idx="10">
                  <c:v>4.95</c:v>
                </c:pt>
                <c:pt idx="11">
                  <c:v>4.95</c:v>
                </c:pt>
                <c:pt idx="12">
                  <c:v>4.95</c:v>
                </c:pt>
                <c:pt idx="13">
                  <c:v>4.95</c:v>
                </c:pt>
                <c:pt idx="14">
                  <c:v>4.95</c:v>
                </c:pt>
                <c:pt idx="15">
                  <c:v>4.95</c:v>
                </c:pt>
                <c:pt idx="16">
                  <c:v>4.95</c:v>
                </c:pt>
                <c:pt idx="17">
                  <c:v>4.95</c:v>
                </c:pt>
                <c:pt idx="18">
                  <c:v>4.95</c:v>
                </c:pt>
                <c:pt idx="19">
                  <c:v>4.95</c:v>
                </c:pt>
              </c:numCache>
            </c:numRef>
          </c:val>
          <c:smooth val="0"/>
          <c:extLst>
            <c:ext xmlns:c16="http://schemas.microsoft.com/office/drawing/2014/chart" uri="{C3380CC4-5D6E-409C-BE32-E72D297353CC}">
              <c16:uniqueId val="{00000001-A030-F04E-AD18-1817B16AA97F}"/>
            </c:ext>
          </c:extLst>
        </c:ser>
        <c:ser>
          <c:idx val="2"/>
          <c:order val="2"/>
          <c:tx>
            <c:strRef>
              <c:f>'4'!$H$1</c:f>
              <c:strCache>
                <c:ptCount val="1"/>
                <c:pt idx="0">
                  <c:v>LSL</c:v>
                </c:pt>
              </c:strCache>
            </c:strRef>
          </c:tx>
          <c:spPr>
            <a:ln w="25400">
              <a:solidFill>
                <a:srgbClr val="FFF58C"/>
              </a:solidFill>
              <a:prstDash val="solid"/>
            </a:ln>
          </c:spPr>
          <c:marker>
            <c:symbol val="triangle"/>
            <c:size val="7"/>
            <c:spPr>
              <a:solidFill>
                <a:srgbClr val="FFF58C"/>
              </a:solidFill>
              <a:ln>
                <a:solidFill>
                  <a:srgbClr val="FFF58C"/>
                </a:solidFill>
                <a:prstDash val="solid"/>
              </a:ln>
              <a:effectLst>
                <a:outerShdw dist="35921" dir="2700000" algn="br">
                  <a:srgbClr val="000000"/>
                </a:outerShdw>
              </a:effectLst>
            </c:spPr>
          </c:marker>
          <c:val>
            <c:numRef>
              <c:f>'4'!$H$2:$H$21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2-A030-F04E-AD18-1817B16AA97F}"/>
            </c:ext>
          </c:extLst>
        </c:ser>
        <c:ser>
          <c:idx val="3"/>
          <c:order val="3"/>
          <c:tx>
            <c:strRef>
              <c:f>'4'!$I$1</c:f>
              <c:strCache>
                <c:ptCount val="1"/>
                <c:pt idx="0">
                  <c:v>Rango</c:v>
                </c:pt>
              </c:strCache>
            </c:strRef>
          </c:tx>
          <c:spPr>
            <a:ln w="25400">
              <a:solidFill>
                <a:srgbClr val="4EE257"/>
              </a:solidFill>
              <a:prstDash val="solid"/>
            </a:ln>
          </c:spPr>
          <c:marker>
            <c:symbol val="x"/>
            <c:size val="7"/>
            <c:spPr>
              <a:noFill/>
              <a:ln>
                <a:solidFill>
                  <a:srgbClr val="4EE257"/>
                </a:solidFill>
                <a:prstDash val="solid"/>
              </a:ln>
              <a:effectLst>
                <a:outerShdw dist="35921" dir="2700000" algn="br">
                  <a:srgbClr val="000000"/>
                </a:outerShdw>
              </a:effectLst>
            </c:spPr>
          </c:marker>
          <c:val>
            <c:numRef>
              <c:f>'4'!$I$2:$I$21</c:f>
              <c:numCache>
                <c:formatCode>0.000</c:formatCode>
                <c:ptCount val="20"/>
                <c:pt idx="0">
                  <c:v>5</c:v>
                </c:pt>
                <c:pt idx="1">
                  <c:v>8</c:v>
                </c:pt>
                <c:pt idx="2">
                  <c:v>6</c:v>
                </c:pt>
                <c:pt idx="3">
                  <c:v>4</c:v>
                </c:pt>
                <c:pt idx="4">
                  <c:v>5</c:v>
                </c:pt>
                <c:pt idx="5">
                  <c:v>2</c:v>
                </c:pt>
                <c:pt idx="6">
                  <c:v>7</c:v>
                </c:pt>
                <c:pt idx="7">
                  <c:v>4</c:v>
                </c:pt>
                <c:pt idx="8">
                  <c:v>3</c:v>
                </c:pt>
                <c:pt idx="9">
                  <c:v>7</c:v>
                </c:pt>
                <c:pt idx="10">
                  <c:v>4</c:v>
                </c:pt>
                <c:pt idx="11">
                  <c:v>6</c:v>
                </c:pt>
                <c:pt idx="12">
                  <c:v>3</c:v>
                </c:pt>
                <c:pt idx="13">
                  <c:v>7</c:v>
                </c:pt>
                <c:pt idx="14">
                  <c:v>4</c:v>
                </c:pt>
                <c:pt idx="15">
                  <c:v>7</c:v>
                </c:pt>
                <c:pt idx="16">
                  <c:v>5</c:v>
                </c:pt>
                <c:pt idx="17">
                  <c:v>2</c:v>
                </c:pt>
                <c:pt idx="18">
                  <c:v>3</c:v>
                </c:pt>
                <c:pt idx="19">
                  <c:v>7</c:v>
                </c:pt>
              </c:numCache>
            </c:numRef>
          </c:val>
          <c:smooth val="0"/>
          <c:extLst>
            <c:ext xmlns:c16="http://schemas.microsoft.com/office/drawing/2014/chart" uri="{C3380CC4-5D6E-409C-BE32-E72D297353CC}">
              <c16:uniqueId val="{00000003-A030-F04E-AD18-1817B16AA97F}"/>
            </c:ext>
          </c:extLst>
        </c:ser>
        <c:dLbls>
          <c:showLegendKey val="0"/>
          <c:showVal val="0"/>
          <c:showCatName val="0"/>
          <c:showSerName val="0"/>
          <c:showPercent val="0"/>
          <c:showBubbleSize val="0"/>
        </c:dLbls>
        <c:marker val="1"/>
        <c:smooth val="0"/>
        <c:axId val="1047211608"/>
        <c:axId val="1116240856"/>
      </c:lineChart>
      <c:catAx>
        <c:axId val="1047211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CR"/>
          </a:p>
        </c:txPr>
        <c:crossAx val="1116240856"/>
        <c:crosses val="autoZero"/>
        <c:auto val="1"/>
        <c:lblAlgn val="ctr"/>
        <c:lblOffset val="100"/>
        <c:tickLblSkip val="1"/>
        <c:tickMarkSkip val="1"/>
        <c:noMultiLvlLbl val="0"/>
      </c:catAx>
      <c:valAx>
        <c:axId val="1116240856"/>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CR"/>
          </a:p>
        </c:txPr>
        <c:crossAx val="1047211608"/>
        <c:crosses val="autoZero"/>
        <c:crossBetween val="between"/>
      </c:valAx>
      <c:spPr>
        <a:solidFill>
          <a:srgbClr val="CDCDCD"/>
        </a:solidFill>
        <a:ln w="12700">
          <a:solidFill>
            <a:srgbClr val="808080"/>
          </a:solidFill>
          <a:prstDash val="solid"/>
        </a:ln>
      </c:spPr>
    </c:plotArea>
    <c:legend>
      <c:legendPos val="r"/>
      <c:layout>
        <c:manualLayout>
          <c:xMode val="edge"/>
          <c:yMode val="edge"/>
          <c:x val="0.35201414840658002"/>
          <c:y val="0.93913020655026802"/>
          <c:w val="0.385289104623743"/>
          <c:h val="4.3478260869565202E-2"/>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Verdana"/>
                <a:ea typeface="Verdana"/>
                <a:cs typeface="Verdana"/>
              </a:defRPr>
            </a:pPr>
            <a:r>
              <a:rPr lang="en-US"/>
              <a:t>Gráfica R</a:t>
            </a:r>
          </a:p>
        </c:rich>
      </c:tx>
      <c:layout>
        <c:manualLayout>
          <c:xMode val="edge"/>
          <c:yMode val="edge"/>
          <c:x val="0.44096442462764401"/>
          <c:y val="3.7037037037037E-2"/>
        </c:manualLayout>
      </c:layout>
      <c:overlay val="0"/>
      <c:spPr>
        <a:noFill/>
        <a:ln w="25400">
          <a:noFill/>
        </a:ln>
      </c:spPr>
    </c:title>
    <c:autoTitleDeleted val="0"/>
    <c:plotArea>
      <c:layout>
        <c:manualLayout>
          <c:layoutTarget val="inner"/>
          <c:xMode val="edge"/>
          <c:yMode val="edge"/>
          <c:x val="0.106024221131661"/>
          <c:y val="0.199074299083906"/>
          <c:w val="0.867470900168134"/>
          <c:h val="0.59259326238930299"/>
        </c:manualLayout>
      </c:layout>
      <c:lineChart>
        <c:grouping val="standard"/>
        <c:varyColors val="0"/>
        <c:ser>
          <c:idx val="0"/>
          <c:order val="0"/>
          <c:tx>
            <c:strRef>
              <c:f>'5'!$F$1</c:f>
              <c:strCache>
                <c:ptCount val="1"/>
                <c:pt idx="0">
                  <c:v>USL</c:v>
                </c:pt>
              </c:strCache>
            </c:strRef>
          </c:tx>
          <c:spPr>
            <a:ln w="25400">
              <a:solidFill>
                <a:srgbClr val="FF0000"/>
              </a:solidFill>
              <a:prstDash val="solid"/>
            </a:ln>
          </c:spPr>
          <c:marker>
            <c:symbol val="none"/>
          </c:marker>
          <c:val>
            <c:numRef>
              <c:f>'5'!$F$2:$F$25</c:f>
              <c:numCache>
                <c:formatCode>0.000</c:formatCode>
                <c:ptCount val="24"/>
                <c:pt idx="0">
                  <c:v>2.4892208333333334</c:v>
                </c:pt>
                <c:pt idx="1">
                  <c:v>2.4892208333333334</c:v>
                </c:pt>
                <c:pt idx="2">
                  <c:v>2.4892208333333334</c:v>
                </c:pt>
                <c:pt idx="3">
                  <c:v>2.4892208333333334</c:v>
                </c:pt>
                <c:pt idx="4">
                  <c:v>2.4892208333333334</c:v>
                </c:pt>
                <c:pt idx="5">
                  <c:v>2.4892208333333334</c:v>
                </c:pt>
                <c:pt idx="6">
                  <c:v>2.4892208333333334</c:v>
                </c:pt>
                <c:pt idx="7">
                  <c:v>2.4892208333333334</c:v>
                </c:pt>
                <c:pt idx="8">
                  <c:v>2.4892208333333334</c:v>
                </c:pt>
                <c:pt idx="9">
                  <c:v>2.4892208333333334</c:v>
                </c:pt>
                <c:pt idx="10">
                  <c:v>2.4892208333333334</c:v>
                </c:pt>
                <c:pt idx="11">
                  <c:v>2.4892208333333334</c:v>
                </c:pt>
                <c:pt idx="12">
                  <c:v>2.4892208333333334</c:v>
                </c:pt>
                <c:pt idx="13">
                  <c:v>2.4892208333333334</c:v>
                </c:pt>
                <c:pt idx="14">
                  <c:v>2.4892208333333334</c:v>
                </c:pt>
                <c:pt idx="15">
                  <c:v>2.4892208333333334</c:v>
                </c:pt>
                <c:pt idx="16">
                  <c:v>2.4892208333333334</c:v>
                </c:pt>
                <c:pt idx="17">
                  <c:v>2.4892208333333334</c:v>
                </c:pt>
                <c:pt idx="18">
                  <c:v>2.4892208333333334</c:v>
                </c:pt>
                <c:pt idx="19">
                  <c:v>2.4892208333333334</c:v>
                </c:pt>
                <c:pt idx="20">
                  <c:v>2.4892208333333334</c:v>
                </c:pt>
                <c:pt idx="21">
                  <c:v>2.4892208333333334</c:v>
                </c:pt>
                <c:pt idx="22">
                  <c:v>2.4892208333333334</c:v>
                </c:pt>
                <c:pt idx="23">
                  <c:v>2.4892208333333334</c:v>
                </c:pt>
              </c:numCache>
            </c:numRef>
          </c:val>
          <c:smooth val="0"/>
          <c:extLst>
            <c:ext xmlns:c16="http://schemas.microsoft.com/office/drawing/2014/chart" uri="{C3380CC4-5D6E-409C-BE32-E72D297353CC}">
              <c16:uniqueId val="{00000000-D9AC-1542-878C-B38AE32E7D78}"/>
            </c:ext>
          </c:extLst>
        </c:ser>
        <c:ser>
          <c:idx val="1"/>
          <c:order val="1"/>
          <c:tx>
            <c:strRef>
              <c:f>'5'!$G$1</c:f>
              <c:strCache>
                <c:ptCount val="1"/>
                <c:pt idx="0">
                  <c:v>CSL</c:v>
                </c:pt>
              </c:strCache>
            </c:strRef>
          </c:tx>
          <c:spPr>
            <a:ln w="25400">
              <a:solidFill>
                <a:srgbClr val="FF0000"/>
              </a:solidFill>
              <a:prstDash val="solid"/>
            </a:ln>
          </c:spPr>
          <c:marker>
            <c:symbol val="none"/>
          </c:marker>
          <c:val>
            <c:numRef>
              <c:f>'5'!$G$2:$G$25</c:f>
              <c:numCache>
                <c:formatCode>0.000</c:formatCode>
                <c:ptCount val="24"/>
                <c:pt idx="0">
                  <c:v>1.1791666666666667</c:v>
                </c:pt>
                <c:pt idx="1">
                  <c:v>1.1791666666666667</c:v>
                </c:pt>
                <c:pt idx="2">
                  <c:v>1.1791666666666667</c:v>
                </c:pt>
                <c:pt idx="3">
                  <c:v>1.1791666666666667</c:v>
                </c:pt>
                <c:pt idx="4">
                  <c:v>1.1791666666666667</c:v>
                </c:pt>
                <c:pt idx="5">
                  <c:v>1.1791666666666667</c:v>
                </c:pt>
                <c:pt idx="6">
                  <c:v>1.1791666666666667</c:v>
                </c:pt>
                <c:pt idx="7">
                  <c:v>1.1791666666666667</c:v>
                </c:pt>
                <c:pt idx="8">
                  <c:v>1.1791666666666667</c:v>
                </c:pt>
                <c:pt idx="9">
                  <c:v>1.1791666666666667</c:v>
                </c:pt>
                <c:pt idx="10">
                  <c:v>1.1791666666666667</c:v>
                </c:pt>
                <c:pt idx="11">
                  <c:v>1.1791666666666667</c:v>
                </c:pt>
                <c:pt idx="12">
                  <c:v>1.1791666666666667</c:v>
                </c:pt>
                <c:pt idx="13">
                  <c:v>1.1791666666666667</c:v>
                </c:pt>
                <c:pt idx="14">
                  <c:v>1.1791666666666667</c:v>
                </c:pt>
                <c:pt idx="15">
                  <c:v>1.1791666666666667</c:v>
                </c:pt>
                <c:pt idx="16">
                  <c:v>1.1791666666666667</c:v>
                </c:pt>
                <c:pt idx="17">
                  <c:v>1.1791666666666667</c:v>
                </c:pt>
                <c:pt idx="18">
                  <c:v>1.1791666666666667</c:v>
                </c:pt>
                <c:pt idx="19">
                  <c:v>1.1791666666666667</c:v>
                </c:pt>
                <c:pt idx="20">
                  <c:v>1.1791666666666667</c:v>
                </c:pt>
                <c:pt idx="21">
                  <c:v>1.1791666666666667</c:v>
                </c:pt>
                <c:pt idx="22">
                  <c:v>1.1791666666666667</c:v>
                </c:pt>
                <c:pt idx="23">
                  <c:v>1.1791666666666667</c:v>
                </c:pt>
              </c:numCache>
            </c:numRef>
          </c:val>
          <c:smooth val="0"/>
          <c:extLst>
            <c:ext xmlns:c16="http://schemas.microsoft.com/office/drawing/2014/chart" uri="{C3380CC4-5D6E-409C-BE32-E72D297353CC}">
              <c16:uniqueId val="{00000001-D9AC-1542-878C-B38AE32E7D78}"/>
            </c:ext>
          </c:extLst>
        </c:ser>
        <c:ser>
          <c:idx val="2"/>
          <c:order val="2"/>
          <c:tx>
            <c:strRef>
              <c:f>'5'!$H$1</c:f>
              <c:strCache>
                <c:ptCount val="1"/>
                <c:pt idx="0">
                  <c:v>LSL</c:v>
                </c:pt>
              </c:strCache>
            </c:strRef>
          </c:tx>
          <c:spPr>
            <a:ln w="25400">
              <a:solidFill>
                <a:srgbClr val="FF0000"/>
              </a:solidFill>
              <a:prstDash val="solid"/>
            </a:ln>
          </c:spPr>
          <c:marker>
            <c:symbol val="none"/>
          </c:marker>
          <c:val>
            <c:numRef>
              <c:f>'5'!$H$2:$H$25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2-D9AC-1542-878C-B38AE32E7D78}"/>
            </c:ext>
          </c:extLst>
        </c:ser>
        <c:ser>
          <c:idx val="3"/>
          <c:order val="3"/>
          <c:tx>
            <c:strRef>
              <c:f>'5'!$I$1</c:f>
              <c:strCache>
                <c:ptCount val="1"/>
                <c:pt idx="0">
                  <c:v>Rango</c:v>
                </c:pt>
              </c:strCache>
            </c:strRef>
          </c:tx>
          <c:spPr>
            <a:ln w="25400">
              <a:solidFill>
                <a:schemeClr val="accent5">
                  <a:lumMod val="50000"/>
                </a:schemeClr>
              </a:solidFill>
              <a:prstDash val="solid"/>
            </a:ln>
          </c:spPr>
          <c:marker>
            <c:symbol val="x"/>
            <c:size val="5"/>
            <c:spPr>
              <a:noFill/>
              <a:ln>
                <a:solidFill>
                  <a:srgbClr val="000000"/>
                </a:solidFill>
                <a:prstDash val="solid"/>
              </a:ln>
              <a:effectLst>
                <a:outerShdw dist="35921" dir="2700000" algn="br">
                  <a:srgbClr val="000000"/>
                </a:outerShdw>
              </a:effectLst>
            </c:spPr>
          </c:marker>
          <c:val>
            <c:numRef>
              <c:f>'5'!$I$2:$I$25</c:f>
              <c:numCache>
                <c:formatCode>0.0</c:formatCode>
                <c:ptCount val="24"/>
                <c:pt idx="0">
                  <c:v>1.2</c:v>
                </c:pt>
                <c:pt idx="1">
                  <c:v>1</c:v>
                </c:pt>
                <c:pt idx="2">
                  <c:v>1.5</c:v>
                </c:pt>
                <c:pt idx="3">
                  <c:v>1.4</c:v>
                </c:pt>
                <c:pt idx="4">
                  <c:v>0.9</c:v>
                </c:pt>
                <c:pt idx="5">
                  <c:v>1</c:v>
                </c:pt>
                <c:pt idx="6">
                  <c:v>1.1000000000000001</c:v>
                </c:pt>
                <c:pt idx="7">
                  <c:v>1.3</c:v>
                </c:pt>
                <c:pt idx="8">
                  <c:v>1.2</c:v>
                </c:pt>
                <c:pt idx="9">
                  <c:v>1.3</c:v>
                </c:pt>
                <c:pt idx="10">
                  <c:v>1.5</c:v>
                </c:pt>
                <c:pt idx="11">
                  <c:v>0.9</c:v>
                </c:pt>
                <c:pt idx="12">
                  <c:v>1.3</c:v>
                </c:pt>
                <c:pt idx="13">
                  <c:v>1.2</c:v>
                </c:pt>
                <c:pt idx="14">
                  <c:v>1</c:v>
                </c:pt>
                <c:pt idx="15">
                  <c:v>1.1000000000000001</c:v>
                </c:pt>
                <c:pt idx="16">
                  <c:v>1.5</c:v>
                </c:pt>
                <c:pt idx="17">
                  <c:v>1.4</c:v>
                </c:pt>
                <c:pt idx="18">
                  <c:v>0.9</c:v>
                </c:pt>
                <c:pt idx="19">
                  <c:v>0.8</c:v>
                </c:pt>
                <c:pt idx="20">
                  <c:v>1.4</c:v>
                </c:pt>
                <c:pt idx="21">
                  <c:v>1.3</c:v>
                </c:pt>
                <c:pt idx="22">
                  <c:v>1.1000000000000001</c:v>
                </c:pt>
                <c:pt idx="23">
                  <c:v>1</c:v>
                </c:pt>
              </c:numCache>
            </c:numRef>
          </c:val>
          <c:smooth val="0"/>
          <c:extLst>
            <c:ext xmlns:c16="http://schemas.microsoft.com/office/drawing/2014/chart" uri="{C3380CC4-5D6E-409C-BE32-E72D297353CC}">
              <c16:uniqueId val="{00000003-D9AC-1542-878C-B38AE32E7D78}"/>
            </c:ext>
          </c:extLst>
        </c:ser>
        <c:dLbls>
          <c:showLegendKey val="0"/>
          <c:showVal val="0"/>
          <c:showCatName val="0"/>
          <c:showSerName val="0"/>
          <c:showPercent val="0"/>
          <c:showBubbleSize val="0"/>
        </c:dLbls>
        <c:smooth val="0"/>
        <c:axId val="1051524904"/>
        <c:axId val="1051530280"/>
      </c:lineChart>
      <c:catAx>
        <c:axId val="1051524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051530280"/>
        <c:crosses val="autoZero"/>
        <c:auto val="1"/>
        <c:lblAlgn val="ctr"/>
        <c:lblOffset val="100"/>
        <c:tickLblSkip val="2"/>
        <c:tickMarkSkip val="1"/>
        <c:noMultiLvlLbl val="0"/>
      </c:catAx>
      <c:valAx>
        <c:axId val="1051530280"/>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051524904"/>
        <c:crosses val="autoZero"/>
        <c:crossBetween val="between"/>
      </c:valAx>
      <c:spPr>
        <a:solidFill>
          <a:srgbClr val="CDCDCD"/>
        </a:solidFill>
        <a:ln w="12700">
          <a:solidFill>
            <a:srgbClr val="808080"/>
          </a:solidFill>
          <a:prstDash val="solid"/>
        </a:ln>
      </c:spPr>
    </c:plotArea>
    <c:legend>
      <c:legendPos val="b"/>
      <c:layout>
        <c:manualLayout>
          <c:xMode val="edge"/>
          <c:yMode val="edge"/>
          <c:x val="0.30843411441039698"/>
          <c:y val="0.91666776027996499"/>
          <c:w val="0.457831894507162"/>
          <c:h val="6.0185185185185203E-2"/>
        </c:manualLayout>
      </c:layout>
      <c:overlay val="0"/>
      <c:spPr>
        <a:solidFill>
          <a:srgbClr val="FFFFFF"/>
        </a:solidFill>
        <a:ln w="25400">
          <a:noFill/>
        </a:ln>
      </c:spPr>
      <c:txPr>
        <a:bodyPr/>
        <a:lstStyle/>
        <a:p>
          <a:pPr>
            <a:defRPr sz="735"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Verdana"/>
                <a:ea typeface="Verdana"/>
                <a:cs typeface="Verdana"/>
              </a:defRPr>
            </a:pPr>
            <a:r>
              <a:rPr lang="en-US"/>
              <a:t>Gráfica x</a:t>
            </a:r>
          </a:p>
        </c:rich>
      </c:tx>
      <c:layout>
        <c:manualLayout>
          <c:xMode val="edge"/>
          <c:yMode val="edge"/>
          <c:x val="0.44600920483531098"/>
          <c:y val="3.8647342995169101E-2"/>
        </c:manualLayout>
      </c:layout>
      <c:overlay val="0"/>
      <c:spPr>
        <a:noFill/>
        <a:ln w="25400">
          <a:noFill/>
        </a:ln>
      </c:spPr>
    </c:title>
    <c:autoTitleDeleted val="0"/>
    <c:plotArea>
      <c:layout>
        <c:manualLayout>
          <c:layoutTarget val="inner"/>
          <c:xMode val="edge"/>
          <c:yMode val="edge"/>
          <c:x val="0.115023441218433"/>
          <c:y val="0.20772971360029999"/>
          <c:w val="0.85915468338666501"/>
          <c:h val="0.57487990507990006"/>
        </c:manualLayout>
      </c:layout>
      <c:lineChart>
        <c:grouping val="standard"/>
        <c:varyColors val="0"/>
        <c:ser>
          <c:idx val="0"/>
          <c:order val="0"/>
          <c:tx>
            <c:strRef>
              <c:f>'5'!$A$1</c:f>
              <c:strCache>
                <c:ptCount val="1"/>
                <c:pt idx="0">
                  <c:v>Promedio</c:v>
                </c:pt>
              </c:strCache>
            </c:strRef>
          </c:tx>
          <c:spPr>
            <a:ln w="25400">
              <a:solidFill>
                <a:schemeClr val="tx2">
                  <a:lumMod val="75000"/>
                </a:schemeClr>
              </a:solidFill>
              <a:prstDash val="solid"/>
            </a:ln>
          </c:spPr>
          <c:marker>
            <c:symbol val="x"/>
            <c:size val="5"/>
            <c:spPr>
              <a:noFill/>
              <a:ln>
                <a:solidFill>
                  <a:srgbClr val="000000"/>
                </a:solidFill>
                <a:prstDash val="solid"/>
              </a:ln>
              <a:effectLst>
                <a:outerShdw dist="35921" dir="2700000" algn="br">
                  <a:srgbClr val="000000"/>
                </a:outerShdw>
              </a:effectLst>
            </c:spPr>
          </c:marker>
          <c:val>
            <c:numRef>
              <c:f>'5'!$A$2:$A$25</c:f>
              <c:numCache>
                <c:formatCode>0.00</c:formatCode>
                <c:ptCount val="24"/>
                <c:pt idx="0">
                  <c:v>63.5</c:v>
                </c:pt>
                <c:pt idx="1">
                  <c:v>63.6</c:v>
                </c:pt>
                <c:pt idx="2">
                  <c:v>63.7</c:v>
                </c:pt>
                <c:pt idx="3">
                  <c:v>63.9</c:v>
                </c:pt>
                <c:pt idx="4">
                  <c:v>63.4</c:v>
                </c:pt>
                <c:pt idx="5">
                  <c:v>63</c:v>
                </c:pt>
                <c:pt idx="6">
                  <c:v>63.2</c:v>
                </c:pt>
                <c:pt idx="7">
                  <c:v>63.3</c:v>
                </c:pt>
                <c:pt idx="8">
                  <c:v>63.7</c:v>
                </c:pt>
                <c:pt idx="9">
                  <c:v>63.5</c:v>
                </c:pt>
                <c:pt idx="10">
                  <c:v>63.3</c:v>
                </c:pt>
                <c:pt idx="11">
                  <c:v>63.6</c:v>
                </c:pt>
                <c:pt idx="12">
                  <c:v>63.3</c:v>
                </c:pt>
                <c:pt idx="13">
                  <c:v>63.4</c:v>
                </c:pt>
                <c:pt idx="14">
                  <c:v>63.4</c:v>
                </c:pt>
                <c:pt idx="15">
                  <c:v>63.5</c:v>
                </c:pt>
                <c:pt idx="16">
                  <c:v>63.6</c:v>
                </c:pt>
                <c:pt idx="17">
                  <c:v>63.8</c:v>
                </c:pt>
                <c:pt idx="18">
                  <c:v>63.5</c:v>
                </c:pt>
                <c:pt idx="19">
                  <c:v>63.9</c:v>
                </c:pt>
                <c:pt idx="20">
                  <c:v>63.2</c:v>
                </c:pt>
                <c:pt idx="21">
                  <c:v>63.3</c:v>
                </c:pt>
                <c:pt idx="22">
                  <c:v>64</c:v>
                </c:pt>
                <c:pt idx="23">
                  <c:v>63.4</c:v>
                </c:pt>
              </c:numCache>
            </c:numRef>
          </c:val>
          <c:smooth val="0"/>
          <c:extLst>
            <c:ext xmlns:c16="http://schemas.microsoft.com/office/drawing/2014/chart" uri="{C3380CC4-5D6E-409C-BE32-E72D297353CC}">
              <c16:uniqueId val="{00000000-D0D9-DF42-A0D7-03EADBE1E1C6}"/>
            </c:ext>
          </c:extLst>
        </c:ser>
        <c:ser>
          <c:idx val="1"/>
          <c:order val="1"/>
          <c:tx>
            <c:strRef>
              <c:f>'5'!$B$1</c:f>
              <c:strCache>
                <c:ptCount val="1"/>
                <c:pt idx="0">
                  <c:v>USL</c:v>
                </c:pt>
              </c:strCache>
            </c:strRef>
          </c:tx>
          <c:spPr>
            <a:ln w="25400">
              <a:solidFill>
                <a:srgbClr val="FF0000"/>
              </a:solidFill>
              <a:prstDash val="solid"/>
            </a:ln>
          </c:spPr>
          <c:marker>
            <c:symbol val="none"/>
          </c:marker>
          <c:val>
            <c:numRef>
              <c:f>'5'!$B$2:$B$25</c:f>
              <c:numCache>
                <c:formatCode>0.000</c:formatCode>
                <c:ptCount val="24"/>
                <c:pt idx="0">
                  <c:v>64.183916666666661</c:v>
                </c:pt>
                <c:pt idx="1">
                  <c:v>64.183916666666661</c:v>
                </c:pt>
                <c:pt idx="2">
                  <c:v>64.183916666666661</c:v>
                </c:pt>
                <c:pt idx="3">
                  <c:v>64.183916666666661</c:v>
                </c:pt>
                <c:pt idx="4">
                  <c:v>64.183916666666661</c:v>
                </c:pt>
                <c:pt idx="5">
                  <c:v>64.183916666666661</c:v>
                </c:pt>
                <c:pt idx="6">
                  <c:v>64.183916666666661</c:v>
                </c:pt>
                <c:pt idx="7">
                  <c:v>64.183916666666661</c:v>
                </c:pt>
                <c:pt idx="8">
                  <c:v>64.183916666666661</c:v>
                </c:pt>
                <c:pt idx="9">
                  <c:v>64.183916666666661</c:v>
                </c:pt>
                <c:pt idx="10">
                  <c:v>64.183916666666661</c:v>
                </c:pt>
                <c:pt idx="11">
                  <c:v>64.183916666666661</c:v>
                </c:pt>
                <c:pt idx="12">
                  <c:v>64.183916666666661</c:v>
                </c:pt>
                <c:pt idx="13">
                  <c:v>64.183916666666661</c:v>
                </c:pt>
                <c:pt idx="14">
                  <c:v>64.183916666666661</c:v>
                </c:pt>
                <c:pt idx="15">
                  <c:v>64.183916666666661</c:v>
                </c:pt>
                <c:pt idx="16">
                  <c:v>64.183916666666661</c:v>
                </c:pt>
                <c:pt idx="17">
                  <c:v>64.183916666666661</c:v>
                </c:pt>
                <c:pt idx="18">
                  <c:v>64.183916666666661</c:v>
                </c:pt>
                <c:pt idx="19">
                  <c:v>64.183916666666661</c:v>
                </c:pt>
                <c:pt idx="20">
                  <c:v>64.183916666666661</c:v>
                </c:pt>
                <c:pt idx="21">
                  <c:v>64.183916666666661</c:v>
                </c:pt>
                <c:pt idx="22">
                  <c:v>64.183916666666661</c:v>
                </c:pt>
                <c:pt idx="23">
                  <c:v>64.183916666666661</c:v>
                </c:pt>
              </c:numCache>
            </c:numRef>
          </c:val>
          <c:smooth val="0"/>
          <c:extLst>
            <c:ext xmlns:c16="http://schemas.microsoft.com/office/drawing/2014/chart" uri="{C3380CC4-5D6E-409C-BE32-E72D297353CC}">
              <c16:uniqueId val="{00000001-D0D9-DF42-A0D7-03EADBE1E1C6}"/>
            </c:ext>
          </c:extLst>
        </c:ser>
        <c:ser>
          <c:idx val="2"/>
          <c:order val="2"/>
          <c:tx>
            <c:strRef>
              <c:f>'5'!$C$1</c:f>
              <c:strCache>
                <c:ptCount val="1"/>
                <c:pt idx="0">
                  <c:v>CSL</c:v>
                </c:pt>
              </c:strCache>
            </c:strRef>
          </c:tx>
          <c:spPr>
            <a:ln w="25400">
              <a:solidFill>
                <a:srgbClr val="FF0000"/>
              </a:solidFill>
              <a:prstDash val="solid"/>
            </a:ln>
          </c:spPr>
          <c:marker>
            <c:symbol val="none"/>
          </c:marker>
          <c:val>
            <c:numRef>
              <c:f>'5'!$C$2:$C$25</c:f>
              <c:numCache>
                <c:formatCode>0.000</c:formatCode>
                <c:ptCount val="24"/>
                <c:pt idx="0">
                  <c:v>63.5</c:v>
                </c:pt>
                <c:pt idx="1">
                  <c:v>63.5</c:v>
                </c:pt>
                <c:pt idx="2">
                  <c:v>63.5</c:v>
                </c:pt>
                <c:pt idx="3">
                  <c:v>63.5</c:v>
                </c:pt>
                <c:pt idx="4">
                  <c:v>63.5</c:v>
                </c:pt>
                <c:pt idx="5">
                  <c:v>63.5</c:v>
                </c:pt>
                <c:pt idx="6">
                  <c:v>63.5</c:v>
                </c:pt>
                <c:pt idx="7">
                  <c:v>63.5</c:v>
                </c:pt>
                <c:pt idx="8">
                  <c:v>63.5</c:v>
                </c:pt>
                <c:pt idx="9">
                  <c:v>63.5</c:v>
                </c:pt>
                <c:pt idx="10">
                  <c:v>63.5</c:v>
                </c:pt>
                <c:pt idx="11">
                  <c:v>63.5</c:v>
                </c:pt>
                <c:pt idx="12">
                  <c:v>63.5</c:v>
                </c:pt>
                <c:pt idx="13">
                  <c:v>63.5</c:v>
                </c:pt>
                <c:pt idx="14">
                  <c:v>63.5</c:v>
                </c:pt>
                <c:pt idx="15">
                  <c:v>63.5</c:v>
                </c:pt>
                <c:pt idx="16">
                  <c:v>63.5</c:v>
                </c:pt>
                <c:pt idx="17">
                  <c:v>63.5</c:v>
                </c:pt>
                <c:pt idx="18">
                  <c:v>63.5</c:v>
                </c:pt>
                <c:pt idx="19">
                  <c:v>63.5</c:v>
                </c:pt>
                <c:pt idx="20">
                  <c:v>63.5</c:v>
                </c:pt>
                <c:pt idx="21">
                  <c:v>63.5</c:v>
                </c:pt>
                <c:pt idx="22">
                  <c:v>63.5</c:v>
                </c:pt>
                <c:pt idx="23">
                  <c:v>63.5</c:v>
                </c:pt>
              </c:numCache>
            </c:numRef>
          </c:val>
          <c:smooth val="0"/>
          <c:extLst>
            <c:ext xmlns:c16="http://schemas.microsoft.com/office/drawing/2014/chart" uri="{C3380CC4-5D6E-409C-BE32-E72D297353CC}">
              <c16:uniqueId val="{00000002-D0D9-DF42-A0D7-03EADBE1E1C6}"/>
            </c:ext>
          </c:extLst>
        </c:ser>
        <c:ser>
          <c:idx val="3"/>
          <c:order val="3"/>
          <c:tx>
            <c:strRef>
              <c:f>'5'!$D$1</c:f>
              <c:strCache>
                <c:ptCount val="1"/>
                <c:pt idx="0">
                  <c:v>LSL</c:v>
                </c:pt>
              </c:strCache>
            </c:strRef>
          </c:tx>
          <c:spPr>
            <a:ln w="25400">
              <a:solidFill>
                <a:srgbClr val="FF0000"/>
              </a:solidFill>
              <a:prstDash val="solid"/>
            </a:ln>
          </c:spPr>
          <c:marker>
            <c:symbol val="none"/>
          </c:marker>
          <c:val>
            <c:numRef>
              <c:f>'5'!$D$2:$D$25</c:f>
              <c:numCache>
                <c:formatCode>0.000</c:formatCode>
                <c:ptCount val="24"/>
                <c:pt idx="0">
                  <c:v>62.816083333333331</c:v>
                </c:pt>
                <c:pt idx="1">
                  <c:v>62.816083333333331</c:v>
                </c:pt>
                <c:pt idx="2">
                  <c:v>62.816083333333331</c:v>
                </c:pt>
                <c:pt idx="3">
                  <c:v>62.816083333333331</c:v>
                </c:pt>
                <c:pt idx="4">
                  <c:v>62.816083333333331</c:v>
                </c:pt>
                <c:pt idx="5">
                  <c:v>62.816083333333331</c:v>
                </c:pt>
                <c:pt idx="6">
                  <c:v>62.816083333333331</c:v>
                </c:pt>
                <c:pt idx="7">
                  <c:v>62.816083333333331</c:v>
                </c:pt>
                <c:pt idx="8">
                  <c:v>62.816083333333331</c:v>
                </c:pt>
                <c:pt idx="9">
                  <c:v>62.816083333333331</c:v>
                </c:pt>
                <c:pt idx="10">
                  <c:v>62.816083333333331</c:v>
                </c:pt>
                <c:pt idx="11">
                  <c:v>62.816083333333331</c:v>
                </c:pt>
                <c:pt idx="12">
                  <c:v>62.816083333333331</c:v>
                </c:pt>
                <c:pt idx="13">
                  <c:v>62.816083333333331</c:v>
                </c:pt>
                <c:pt idx="14">
                  <c:v>62.816083333333331</c:v>
                </c:pt>
                <c:pt idx="15">
                  <c:v>62.816083333333331</c:v>
                </c:pt>
                <c:pt idx="16">
                  <c:v>62.816083333333331</c:v>
                </c:pt>
                <c:pt idx="17">
                  <c:v>62.816083333333331</c:v>
                </c:pt>
                <c:pt idx="18">
                  <c:v>62.816083333333331</c:v>
                </c:pt>
                <c:pt idx="19">
                  <c:v>62.816083333333331</c:v>
                </c:pt>
                <c:pt idx="20">
                  <c:v>62.816083333333331</c:v>
                </c:pt>
                <c:pt idx="21">
                  <c:v>62.816083333333331</c:v>
                </c:pt>
                <c:pt idx="22">
                  <c:v>62.816083333333331</c:v>
                </c:pt>
                <c:pt idx="23">
                  <c:v>62.816083333333331</c:v>
                </c:pt>
              </c:numCache>
            </c:numRef>
          </c:val>
          <c:smooth val="0"/>
          <c:extLst>
            <c:ext xmlns:c16="http://schemas.microsoft.com/office/drawing/2014/chart" uri="{C3380CC4-5D6E-409C-BE32-E72D297353CC}">
              <c16:uniqueId val="{00000003-D0D9-DF42-A0D7-03EADBE1E1C6}"/>
            </c:ext>
          </c:extLst>
        </c:ser>
        <c:dLbls>
          <c:showLegendKey val="0"/>
          <c:showVal val="0"/>
          <c:showCatName val="0"/>
          <c:showSerName val="0"/>
          <c:showPercent val="0"/>
          <c:showBubbleSize val="0"/>
        </c:dLbls>
        <c:marker val="1"/>
        <c:smooth val="0"/>
        <c:axId val="1051002088"/>
        <c:axId val="1051005528"/>
      </c:lineChart>
      <c:catAx>
        <c:axId val="1051002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051005528"/>
        <c:crosses val="autoZero"/>
        <c:auto val="1"/>
        <c:lblAlgn val="ctr"/>
        <c:lblOffset val="100"/>
        <c:tickLblSkip val="2"/>
        <c:tickMarkSkip val="1"/>
        <c:noMultiLvlLbl val="0"/>
      </c:catAx>
      <c:valAx>
        <c:axId val="1051005528"/>
        <c:scaling>
          <c:orientation val="minMax"/>
          <c:min val="62"/>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051002088"/>
        <c:crosses val="autoZero"/>
        <c:crossBetween val="between"/>
      </c:valAx>
      <c:spPr>
        <a:solidFill>
          <a:srgbClr val="CDCDCD"/>
        </a:solidFill>
        <a:ln w="12700">
          <a:solidFill>
            <a:srgbClr val="808080"/>
          </a:solidFill>
          <a:prstDash val="solid"/>
        </a:ln>
      </c:spPr>
    </c:plotArea>
    <c:legend>
      <c:legendPos val="b"/>
      <c:layout>
        <c:manualLayout>
          <c:xMode val="edge"/>
          <c:yMode val="edge"/>
          <c:x val="0.30516431924882598"/>
          <c:y val="0.91304461942257198"/>
          <c:w val="0.47652563676019399"/>
          <c:h val="6.2801932367149801E-2"/>
        </c:manualLayout>
      </c:layout>
      <c:overlay val="0"/>
      <c:spPr>
        <a:solidFill>
          <a:srgbClr val="FFFFFF"/>
        </a:solidFill>
        <a:ln w="25400">
          <a:noFill/>
        </a:ln>
      </c:spPr>
      <c:txPr>
        <a:bodyPr/>
        <a:lstStyle/>
        <a:p>
          <a:pPr>
            <a:defRPr sz="735"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Verdana"/>
                <a:ea typeface="Verdana"/>
                <a:cs typeface="Verdana"/>
              </a:defRPr>
            </a:pPr>
            <a:r>
              <a:rPr lang="en-US"/>
              <a:t>Gráfica X</a:t>
            </a:r>
          </a:p>
        </c:rich>
      </c:tx>
      <c:layout>
        <c:manualLayout>
          <c:xMode val="edge"/>
          <c:yMode val="edge"/>
          <c:x val="0.441441015818969"/>
          <c:y val="3.1847133757961797E-2"/>
        </c:manualLayout>
      </c:layout>
      <c:overlay val="0"/>
      <c:spPr>
        <a:noFill/>
        <a:ln w="25400">
          <a:noFill/>
        </a:ln>
      </c:spPr>
    </c:title>
    <c:autoTitleDeleted val="0"/>
    <c:plotArea>
      <c:layout>
        <c:manualLayout>
          <c:layoutTarget val="inner"/>
          <c:xMode val="edge"/>
          <c:yMode val="edge"/>
          <c:x val="9.1891811046759697E-2"/>
          <c:y val="0.17197452229299401"/>
          <c:w val="0.88828750678534396"/>
          <c:h val="0.66242038216560495"/>
        </c:manualLayout>
      </c:layout>
      <c:lineChart>
        <c:grouping val="standard"/>
        <c:varyColors val="0"/>
        <c:ser>
          <c:idx val="0"/>
          <c:order val="0"/>
          <c:tx>
            <c:strRef>
              <c:f>'6'!$G$6</c:f>
              <c:strCache>
                <c:ptCount val="1"/>
                <c:pt idx="0">
                  <c:v>Media</c:v>
                </c:pt>
              </c:strCache>
            </c:strRef>
          </c:tx>
          <c:spPr>
            <a:ln w="25400">
              <a:solidFill>
                <a:srgbClr val="63AAFE"/>
              </a:solidFill>
              <a:prstDash val="solid"/>
            </a:ln>
          </c:spPr>
          <c:marker>
            <c:symbol val="diamond"/>
            <c:size val="7"/>
            <c:spPr>
              <a:solidFill>
                <a:srgbClr val="63AAFE"/>
              </a:solidFill>
              <a:ln>
                <a:solidFill>
                  <a:srgbClr val="63AAFE"/>
                </a:solidFill>
                <a:prstDash val="solid"/>
              </a:ln>
              <a:effectLst>
                <a:outerShdw dist="35921" dir="2700000" algn="br">
                  <a:srgbClr val="000000"/>
                </a:outerShdw>
              </a:effectLst>
            </c:spPr>
          </c:marker>
          <c:val>
            <c:numRef>
              <c:f>'6'!$G$8:$G$37</c:f>
              <c:numCache>
                <c:formatCode>0.00</c:formatCode>
                <c:ptCount val="30"/>
                <c:pt idx="0">
                  <c:v>45.879999999999995</c:v>
                </c:pt>
                <c:pt idx="1">
                  <c:v>46.869308755760372</c:v>
                </c:pt>
                <c:pt idx="2">
                  <c:v>46.340276497695854</c:v>
                </c:pt>
                <c:pt idx="3">
                  <c:v>46.899216589861751</c:v>
                </c:pt>
                <c:pt idx="4">
                  <c:v>46.041198156682022</c:v>
                </c:pt>
                <c:pt idx="5">
                  <c:v>46.660046082949307</c:v>
                </c:pt>
                <c:pt idx="6">
                  <c:v>46.619400921658979</c:v>
                </c:pt>
                <c:pt idx="7">
                  <c:v>46.789723502304149</c:v>
                </c:pt>
                <c:pt idx="8">
                  <c:v>46.438617511520739</c:v>
                </c:pt>
                <c:pt idx="9">
                  <c:v>46.26755760368664</c:v>
                </c:pt>
                <c:pt idx="10">
                  <c:v>46.445023041474656</c:v>
                </c:pt>
                <c:pt idx="11">
                  <c:v>47.126635944700453</c:v>
                </c:pt>
                <c:pt idx="12">
                  <c:v>46.140783410138255</c:v>
                </c:pt>
                <c:pt idx="13">
                  <c:v>46.329677419354844</c:v>
                </c:pt>
                <c:pt idx="14">
                  <c:v>46.851751152073739</c:v>
                </c:pt>
                <c:pt idx="15">
                  <c:v>47.072396313364052</c:v>
                </c:pt>
                <c:pt idx="16">
                  <c:v>47.371612903225802</c:v>
                </c:pt>
                <c:pt idx="17">
                  <c:v>47.088894009216588</c:v>
                </c:pt>
                <c:pt idx="18">
                  <c:v>46.581013824884792</c:v>
                </c:pt>
                <c:pt idx="19">
                  <c:v>46.69387096774193</c:v>
                </c:pt>
                <c:pt idx="20">
                  <c:v>46.824516129032261</c:v>
                </c:pt>
                <c:pt idx="21">
                  <c:v>46.257465437788021</c:v>
                </c:pt>
                <c:pt idx="22">
                  <c:v>46.942903225806454</c:v>
                </c:pt>
                <c:pt idx="23">
                  <c:v>46.961612903225806</c:v>
                </c:pt>
                <c:pt idx="24">
                  <c:v>47.359078341013827</c:v>
                </c:pt>
                <c:pt idx="25">
                  <c:v>46.376820276497696</c:v>
                </c:pt>
                <c:pt idx="26">
                  <c:v>46.552626728110596</c:v>
                </c:pt>
                <c:pt idx="27">
                  <c:v>46.949677419354842</c:v>
                </c:pt>
                <c:pt idx="28">
                  <c:v>46.997235023041476</c:v>
                </c:pt>
                <c:pt idx="29">
                  <c:v>46.140875576036862</c:v>
                </c:pt>
              </c:numCache>
            </c:numRef>
          </c:val>
          <c:smooth val="0"/>
          <c:extLst>
            <c:ext xmlns:c16="http://schemas.microsoft.com/office/drawing/2014/chart" uri="{C3380CC4-5D6E-409C-BE32-E72D297353CC}">
              <c16:uniqueId val="{00000000-8076-274E-9CDD-37B3CA8FC687}"/>
            </c:ext>
          </c:extLst>
        </c:ser>
        <c:ser>
          <c:idx val="1"/>
          <c:order val="1"/>
          <c:tx>
            <c:strRef>
              <c:f>'[2]Pregunta 2'!$I$6</c:f>
              <c:strCache>
                <c:ptCount val="1"/>
              </c:strCache>
            </c:strRef>
          </c:tx>
          <c:spPr>
            <a:ln w="25400">
              <a:solidFill>
                <a:srgbClr val="993366"/>
              </a:solidFill>
              <a:prstDash val="solid"/>
            </a:ln>
          </c:spPr>
          <c:marker>
            <c:spPr>
              <a:solidFill>
                <a:srgbClr val="AA4643"/>
              </a:solidFill>
              <a:ln>
                <a:solidFill>
                  <a:srgbClr val="993366"/>
                </a:solidFill>
                <a:prstDash val="solid"/>
              </a:ln>
            </c:spPr>
          </c:marker>
          <c:val>
            <c:numRef>
              <c:f>'[2]Pregunta 2'!$I$8:$I$37</c:f>
              <c:numCache>
                <c:formatCode>General</c:formatCode>
                <c:ptCount val="30"/>
                <c:pt idx="0">
                  <c:v>0.1</c:v>
                </c:pt>
                <c:pt idx="1">
                  <c:v>0.3620685445722831</c:v>
                </c:pt>
                <c:pt idx="2">
                  <c:v>0.22192754905850398</c:v>
                </c:pt>
                <c:pt idx="3">
                  <c:v>0.36999114963225199</c:v>
                </c:pt>
                <c:pt idx="4">
                  <c:v>0.14270149845881527</c:v>
                </c:pt>
                <c:pt idx="5">
                  <c:v>0.30663472396008179</c:v>
                </c:pt>
                <c:pt idx="6">
                  <c:v>0.29586779381695</c:v>
                </c:pt>
                <c:pt idx="7">
                  <c:v>0.34098635822626422</c:v>
                </c:pt>
                <c:pt idx="8">
                  <c:v>0.24797814874721519</c:v>
                </c:pt>
                <c:pt idx="9">
                  <c:v>0.20266426587725456</c:v>
                </c:pt>
                <c:pt idx="10">
                  <c:v>0.24967497787408066</c:v>
                </c:pt>
                <c:pt idx="11">
                  <c:v>0.4302346873378704</c:v>
                </c:pt>
                <c:pt idx="12">
                  <c:v>0.16908169804986725</c:v>
                </c:pt>
                <c:pt idx="13">
                  <c:v>0.21911984618671224</c:v>
                </c:pt>
                <c:pt idx="14">
                  <c:v>0.35741752372814117</c:v>
                </c:pt>
                <c:pt idx="15">
                  <c:v>0.41586657307657093</c:v>
                </c:pt>
                <c:pt idx="16">
                  <c:v>0.49512924588763085</c:v>
                </c:pt>
                <c:pt idx="17">
                  <c:v>0.42023682363353376</c:v>
                </c:pt>
                <c:pt idx="18">
                  <c:v>0.2856990264595477</c:v>
                </c:pt>
                <c:pt idx="19">
                  <c:v>0.31559495834223461</c:v>
                </c:pt>
                <c:pt idx="20">
                  <c:v>0.35020294808801544</c:v>
                </c:pt>
                <c:pt idx="21">
                  <c:v>0.1999908444471572</c:v>
                </c:pt>
                <c:pt idx="22">
                  <c:v>0.38156376842555007</c:v>
                </c:pt>
                <c:pt idx="23">
                  <c:v>0.38651997436445207</c:v>
                </c:pt>
                <c:pt idx="24">
                  <c:v>0.49180883205664239</c:v>
                </c:pt>
                <c:pt idx="25">
                  <c:v>0.23160802026429028</c:v>
                </c:pt>
                <c:pt idx="26">
                  <c:v>0.27817926572466201</c:v>
                </c:pt>
                <c:pt idx="27">
                  <c:v>0.38335825678273872</c:v>
                </c:pt>
                <c:pt idx="28">
                  <c:v>0.3959562974944304</c:v>
                </c:pt>
                <c:pt idx="29">
                  <c:v>0.16910611285744803</c:v>
                </c:pt>
              </c:numCache>
            </c:numRef>
          </c:val>
          <c:smooth val="0"/>
          <c:extLst>
            <c:ext xmlns:c16="http://schemas.microsoft.com/office/drawing/2014/chart" uri="{C3380CC4-5D6E-409C-BE32-E72D297353CC}">
              <c16:uniqueId val="{00000001-8076-274E-9CDD-37B3CA8FC687}"/>
            </c:ext>
          </c:extLst>
        </c:ser>
        <c:ser>
          <c:idx val="3"/>
          <c:order val="2"/>
          <c:tx>
            <c:strRef>
              <c:f>'6'!$K$6</c:f>
              <c:strCache>
                <c:ptCount val="1"/>
                <c:pt idx="0">
                  <c:v>LCS</c:v>
                </c:pt>
              </c:strCache>
            </c:strRef>
          </c:tx>
          <c:spPr>
            <a:ln w="25400">
              <a:solidFill>
                <a:srgbClr val="4EE257"/>
              </a:solidFill>
              <a:prstDash val="solid"/>
            </a:ln>
          </c:spPr>
          <c:marker>
            <c:symbol val="x"/>
            <c:size val="7"/>
            <c:spPr>
              <a:noFill/>
              <a:ln>
                <a:solidFill>
                  <a:srgbClr val="4EE257"/>
                </a:solidFill>
                <a:prstDash val="solid"/>
              </a:ln>
              <a:effectLst>
                <a:outerShdw dist="35921" dir="2700000" algn="br">
                  <a:srgbClr val="000000"/>
                </a:outerShdw>
              </a:effectLst>
            </c:spPr>
          </c:marker>
          <c:val>
            <c:numRef>
              <c:f>'6'!$K$8:$K$37</c:f>
              <c:numCache>
                <c:formatCode>0.0</c:formatCode>
                <c:ptCount val="30"/>
                <c:pt idx="0">
                  <c:v>49.289891272723587</c:v>
                </c:pt>
                <c:pt idx="1">
                  <c:v>49.289891272723587</c:v>
                </c:pt>
                <c:pt idx="2">
                  <c:v>49.289891272723587</c:v>
                </c:pt>
                <c:pt idx="3">
                  <c:v>49.289891272723587</c:v>
                </c:pt>
                <c:pt idx="4">
                  <c:v>49.289891272723587</c:v>
                </c:pt>
                <c:pt idx="5">
                  <c:v>49.289891272723587</c:v>
                </c:pt>
                <c:pt idx="6">
                  <c:v>49.289891272723587</c:v>
                </c:pt>
                <c:pt idx="7">
                  <c:v>49.289891272723587</c:v>
                </c:pt>
                <c:pt idx="8">
                  <c:v>49.289891272723587</c:v>
                </c:pt>
                <c:pt idx="9">
                  <c:v>49.289891272723587</c:v>
                </c:pt>
                <c:pt idx="10">
                  <c:v>49.289891272723587</c:v>
                </c:pt>
                <c:pt idx="11">
                  <c:v>49.289891272723587</c:v>
                </c:pt>
                <c:pt idx="12">
                  <c:v>49.289891272723587</c:v>
                </c:pt>
                <c:pt idx="13">
                  <c:v>49.289891272723587</c:v>
                </c:pt>
                <c:pt idx="14">
                  <c:v>49.289891272723587</c:v>
                </c:pt>
                <c:pt idx="15">
                  <c:v>49.289891272723587</c:v>
                </c:pt>
                <c:pt idx="16">
                  <c:v>49.289891272723587</c:v>
                </c:pt>
                <c:pt idx="17">
                  <c:v>49.289891272723587</c:v>
                </c:pt>
                <c:pt idx="18">
                  <c:v>49.289891272723587</c:v>
                </c:pt>
                <c:pt idx="19">
                  <c:v>49.289891272723587</c:v>
                </c:pt>
                <c:pt idx="20">
                  <c:v>49.289891272723587</c:v>
                </c:pt>
                <c:pt idx="21">
                  <c:v>49.289891272723587</c:v>
                </c:pt>
                <c:pt idx="22">
                  <c:v>49.289891272723587</c:v>
                </c:pt>
                <c:pt idx="23">
                  <c:v>49.289891272723587</c:v>
                </c:pt>
                <c:pt idx="24">
                  <c:v>49.289891272723587</c:v>
                </c:pt>
                <c:pt idx="25">
                  <c:v>49.289891272723587</c:v>
                </c:pt>
                <c:pt idx="26">
                  <c:v>49.289891272723587</c:v>
                </c:pt>
                <c:pt idx="27">
                  <c:v>49.289891272723587</c:v>
                </c:pt>
                <c:pt idx="28">
                  <c:v>49.289891272723587</c:v>
                </c:pt>
                <c:pt idx="29">
                  <c:v>49.289891272723587</c:v>
                </c:pt>
              </c:numCache>
            </c:numRef>
          </c:val>
          <c:smooth val="0"/>
          <c:extLst>
            <c:ext xmlns:c16="http://schemas.microsoft.com/office/drawing/2014/chart" uri="{C3380CC4-5D6E-409C-BE32-E72D297353CC}">
              <c16:uniqueId val="{00000002-8076-274E-9CDD-37B3CA8FC687}"/>
            </c:ext>
          </c:extLst>
        </c:ser>
        <c:ser>
          <c:idx val="4"/>
          <c:order val="3"/>
          <c:tx>
            <c:strRef>
              <c:f>'6'!$L$6</c:f>
              <c:strCache>
                <c:ptCount val="1"/>
                <c:pt idx="0">
                  <c:v>LCC</c:v>
                </c:pt>
              </c:strCache>
            </c:strRef>
          </c:tx>
          <c:spPr>
            <a:ln w="25400">
              <a:solidFill>
                <a:srgbClr val="6711FF"/>
              </a:solidFill>
              <a:prstDash val="solid"/>
            </a:ln>
          </c:spPr>
          <c:marker>
            <c:symbol val="star"/>
            <c:size val="7"/>
            <c:spPr>
              <a:noFill/>
              <a:ln>
                <a:solidFill>
                  <a:srgbClr val="6711FF"/>
                </a:solidFill>
                <a:prstDash val="solid"/>
              </a:ln>
              <a:effectLst>
                <a:outerShdw dist="35921" dir="2700000" algn="br">
                  <a:srgbClr val="000000"/>
                </a:outerShdw>
              </a:effectLst>
            </c:spPr>
          </c:marker>
          <c:val>
            <c:numRef>
              <c:f>'6'!$L$8:$L$37</c:f>
              <c:numCache>
                <c:formatCode>0.0</c:formatCode>
                <c:ptCount val="30"/>
                <c:pt idx="0">
                  <c:v>46.662327188940104</c:v>
                </c:pt>
                <c:pt idx="1">
                  <c:v>46.662327188940104</c:v>
                </c:pt>
                <c:pt idx="2">
                  <c:v>46.662327188940104</c:v>
                </c:pt>
                <c:pt idx="3">
                  <c:v>46.662327188940104</c:v>
                </c:pt>
                <c:pt idx="4">
                  <c:v>46.662327188940104</c:v>
                </c:pt>
                <c:pt idx="5">
                  <c:v>46.662327188940104</c:v>
                </c:pt>
                <c:pt idx="6">
                  <c:v>46.662327188940104</c:v>
                </c:pt>
                <c:pt idx="7">
                  <c:v>46.662327188940104</c:v>
                </c:pt>
                <c:pt idx="8">
                  <c:v>46.662327188940104</c:v>
                </c:pt>
                <c:pt idx="9">
                  <c:v>46.662327188940104</c:v>
                </c:pt>
                <c:pt idx="10">
                  <c:v>46.662327188940104</c:v>
                </c:pt>
                <c:pt idx="11">
                  <c:v>46.662327188940104</c:v>
                </c:pt>
                <c:pt idx="12">
                  <c:v>46.662327188940104</c:v>
                </c:pt>
                <c:pt idx="13">
                  <c:v>46.662327188940104</c:v>
                </c:pt>
                <c:pt idx="14">
                  <c:v>46.662327188940104</c:v>
                </c:pt>
                <c:pt idx="15">
                  <c:v>46.662327188940104</c:v>
                </c:pt>
                <c:pt idx="16">
                  <c:v>46.662327188940104</c:v>
                </c:pt>
                <c:pt idx="17">
                  <c:v>46.662327188940104</c:v>
                </c:pt>
                <c:pt idx="18">
                  <c:v>46.662327188940104</c:v>
                </c:pt>
                <c:pt idx="19">
                  <c:v>46.662327188940104</c:v>
                </c:pt>
                <c:pt idx="20">
                  <c:v>46.662327188940104</c:v>
                </c:pt>
                <c:pt idx="21">
                  <c:v>46.662327188940104</c:v>
                </c:pt>
                <c:pt idx="22">
                  <c:v>46.662327188940104</c:v>
                </c:pt>
                <c:pt idx="23">
                  <c:v>46.662327188940104</c:v>
                </c:pt>
                <c:pt idx="24">
                  <c:v>46.662327188940104</c:v>
                </c:pt>
                <c:pt idx="25">
                  <c:v>46.662327188940104</c:v>
                </c:pt>
                <c:pt idx="26">
                  <c:v>46.662327188940104</c:v>
                </c:pt>
                <c:pt idx="27">
                  <c:v>46.662327188940104</c:v>
                </c:pt>
                <c:pt idx="28">
                  <c:v>46.662327188940104</c:v>
                </c:pt>
                <c:pt idx="29">
                  <c:v>46.662327188940104</c:v>
                </c:pt>
              </c:numCache>
            </c:numRef>
          </c:val>
          <c:smooth val="0"/>
          <c:extLst>
            <c:ext xmlns:c16="http://schemas.microsoft.com/office/drawing/2014/chart" uri="{C3380CC4-5D6E-409C-BE32-E72D297353CC}">
              <c16:uniqueId val="{00000003-8076-274E-9CDD-37B3CA8FC687}"/>
            </c:ext>
          </c:extLst>
        </c:ser>
        <c:ser>
          <c:idx val="5"/>
          <c:order val="4"/>
          <c:tx>
            <c:strRef>
              <c:f>'6'!$M$6</c:f>
              <c:strCache>
                <c:ptCount val="1"/>
                <c:pt idx="0">
                  <c:v>LCI</c:v>
                </c:pt>
              </c:strCache>
            </c:strRef>
          </c:tx>
          <c:spPr>
            <a:ln w="25400">
              <a:solidFill>
                <a:srgbClr val="FEA746"/>
              </a:solidFill>
              <a:prstDash val="solid"/>
            </a:ln>
          </c:spPr>
          <c:marker>
            <c:symbol val="circle"/>
            <c:size val="7"/>
            <c:spPr>
              <a:solidFill>
                <a:srgbClr val="FEA746"/>
              </a:solidFill>
              <a:ln>
                <a:solidFill>
                  <a:srgbClr val="FEA746"/>
                </a:solidFill>
                <a:prstDash val="solid"/>
              </a:ln>
              <a:effectLst>
                <a:outerShdw dist="35921" dir="2700000" algn="br">
                  <a:srgbClr val="000000"/>
                </a:outerShdw>
              </a:effectLst>
            </c:spPr>
          </c:marker>
          <c:val>
            <c:numRef>
              <c:f>'6'!$M$8:$M$37</c:f>
              <c:numCache>
                <c:formatCode>0.0</c:formatCode>
                <c:ptCount val="30"/>
                <c:pt idx="0">
                  <c:v>44.034763105156621</c:v>
                </c:pt>
                <c:pt idx="1">
                  <c:v>44.034763105156621</c:v>
                </c:pt>
                <c:pt idx="2">
                  <c:v>44.034763105156621</c:v>
                </c:pt>
                <c:pt idx="3">
                  <c:v>44.034763105156621</c:v>
                </c:pt>
                <c:pt idx="4">
                  <c:v>44.034763105156621</c:v>
                </c:pt>
                <c:pt idx="5">
                  <c:v>44.034763105156621</c:v>
                </c:pt>
                <c:pt idx="6">
                  <c:v>44.034763105156621</c:v>
                </c:pt>
                <c:pt idx="7">
                  <c:v>44.034763105156621</c:v>
                </c:pt>
                <c:pt idx="8">
                  <c:v>44.034763105156621</c:v>
                </c:pt>
                <c:pt idx="9">
                  <c:v>44.034763105156621</c:v>
                </c:pt>
                <c:pt idx="10">
                  <c:v>44.034763105156621</c:v>
                </c:pt>
                <c:pt idx="11">
                  <c:v>44.034763105156621</c:v>
                </c:pt>
                <c:pt idx="12">
                  <c:v>44.034763105156621</c:v>
                </c:pt>
                <c:pt idx="13">
                  <c:v>44.034763105156621</c:v>
                </c:pt>
                <c:pt idx="14">
                  <c:v>44.034763105156621</c:v>
                </c:pt>
                <c:pt idx="15">
                  <c:v>44.034763105156621</c:v>
                </c:pt>
                <c:pt idx="16">
                  <c:v>44.034763105156621</c:v>
                </c:pt>
                <c:pt idx="17">
                  <c:v>44.034763105156621</c:v>
                </c:pt>
                <c:pt idx="18">
                  <c:v>44.034763105156621</c:v>
                </c:pt>
                <c:pt idx="19">
                  <c:v>44.034763105156621</c:v>
                </c:pt>
                <c:pt idx="20">
                  <c:v>44.034763105156621</c:v>
                </c:pt>
                <c:pt idx="21">
                  <c:v>44.034763105156621</c:v>
                </c:pt>
                <c:pt idx="22">
                  <c:v>44.034763105156621</c:v>
                </c:pt>
                <c:pt idx="23">
                  <c:v>44.034763105156621</c:v>
                </c:pt>
                <c:pt idx="24">
                  <c:v>44.034763105156621</c:v>
                </c:pt>
                <c:pt idx="25">
                  <c:v>44.034763105156621</c:v>
                </c:pt>
                <c:pt idx="26">
                  <c:v>44.034763105156621</c:v>
                </c:pt>
                <c:pt idx="27">
                  <c:v>44.034763105156621</c:v>
                </c:pt>
                <c:pt idx="28">
                  <c:v>44.034763105156621</c:v>
                </c:pt>
                <c:pt idx="29">
                  <c:v>44.034763105156621</c:v>
                </c:pt>
              </c:numCache>
            </c:numRef>
          </c:val>
          <c:smooth val="0"/>
          <c:extLst>
            <c:ext xmlns:c16="http://schemas.microsoft.com/office/drawing/2014/chart" uri="{C3380CC4-5D6E-409C-BE32-E72D297353CC}">
              <c16:uniqueId val="{00000004-8076-274E-9CDD-37B3CA8FC687}"/>
            </c:ext>
          </c:extLst>
        </c:ser>
        <c:dLbls>
          <c:showLegendKey val="0"/>
          <c:showVal val="0"/>
          <c:showCatName val="0"/>
          <c:showSerName val="0"/>
          <c:showPercent val="0"/>
          <c:showBubbleSize val="0"/>
        </c:dLbls>
        <c:marker val="1"/>
        <c:smooth val="0"/>
        <c:axId val="1051072200"/>
        <c:axId val="1051077464"/>
      </c:lineChart>
      <c:catAx>
        <c:axId val="105107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Verdana"/>
                <a:ea typeface="Verdana"/>
                <a:cs typeface="Verdana"/>
              </a:defRPr>
            </a:pPr>
            <a:endParaRPr lang="en-CR"/>
          </a:p>
        </c:txPr>
        <c:crossAx val="1051077464"/>
        <c:crosses val="autoZero"/>
        <c:auto val="1"/>
        <c:lblAlgn val="ctr"/>
        <c:lblOffset val="100"/>
        <c:tickLblSkip val="2"/>
        <c:tickMarkSkip val="1"/>
        <c:noMultiLvlLbl val="0"/>
      </c:catAx>
      <c:valAx>
        <c:axId val="1051077464"/>
        <c:scaling>
          <c:orientation val="minMax"/>
          <c:min val="44"/>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Verdana"/>
                <a:ea typeface="Verdana"/>
                <a:cs typeface="Verdana"/>
              </a:defRPr>
            </a:pPr>
            <a:endParaRPr lang="en-CR"/>
          </a:p>
        </c:txPr>
        <c:crossAx val="1051072200"/>
        <c:crosses val="autoZero"/>
        <c:crossBetween val="between"/>
      </c:valAx>
      <c:spPr>
        <a:solidFill>
          <a:srgbClr val="CDCDCD"/>
        </a:solidFill>
        <a:ln w="12700">
          <a:solidFill>
            <a:srgbClr val="808080"/>
          </a:solidFill>
          <a:prstDash val="solid"/>
        </a:ln>
      </c:spPr>
    </c:plotArea>
    <c:legend>
      <c:legendPos val="b"/>
      <c:layout>
        <c:manualLayout>
          <c:xMode val="edge"/>
          <c:yMode val="edge"/>
          <c:x val="0.34054025679222499"/>
          <c:y val="0.93312101910828005"/>
          <c:w val="0.38918890544087398"/>
          <c:h val="4.7770700636942699E-2"/>
        </c:manualLayout>
      </c:layout>
      <c:overlay val="0"/>
      <c:spPr>
        <a:solidFill>
          <a:srgbClr val="FFFFFF"/>
        </a:solidFill>
        <a:ln w="25400">
          <a:noFill/>
        </a:ln>
      </c:spPr>
      <c:txPr>
        <a:bodyPr/>
        <a:lstStyle/>
        <a:p>
          <a:pPr>
            <a:defRPr sz="895"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Verdana"/>
                <a:ea typeface="Verdana"/>
                <a:cs typeface="Verdana"/>
              </a:defRPr>
            </a:pPr>
            <a:r>
              <a:rPr lang="en-US"/>
              <a:t>Gráfica R</a:t>
            </a:r>
          </a:p>
        </c:rich>
      </c:tx>
      <c:layout>
        <c:manualLayout>
          <c:xMode val="edge"/>
          <c:yMode val="edge"/>
          <c:x val="0.44144097320568698"/>
          <c:y val="3.1847201532240903E-2"/>
        </c:manualLayout>
      </c:layout>
      <c:overlay val="0"/>
      <c:spPr>
        <a:noFill/>
        <a:ln w="25400">
          <a:noFill/>
        </a:ln>
      </c:spPr>
    </c:title>
    <c:autoTitleDeleted val="0"/>
    <c:plotArea>
      <c:layout>
        <c:manualLayout>
          <c:layoutTarget val="inner"/>
          <c:xMode val="edge"/>
          <c:yMode val="edge"/>
          <c:x val="7.0270208447522103E-2"/>
          <c:y val="0.17197452229299401"/>
          <c:w val="0.90990910938458103"/>
          <c:h val="0.66242038216560495"/>
        </c:manualLayout>
      </c:layout>
      <c:lineChart>
        <c:grouping val="standard"/>
        <c:varyColors val="0"/>
        <c:ser>
          <c:idx val="0"/>
          <c:order val="0"/>
          <c:tx>
            <c:strRef>
              <c:f>'6'!$H$6</c:f>
              <c:strCache>
                <c:ptCount val="1"/>
                <c:pt idx="0">
                  <c:v>Rango</c:v>
                </c:pt>
              </c:strCache>
            </c:strRef>
          </c:tx>
          <c:spPr>
            <a:ln w="25400">
              <a:solidFill>
                <a:srgbClr val="63AAFE"/>
              </a:solidFill>
              <a:prstDash val="solid"/>
            </a:ln>
          </c:spPr>
          <c:marker>
            <c:symbol val="diamond"/>
            <c:size val="7"/>
            <c:spPr>
              <a:solidFill>
                <a:srgbClr val="63AAFE"/>
              </a:solidFill>
              <a:ln>
                <a:solidFill>
                  <a:srgbClr val="63AAFE"/>
                </a:solidFill>
                <a:prstDash val="solid"/>
              </a:ln>
              <a:effectLst>
                <a:outerShdw dist="35921" dir="2700000" algn="br">
                  <a:srgbClr val="000000"/>
                </a:outerShdw>
              </a:effectLst>
            </c:spPr>
          </c:marker>
          <c:val>
            <c:numRef>
              <c:f>'6'!$H$8:$H$37</c:f>
              <c:numCache>
                <c:formatCode>0.0</c:formatCode>
                <c:ptCount val="30"/>
                <c:pt idx="0">
                  <c:v>6.009999999999998</c:v>
                </c:pt>
                <c:pt idx="1">
                  <c:v>4.0575893429364882</c:v>
                </c:pt>
                <c:pt idx="2">
                  <c:v>5.1016397595141427</c:v>
                </c:pt>
                <c:pt idx="3">
                  <c:v>3.9985659352397249</c:v>
                </c:pt>
                <c:pt idx="4">
                  <c:v>4.6918738364818253</c:v>
                </c:pt>
                <c:pt idx="5">
                  <c:v>3.4705713064973907</c:v>
                </c:pt>
                <c:pt idx="6">
                  <c:v>3.5507849360637209</c:v>
                </c:pt>
                <c:pt idx="7">
                  <c:v>3.2146516312143305</c:v>
                </c:pt>
                <c:pt idx="8">
                  <c:v>3.9075627918332501</c:v>
                </c:pt>
                <c:pt idx="9">
                  <c:v>4.2451512192144563</c:v>
                </c:pt>
                <c:pt idx="10">
                  <c:v>3.8949214148381017</c:v>
                </c:pt>
                <c:pt idx="11">
                  <c:v>2.5497515793328631</c:v>
                </c:pt>
                <c:pt idx="12">
                  <c:v>4.4953413495284877</c:v>
                </c:pt>
                <c:pt idx="13">
                  <c:v>4.122557145908992</c:v>
                </c:pt>
                <c:pt idx="14">
                  <c:v>3.0922394482253495</c:v>
                </c:pt>
                <c:pt idx="15">
                  <c:v>2.6567940305795403</c:v>
                </c:pt>
                <c:pt idx="16">
                  <c:v>2.0662871181371472</c:v>
                </c:pt>
                <c:pt idx="17">
                  <c:v>2.6242356639301718</c:v>
                </c:pt>
                <c:pt idx="18">
                  <c:v>3.6265422528763693</c:v>
                </c:pt>
                <c:pt idx="19">
                  <c:v>3.4038175603503547</c:v>
                </c:pt>
                <c:pt idx="20">
                  <c:v>3.145988036744285</c:v>
                </c:pt>
                <c:pt idx="21">
                  <c:v>4.2650682088686764</c:v>
                </c:pt>
                <c:pt idx="22">
                  <c:v>2.9123499252296554</c:v>
                </c:pt>
                <c:pt idx="23">
                  <c:v>2.8754261909848324</c:v>
                </c:pt>
                <c:pt idx="24">
                  <c:v>2.0910242011780156</c:v>
                </c:pt>
                <c:pt idx="25">
                  <c:v>4.0295202490310373</c:v>
                </c:pt>
                <c:pt idx="26">
                  <c:v>3.6825644703512737</c:v>
                </c:pt>
                <c:pt idx="27">
                  <c:v>2.8989809869686027</c:v>
                </c:pt>
                <c:pt idx="28">
                  <c:v>2.805125583666495</c:v>
                </c:pt>
                <c:pt idx="29">
                  <c:v>4.4951594592120117</c:v>
                </c:pt>
              </c:numCache>
            </c:numRef>
          </c:val>
          <c:smooth val="0"/>
          <c:extLst>
            <c:ext xmlns:c16="http://schemas.microsoft.com/office/drawing/2014/chart" uri="{C3380CC4-5D6E-409C-BE32-E72D297353CC}">
              <c16:uniqueId val="{00000000-DC6E-9443-BB82-CDB73E755499}"/>
            </c:ext>
          </c:extLst>
        </c:ser>
        <c:ser>
          <c:idx val="1"/>
          <c:order val="1"/>
          <c:tx>
            <c:strRef>
              <c:f>'[2]Pregunta 2'!$I$6</c:f>
              <c:strCache>
                <c:ptCount val="1"/>
              </c:strCache>
            </c:strRef>
          </c:tx>
          <c:spPr>
            <a:ln w="25400">
              <a:solidFill>
                <a:srgbClr val="993366"/>
              </a:solidFill>
              <a:prstDash val="solid"/>
            </a:ln>
          </c:spPr>
          <c:marker>
            <c:spPr>
              <a:solidFill>
                <a:srgbClr val="AA4643"/>
              </a:solidFill>
              <a:ln>
                <a:solidFill>
                  <a:srgbClr val="993366"/>
                </a:solidFill>
                <a:prstDash val="solid"/>
              </a:ln>
            </c:spPr>
          </c:marker>
          <c:val>
            <c:numRef>
              <c:f>'[2]Pregunta 2'!$I$8:$I$37</c:f>
              <c:numCache>
                <c:formatCode>General</c:formatCode>
                <c:ptCount val="30"/>
                <c:pt idx="0">
                  <c:v>0.1</c:v>
                </c:pt>
                <c:pt idx="1">
                  <c:v>0.3620685445722831</c:v>
                </c:pt>
                <c:pt idx="2">
                  <c:v>0.22192754905850398</c:v>
                </c:pt>
                <c:pt idx="3">
                  <c:v>0.36999114963225199</c:v>
                </c:pt>
                <c:pt idx="4">
                  <c:v>0.14270149845881527</c:v>
                </c:pt>
                <c:pt idx="5">
                  <c:v>0.30663472396008179</c:v>
                </c:pt>
                <c:pt idx="6">
                  <c:v>0.29586779381695</c:v>
                </c:pt>
                <c:pt idx="7">
                  <c:v>0.34098635822626422</c:v>
                </c:pt>
                <c:pt idx="8">
                  <c:v>0.24797814874721519</c:v>
                </c:pt>
                <c:pt idx="9">
                  <c:v>0.20266426587725456</c:v>
                </c:pt>
                <c:pt idx="10">
                  <c:v>0.24967497787408066</c:v>
                </c:pt>
                <c:pt idx="11">
                  <c:v>0.4302346873378704</c:v>
                </c:pt>
                <c:pt idx="12">
                  <c:v>0.16908169804986725</c:v>
                </c:pt>
                <c:pt idx="13">
                  <c:v>0.21911984618671224</c:v>
                </c:pt>
                <c:pt idx="14">
                  <c:v>0.35741752372814117</c:v>
                </c:pt>
                <c:pt idx="15">
                  <c:v>0.41586657307657093</c:v>
                </c:pt>
                <c:pt idx="16">
                  <c:v>0.49512924588763085</c:v>
                </c:pt>
                <c:pt idx="17">
                  <c:v>0.42023682363353376</c:v>
                </c:pt>
                <c:pt idx="18">
                  <c:v>0.2856990264595477</c:v>
                </c:pt>
                <c:pt idx="19">
                  <c:v>0.31559495834223461</c:v>
                </c:pt>
                <c:pt idx="20">
                  <c:v>0.35020294808801544</c:v>
                </c:pt>
                <c:pt idx="21">
                  <c:v>0.1999908444471572</c:v>
                </c:pt>
                <c:pt idx="22">
                  <c:v>0.38156376842555007</c:v>
                </c:pt>
                <c:pt idx="23">
                  <c:v>0.38651997436445207</c:v>
                </c:pt>
                <c:pt idx="24">
                  <c:v>0.49180883205664239</c:v>
                </c:pt>
                <c:pt idx="25">
                  <c:v>0.23160802026429028</c:v>
                </c:pt>
                <c:pt idx="26">
                  <c:v>0.27817926572466201</c:v>
                </c:pt>
                <c:pt idx="27">
                  <c:v>0.38335825678273872</c:v>
                </c:pt>
                <c:pt idx="28">
                  <c:v>0.3959562974944304</c:v>
                </c:pt>
                <c:pt idx="29">
                  <c:v>0.16910611285744803</c:v>
                </c:pt>
              </c:numCache>
            </c:numRef>
          </c:val>
          <c:smooth val="0"/>
          <c:extLst>
            <c:ext xmlns:c16="http://schemas.microsoft.com/office/drawing/2014/chart" uri="{C3380CC4-5D6E-409C-BE32-E72D297353CC}">
              <c16:uniqueId val="{00000001-DC6E-9443-BB82-CDB73E755499}"/>
            </c:ext>
          </c:extLst>
        </c:ser>
        <c:ser>
          <c:idx val="5"/>
          <c:order val="2"/>
          <c:tx>
            <c:strRef>
              <c:f>'6'!$N$6</c:f>
              <c:strCache>
                <c:ptCount val="1"/>
                <c:pt idx="0">
                  <c:v>LCS</c:v>
                </c:pt>
              </c:strCache>
            </c:strRef>
          </c:tx>
          <c:spPr>
            <a:ln w="25400">
              <a:solidFill>
                <a:srgbClr val="FEA746"/>
              </a:solidFill>
              <a:prstDash val="solid"/>
            </a:ln>
          </c:spPr>
          <c:marker>
            <c:symbol val="circle"/>
            <c:size val="7"/>
            <c:spPr>
              <a:solidFill>
                <a:srgbClr val="FEA746"/>
              </a:solidFill>
              <a:ln>
                <a:solidFill>
                  <a:srgbClr val="FEA746"/>
                </a:solidFill>
                <a:prstDash val="solid"/>
              </a:ln>
              <a:effectLst>
                <a:outerShdw dist="35921" dir="2700000" algn="br">
                  <a:srgbClr val="000000"/>
                </a:outerShdw>
              </a:effectLst>
            </c:spPr>
          </c:marker>
          <c:val>
            <c:numRef>
              <c:f>'6'!$N$8:$N$37</c:f>
              <c:numCache>
                <c:formatCode>0.0</c:formatCode>
                <c:ptCount val="30"/>
                <c:pt idx="0">
                  <c:v>8.2066385082552546</c:v>
                </c:pt>
                <c:pt idx="1">
                  <c:v>8.2066385082552546</c:v>
                </c:pt>
                <c:pt idx="2">
                  <c:v>8.2066385082552546</c:v>
                </c:pt>
                <c:pt idx="3">
                  <c:v>8.2066385082552546</c:v>
                </c:pt>
                <c:pt idx="4">
                  <c:v>8.2066385082552546</c:v>
                </c:pt>
                <c:pt idx="5">
                  <c:v>8.2066385082552546</c:v>
                </c:pt>
                <c:pt idx="6">
                  <c:v>8.2066385082552546</c:v>
                </c:pt>
                <c:pt idx="7">
                  <c:v>8.2066385082552546</c:v>
                </c:pt>
                <c:pt idx="8">
                  <c:v>8.2066385082552546</c:v>
                </c:pt>
                <c:pt idx="9">
                  <c:v>8.2066385082552546</c:v>
                </c:pt>
                <c:pt idx="10">
                  <c:v>8.2066385082552546</c:v>
                </c:pt>
                <c:pt idx="11">
                  <c:v>8.2066385082552546</c:v>
                </c:pt>
                <c:pt idx="12">
                  <c:v>8.2066385082552546</c:v>
                </c:pt>
                <c:pt idx="13">
                  <c:v>8.2066385082552546</c:v>
                </c:pt>
                <c:pt idx="14">
                  <c:v>8.2066385082552546</c:v>
                </c:pt>
                <c:pt idx="15">
                  <c:v>8.2066385082552546</c:v>
                </c:pt>
                <c:pt idx="16">
                  <c:v>8.2066385082552546</c:v>
                </c:pt>
                <c:pt idx="17">
                  <c:v>8.2066385082552546</c:v>
                </c:pt>
                <c:pt idx="18">
                  <c:v>8.2066385082552546</c:v>
                </c:pt>
                <c:pt idx="19">
                  <c:v>8.2066385082552546</c:v>
                </c:pt>
                <c:pt idx="20">
                  <c:v>8.2066385082552546</c:v>
                </c:pt>
                <c:pt idx="21">
                  <c:v>8.2066385082552546</c:v>
                </c:pt>
                <c:pt idx="22">
                  <c:v>8.2066385082552546</c:v>
                </c:pt>
                <c:pt idx="23">
                  <c:v>8.2066385082552546</c:v>
                </c:pt>
                <c:pt idx="24">
                  <c:v>8.2066385082552546</c:v>
                </c:pt>
                <c:pt idx="25">
                  <c:v>8.2066385082552546</c:v>
                </c:pt>
                <c:pt idx="26">
                  <c:v>8.2066385082552546</c:v>
                </c:pt>
                <c:pt idx="27">
                  <c:v>8.2066385082552546</c:v>
                </c:pt>
                <c:pt idx="28">
                  <c:v>8.2066385082552546</c:v>
                </c:pt>
                <c:pt idx="29">
                  <c:v>8.2066385082552546</c:v>
                </c:pt>
              </c:numCache>
            </c:numRef>
          </c:val>
          <c:smooth val="0"/>
          <c:extLst>
            <c:ext xmlns:c16="http://schemas.microsoft.com/office/drawing/2014/chart" uri="{C3380CC4-5D6E-409C-BE32-E72D297353CC}">
              <c16:uniqueId val="{00000002-DC6E-9443-BB82-CDB73E755499}"/>
            </c:ext>
          </c:extLst>
        </c:ser>
        <c:ser>
          <c:idx val="6"/>
          <c:order val="3"/>
          <c:tx>
            <c:strRef>
              <c:f>'6'!$O$6</c:f>
              <c:strCache>
                <c:ptCount val="1"/>
                <c:pt idx="0">
                  <c:v>LCC</c:v>
                </c:pt>
              </c:strCache>
            </c:strRef>
          </c:tx>
          <c:spPr>
            <a:ln w="25400">
              <a:solidFill>
                <a:srgbClr val="865357"/>
              </a:solidFill>
              <a:prstDash val="solid"/>
            </a:ln>
          </c:spPr>
          <c:marker>
            <c:symbol val="plus"/>
            <c:size val="7"/>
            <c:spPr>
              <a:noFill/>
              <a:ln>
                <a:solidFill>
                  <a:srgbClr val="865357"/>
                </a:solidFill>
                <a:prstDash val="solid"/>
              </a:ln>
              <a:effectLst>
                <a:outerShdw dist="35921" dir="2700000" algn="br">
                  <a:srgbClr val="000000"/>
                </a:outerShdw>
              </a:effectLst>
            </c:spPr>
          </c:marker>
          <c:val>
            <c:numRef>
              <c:f>'6'!$O$8:$O$37</c:f>
              <c:numCache>
                <c:formatCode>0.0</c:formatCode>
                <c:ptCount val="30"/>
                <c:pt idx="0">
                  <c:v>3.5994028544979186</c:v>
                </c:pt>
                <c:pt idx="1">
                  <c:v>3.5994028544979186</c:v>
                </c:pt>
                <c:pt idx="2">
                  <c:v>3.5994028544979186</c:v>
                </c:pt>
                <c:pt idx="3">
                  <c:v>3.5994028544979186</c:v>
                </c:pt>
                <c:pt idx="4">
                  <c:v>3.5994028544979186</c:v>
                </c:pt>
                <c:pt idx="5">
                  <c:v>3.5994028544979186</c:v>
                </c:pt>
                <c:pt idx="6">
                  <c:v>3.5994028544979186</c:v>
                </c:pt>
                <c:pt idx="7">
                  <c:v>3.5994028544979186</c:v>
                </c:pt>
                <c:pt idx="8">
                  <c:v>3.5994028544979186</c:v>
                </c:pt>
                <c:pt idx="9">
                  <c:v>3.5994028544979186</c:v>
                </c:pt>
                <c:pt idx="10">
                  <c:v>3.5994028544979186</c:v>
                </c:pt>
                <c:pt idx="11">
                  <c:v>3.5994028544979186</c:v>
                </c:pt>
                <c:pt idx="12">
                  <c:v>3.5994028544979186</c:v>
                </c:pt>
                <c:pt idx="13">
                  <c:v>3.5994028544979186</c:v>
                </c:pt>
                <c:pt idx="14">
                  <c:v>3.5994028544979186</c:v>
                </c:pt>
                <c:pt idx="15">
                  <c:v>3.5994028544979186</c:v>
                </c:pt>
                <c:pt idx="16">
                  <c:v>3.5994028544979186</c:v>
                </c:pt>
                <c:pt idx="17">
                  <c:v>3.5994028544979186</c:v>
                </c:pt>
                <c:pt idx="18">
                  <c:v>3.5994028544979186</c:v>
                </c:pt>
                <c:pt idx="19">
                  <c:v>3.5994028544979186</c:v>
                </c:pt>
                <c:pt idx="20">
                  <c:v>3.5994028544979186</c:v>
                </c:pt>
                <c:pt idx="21">
                  <c:v>3.5994028544979186</c:v>
                </c:pt>
                <c:pt idx="22">
                  <c:v>3.5994028544979186</c:v>
                </c:pt>
                <c:pt idx="23">
                  <c:v>3.5994028544979186</c:v>
                </c:pt>
                <c:pt idx="24">
                  <c:v>3.5994028544979186</c:v>
                </c:pt>
                <c:pt idx="25">
                  <c:v>3.5994028544979186</c:v>
                </c:pt>
                <c:pt idx="26">
                  <c:v>3.5994028544979186</c:v>
                </c:pt>
                <c:pt idx="27">
                  <c:v>3.5994028544979186</c:v>
                </c:pt>
                <c:pt idx="28">
                  <c:v>3.5994028544979186</c:v>
                </c:pt>
                <c:pt idx="29">
                  <c:v>3.5994028544979186</c:v>
                </c:pt>
              </c:numCache>
            </c:numRef>
          </c:val>
          <c:smooth val="0"/>
          <c:extLst>
            <c:ext xmlns:c16="http://schemas.microsoft.com/office/drawing/2014/chart" uri="{C3380CC4-5D6E-409C-BE32-E72D297353CC}">
              <c16:uniqueId val="{00000003-DC6E-9443-BB82-CDB73E755499}"/>
            </c:ext>
          </c:extLst>
        </c:ser>
        <c:ser>
          <c:idx val="7"/>
          <c:order val="4"/>
          <c:tx>
            <c:strRef>
              <c:f>'6'!$P$6</c:f>
              <c:strCache>
                <c:ptCount val="1"/>
                <c:pt idx="0">
                  <c:v>LCI</c:v>
                </c:pt>
              </c:strCache>
            </c:strRef>
          </c:tx>
          <c:spPr>
            <a:ln w="25400">
              <a:solidFill>
                <a:srgbClr val="A2BD90"/>
              </a:solidFill>
              <a:prstDash val="solid"/>
            </a:ln>
          </c:spPr>
          <c:marker>
            <c:symbol val="dot"/>
            <c:size val="7"/>
            <c:spPr>
              <a:noFill/>
              <a:ln>
                <a:solidFill>
                  <a:srgbClr val="A2BD90"/>
                </a:solidFill>
                <a:prstDash val="solid"/>
              </a:ln>
              <a:effectLst>
                <a:outerShdw dist="35921" dir="2700000" algn="br">
                  <a:srgbClr val="000000"/>
                </a:outerShdw>
              </a:effectLst>
            </c:spPr>
          </c:marker>
          <c:val>
            <c:numRef>
              <c:f>'6'!$P$8:$P$37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4-DC6E-9443-BB82-CDB73E755499}"/>
            </c:ext>
          </c:extLst>
        </c:ser>
        <c:dLbls>
          <c:showLegendKey val="0"/>
          <c:showVal val="0"/>
          <c:showCatName val="0"/>
          <c:showSerName val="0"/>
          <c:showPercent val="0"/>
          <c:showBubbleSize val="0"/>
        </c:dLbls>
        <c:marker val="1"/>
        <c:smooth val="0"/>
        <c:axId val="1048743576"/>
        <c:axId val="1050792600"/>
      </c:lineChart>
      <c:catAx>
        <c:axId val="1048743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Verdana"/>
                <a:ea typeface="Verdana"/>
                <a:cs typeface="Verdana"/>
              </a:defRPr>
            </a:pPr>
            <a:endParaRPr lang="en-CR"/>
          </a:p>
        </c:txPr>
        <c:crossAx val="1050792600"/>
        <c:crosses val="autoZero"/>
        <c:auto val="1"/>
        <c:lblAlgn val="ctr"/>
        <c:lblOffset val="100"/>
        <c:tickLblSkip val="2"/>
        <c:tickMarkSkip val="1"/>
        <c:noMultiLvlLbl val="0"/>
      </c:catAx>
      <c:valAx>
        <c:axId val="105079260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Verdana"/>
                <a:ea typeface="Verdana"/>
                <a:cs typeface="Verdana"/>
              </a:defRPr>
            </a:pPr>
            <a:endParaRPr lang="en-CR"/>
          </a:p>
        </c:txPr>
        <c:crossAx val="1048743576"/>
        <c:crosses val="autoZero"/>
        <c:crossBetween val="between"/>
      </c:valAx>
      <c:spPr>
        <a:solidFill>
          <a:srgbClr val="CDCDCD"/>
        </a:solidFill>
        <a:ln w="12700">
          <a:solidFill>
            <a:srgbClr val="808080"/>
          </a:solidFill>
          <a:prstDash val="solid"/>
        </a:ln>
      </c:spPr>
    </c:plotArea>
    <c:legend>
      <c:legendPos val="b"/>
      <c:layout>
        <c:manualLayout>
          <c:xMode val="edge"/>
          <c:yMode val="edge"/>
          <c:x val="0.32792768934458699"/>
          <c:y val="0.93312114279633995"/>
          <c:w val="0.39279244321078599"/>
          <c:h val="4.7770802298361399E-2"/>
        </c:manualLayout>
      </c:layout>
      <c:overlay val="0"/>
      <c:spPr>
        <a:solidFill>
          <a:srgbClr val="FFFFFF"/>
        </a:solidFill>
        <a:ln w="25400">
          <a:noFill/>
        </a:ln>
      </c:spPr>
      <c:txPr>
        <a:bodyPr/>
        <a:lstStyle/>
        <a:p>
          <a:pPr>
            <a:defRPr sz="895"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Carta U</a:t>
            </a:r>
          </a:p>
        </c:rich>
      </c:tx>
      <c:layout>
        <c:manualLayout>
          <c:xMode val="edge"/>
          <c:yMode val="edge"/>
          <c:x val="0.443481879775599"/>
          <c:y val="3.0534351145038201E-2"/>
        </c:manualLayout>
      </c:layout>
      <c:overlay val="0"/>
      <c:spPr>
        <a:noFill/>
        <a:ln w="25400">
          <a:noFill/>
        </a:ln>
      </c:spPr>
    </c:title>
    <c:autoTitleDeleted val="0"/>
    <c:plotArea>
      <c:layout>
        <c:manualLayout>
          <c:layoutTarget val="inner"/>
          <c:xMode val="edge"/>
          <c:yMode val="edge"/>
          <c:x val="7.6109995501718403E-2"/>
          <c:y val="0.17175604528723801"/>
          <c:w val="0.90063494677033396"/>
          <c:h val="0.59542095699576003"/>
        </c:manualLayout>
      </c:layout>
      <c:lineChart>
        <c:grouping val="standard"/>
        <c:varyColors val="0"/>
        <c:ser>
          <c:idx val="0"/>
          <c:order val="0"/>
          <c:tx>
            <c:strRef>
              <c:f>'7'!$D$9</c:f>
              <c:strCache>
                <c:ptCount val="1"/>
                <c:pt idx="0">
                  <c:v>U</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'7'!$D$10:$D$31</c:f>
              <c:numCache>
                <c:formatCode>0.00</c:formatCode>
                <c:ptCount val="22"/>
                <c:pt idx="0">
                  <c:v>3.1</c:v>
                </c:pt>
                <c:pt idx="1">
                  <c:v>3.62</c:v>
                </c:pt>
                <c:pt idx="2">
                  <c:v>3.16</c:v>
                </c:pt>
                <c:pt idx="3">
                  <c:v>3.12</c:v>
                </c:pt>
                <c:pt idx="4">
                  <c:v>3.04</c:v>
                </c:pt>
                <c:pt idx="5">
                  <c:v>3.76</c:v>
                </c:pt>
                <c:pt idx="6">
                  <c:v>3.26</c:v>
                </c:pt>
                <c:pt idx="7">
                  <c:v>3.26</c:v>
                </c:pt>
                <c:pt idx="8">
                  <c:v>3.4</c:v>
                </c:pt>
                <c:pt idx="9">
                  <c:v>3.08</c:v>
                </c:pt>
                <c:pt idx="10">
                  <c:v>3</c:v>
                </c:pt>
                <c:pt idx="11">
                  <c:v>3.76</c:v>
                </c:pt>
                <c:pt idx="12">
                  <c:v>3.1</c:v>
                </c:pt>
                <c:pt idx="13">
                  <c:v>2.82</c:v>
                </c:pt>
                <c:pt idx="14">
                  <c:v>3.26</c:v>
                </c:pt>
                <c:pt idx="15">
                  <c:v>3.08</c:v>
                </c:pt>
                <c:pt idx="16">
                  <c:v>3.06</c:v>
                </c:pt>
                <c:pt idx="17">
                  <c:v>3.34</c:v>
                </c:pt>
                <c:pt idx="18">
                  <c:v>2.56</c:v>
                </c:pt>
                <c:pt idx="19">
                  <c:v>3.06</c:v>
                </c:pt>
                <c:pt idx="20">
                  <c:v>2.58</c:v>
                </c:pt>
                <c:pt idx="21">
                  <c:v>3.2</c:v>
                </c:pt>
              </c:numCache>
            </c:numRef>
          </c:val>
          <c:smooth val="0"/>
          <c:extLst>
            <c:ext xmlns:c16="http://schemas.microsoft.com/office/drawing/2014/chart" uri="{C3380CC4-5D6E-409C-BE32-E72D297353CC}">
              <c16:uniqueId val="{00000000-725E-224C-BE35-B19A43976CC9}"/>
            </c:ext>
          </c:extLst>
        </c:ser>
        <c:ser>
          <c:idx val="1"/>
          <c:order val="1"/>
          <c:tx>
            <c:strRef>
              <c:f>'7'!$E$9</c:f>
              <c:strCache>
                <c:ptCount val="1"/>
                <c:pt idx="0">
                  <c:v>UCL</c:v>
                </c:pt>
              </c:strCache>
            </c:strRef>
          </c:tx>
          <c:spPr>
            <a:ln w="25400">
              <a:solidFill>
                <a:srgbClr val="DD0806"/>
              </a:solidFill>
              <a:prstDash val="solid"/>
            </a:ln>
          </c:spPr>
          <c:marker>
            <c:symbol val="none"/>
          </c:marker>
          <c:val>
            <c:numRef>
              <c:f>'7'!$E$10:$E$31</c:f>
              <c:numCache>
                <c:formatCode>0.00</c:formatCode>
                <c:ptCount val="22"/>
                <c:pt idx="0">
                  <c:v>3.9192759904443157</c:v>
                </c:pt>
                <c:pt idx="1">
                  <c:v>3.9192759904443157</c:v>
                </c:pt>
                <c:pt idx="2">
                  <c:v>3.9192759904443157</c:v>
                </c:pt>
                <c:pt idx="3">
                  <c:v>3.9192759904443157</c:v>
                </c:pt>
                <c:pt idx="4">
                  <c:v>3.9192759904443157</c:v>
                </c:pt>
                <c:pt idx="5">
                  <c:v>3.9192759904443157</c:v>
                </c:pt>
                <c:pt idx="6">
                  <c:v>3.9192759904443157</c:v>
                </c:pt>
                <c:pt idx="7">
                  <c:v>3.9192759904443157</c:v>
                </c:pt>
                <c:pt idx="8">
                  <c:v>3.9192759904443157</c:v>
                </c:pt>
                <c:pt idx="9">
                  <c:v>3.9192759904443157</c:v>
                </c:pt>
                <c:pt idx="10">
                  <c:v>3.9192759904443157</c:v>
                </c:pt>
                <c:pt idx="11">
                  <c:v>3.9192759904443157</c:v>
                </c:pt>
                <c:pt idx="12">
                  <c:v>3.9192759904443157</c:v>
                </c:pt>
                <c:pt idx="13">
                  <c:v>3.9192759904443157</c:v>
                </c:pt>
                <c:pt idx="14">
                  <c:v>3.9192759904443157</c:v>
                </c:pt>
                <c:pt idx="15">
                  <c:v>3.9192759904443157</c:v>
                </c:pt>
                <c:pt idx="16">
                  <c:v>3.9192759904443157</c:v>
                </c:pt>
                <c:pt idx="17">
                  <c:v>3.9192759904443157</c:v>
                </c:pt>
                <c:pt idx="18">
                  <c:v>3.9192759904443157</c:v>
                </c:pt>
                <c:pt idx="19">
                  <c:v>3.9192759904443157</c:v>
                </c:pt>
                <c:pt idx="20">
                  <c:v>3.9192759904443157</c:v>
                </c:pt>
                <c:pt idx="21">
                  <c:v>3.9192759904443157</c:v>
                </c:pt>
              </c:numCache>
            </c:numRef>
          </c:val>
          <c:smooth val="0"/>
          <c:extLst>
            <c:ext xmlns:c16="http://schemas.microsoft.com/office/drawing/2014/chart" uri="{C3380CC4-5D6E-409C-BE32-E72D297353CC}">
              <c16:uniqueId val="{00000001-725E-224C-BE35-B19A43976CC9}"/>
            </c:ext>
          </c:extLst>
        </c:ser>
        <c:ser>
          <c:idx val="2"/>
          <c:order val="2"/>
          <c:tx>
            <c:strRef>
              <c:f>'7'!$F$9</c:f>
              <c:strCache>
                <c:ptCount val="1"/>
                <c:pt idx="0">
                  <c:v>LCL</c:v>
                </c:pt>
              </c:strCache>
            </c:strRef>
          </c:tx>
          <c:spPr>
            <a:ln w="25400">
              <a:solidFill>
                <a:srgbClr val="DD0806"/>
              </a:solidFill>
              <a:prstDash val="solid"/>
            </a:ln>
          </c:spPr>
          <c:marker>
            <c:symbol val="none"/>
          </c:marker>
          <c:val>
            <c:numRef>
              <c:f>'7'!$F$10:$F$31</c:f>
              <c:numCache>
                <c:formatCode>0.00</c:formatCode>
                <c:ptCount val="22"/>
                <c:pt idx="0">
                  <c:v>2.4098149186465934</c:v>
                </c:pt>
                <c:pt idx="1">
                  <c:v>2.4098149186465934</c:v>
                </c:pt>
                <c:pt idx="2">
                  <c:v>2.4098149186465934</c:v>
                </c:pt>
                <c:pt idx="3">
                  <c:v>2.4098149186465934</c:v>
                </c:pt>
                <c:pt idx="4">
                  <c:v>2.4098149186465934</c:v>
                </c:pt>
                <c:pt idx="5">
                  <c:v>2.4098149186465934</c:v>
                </c:pt>
                <c:pt idx="6">
                  <c:v>2.4098149186465934</c:v>
                </c:pt>
                <c:pt idx="7">
                  <c:v>2.4098149186465934</c:v>
                </c:pt>
                <c:pt idx="8">
                  <c:v>2.4098149186465934</c:v>
                </c:pt>
                <c:pt idx="9">
                  <c:v>2.4098149186465934</c:v>
                </c:pt>
                <c:pt idx="10">
                  <c:v>2.4098149186465934</c:v>
                </c:pt>
                <c:pt idx="11">
                  <c:v>2.4098149186465934</c:v>
                </c:pt>
                <c:pt idx="12">
                  <c:v>2.4098149186465934</c:v>
                </c:pt>
                <c:pt idx="13">
                  <c:v>2.4098149186465934</c:v>
                </c:pt>
                <c:pt idx="14">
                  <c:v>2.4098149186465934</c:v>
                </c:pt>
                <c:pt idx="15">
                  <c:v>2.4098149186465934</c:v>
                </c:pt>
                <c:pt idx="16">
                  <c:v>2.4098149186465934</c:v>
                </c:pt>
                <c:pt idx="17">
                  <c:v>2.4098149186465934</c:v>
                </c:pt>
                <c:pt idx="18">
                  <c:v>2.4098149186465934</c:v>
                </c:pt>
                <c:pt idx="19">
                  <c:v>2.4098149186465934</c:v>
                </c:pt>
                <c:pt idx="20">
                  <c:v>2.4098149186465934</c:v>
                </c:pt>
                <c:pt idx="21">
                  <c:v>2.4098149186465934</c:v>
                </c:pt>
              </c:numCache>
            </c:numRef>
          </c:val>
          <c:smooth val="0"/>
          <c:extLst>
            <c:ext xmlns:c16="http://schemas.microsoft.com/office/drawing/2014/chart" uri="{C3380CC4-5D6E-409C-BE32-E72D297353CC}">
              <c16:uniqueId val="{00000002-725E-224C-BE35-B19A43976CC9}"/>
            </c:ext>
          </c:extLst>
        </c:ser>
        <c:ser>
          <c:idx val="3"/>
          <c:order val="3"/>
          <c:tx>
            <c:strRef>
              <c:f>'7'!$G$9</c:f>
              <c:strCache>
                <c:ptCount val="1"/>
                <c:pt idx="0">
                  <c:v>CCL</c:v>
                </c:pt>
              </c:strCache>
            </c:strRef>
          </c:tx>
          <c:spPr>
            <a:ln w="25400">
              <a:solidFill>
                <a:srgbClr val="DD0806"/>
              </a:solidFill>
              <a:prstDash val="solid"/>
            </a:ln>
          </c:spPr>
          <c:marker>
            <c:symbol val="none"/>
          </c:marker>
          <c:val>
            <c:numRef>
              <c:f>'7'!$G$10:$G$31</c:f>
              <c:numCache>
                <c:formatCode>0.00</c:formatCode>
                <c:ptCount val="22"/>
                <c:pt idx="0">
                  <c:v>3.1645454545454546</c:v>
                </c:pt>
                <c:pt idx="1">
                  <c:v>3.1645454545454546</c:v>
                </c:pt>
                <c:pt idx="2">
                  <c:v>3.1645454545454546</c:v>
                </c:pt>
                <c:pt idx="3">
                  <c:v>3.1645454545454546</c:v>
                </c:pt>
                <c:pt idx="4">
                  <c:v>3.1645454545454546</c:v>
                </c:pt>
                <c:pt idx="5">
                  <c:v>3.1645454545454546</c:v>
                </c:pt>
                <c:pt idx="6">
                  <c:v>3.1645454545454546</c:v>
                </c:pt>
                <c:pt idx="7">
                  <c:v>3.1645454545454546</c:v>
                </c:pt>
                <c:pt idx="8">
                  <c:v>3.1645454545454546</c:v>
                </c:pt>
                <c:pt idx="9">
                  <c:v>3.1645454545454546</c:v>
                </c:pt>
                <c:pt idx="10">
                  <c:v>3.1645454545454546</c:v>
                </c:pt>
                <c:pt idx="11">
                  <c:v>3.1645454545454546</c:v>
                </c:pt>
                <c:pt idx="12">
                  <c:v>3.1645454545454546</c:v>
                </c:pt>
                <c:pt idx="13">
                  <c:v>3.1645454545454546</c:v>
                </c:pt>
                <c:pt idx="14">
                  <c:v>3.1645454545454546</c:v>
                </c:pt>
                <c:pt idx="15">
                  <c:v>3.1645454545454546</c:v>
                </c:pt>
                <c:pt idx="16">
                  <c:v>3.1645454545454546</c:v>
                </c:pt>
                <c:pt idx="17">
                  <c:v>3.1645454545454546</c:v>
                </c:pt>
                <c:pt idx="18">
                  <c:v>3.1645454545454546</c:v>
                </c:pt>
                <c:pt idx="19">
                  <c:v>3.1645454545454546</c:v>
                </c:pt>
                <c:pt idx="20">
                  <c:v>3.1645454545454546</c:v>
                </c:pt>
                <c:pt idx="21">
                  <c:v>3.1645454545454546</c:v>
                </c:pt>
              </c:numCache>
            </c:numRef>
          </c:val>
          <c:smooth val="0"/>
          <c:extLst>
            <c:ext xmlns:c16="http://schemas.microsoft.com/office/drawing/2014/chart" uri="{C3380CC4-5D6E-409C-BE32-E72D297353CC}">
              <c16:uniqueId val="{00000003-725E-224C-BE35-B19A43976CC9}"/>
            </c:ext>
          </c:extLst>
        </c:ser>
        <c:dLbls>
          <c:showLegendKey val="0"/>
          <c:showVal val="0"/>
          <c:showCatName val="0"/>
          <c:showSerName val="0"/>
          <c:showPercent val="0"/>
          <c:showBubbleSize val="0"/>
        </c:dLbls>
        <c:marker val="1"/>
        <c:smooth val="0"/>
        <c:axId val="1127575816"/>
        <c:axId val="1115954696"/>
      </c:lineChart>
      <c:catAx>
        <c:axId val="11275758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Lote</a:t>
                </a:r>
              </a:p>
            </c:rich>
          </c:tx>
          <c:layout>
            <c:manualLayout>
              <c:xMode val="edge"/>
              <c:yMode val="edge"/>
              <c:x val="0.50528574520151104"/>
              <c:y val="0.835879365270181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115954696"/>
        <c:crosses val="autoZero"/>
        <c:auto val="1"/>
        <c:lblAlgn val="ctr"/>
        <c:lblOffset val="100"/>
        <c:tickLblSkip val="1"/>
        <c:tickMarkSkip val="1"/>
        <c:noMultiLvlLbl val="0"/>
      </c:catAx>
      <c:valAx>
        <c:axId val="1115954696"/>
        <c:scaling>
          <c:orientation val="minMax"/>
          <c:min val="2"/>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127575816"/>
        <c:crosses val="autoZero"/>
        <c:crossBetween val="between"/>
      </c:valAx>
      <c:spPr>
        <a:solidFill>
          <a:srgbClr val="C0C0C0"/>
        </a:solidFill>
        <a:ln w="12700">
          <a:solidFill>
            <a:srgbClr val="808080"/>
          </a:solidFill>
          <a:prstDash val="solid"/>
        </a:ln>
      </c:spPr>
    </c:plotArea>
    <c:legend>
      <c:legendPos val="r"/>
      <c:layout>
        <c:manualLayout>
          <c:xMode val="edge"/>
          <c:yMode val="edge"/>
          <c:x val="0.38900667543407003"/>
          <c:y val="0.923665925347118"/>
          <c:w val="0.36363669657571901"/>
          <c:h val="6.1068702290076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CR"/>
    </a:p>
  </c:txPr>
  <c:printSettings>
    <c:headerFooter/>
    <c:pageMargins b="1" l="0.75" r="0.75" t="1" header="0.5" footer="0.5"/>
    <c:pageSetup orientation="landscape" horizontalDpi="-2" verticalDpi="-2"/>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Verdana"/>
                <a:ea typeface="Verdana"/>
                <a:cs typeface="Verdana"/>
              </a:defRPr>
            </a:pPr>
            <a:r>
              <a:rPr lang="en-US"/>
              <a:t>Carta C</a:t>
            </a:r>
          </a:p>
        </c:rich>
      </c:tx>
      <c:layout>
        <c:manualLayout>
          <c:xMode val="edge"/>
          <c:yMode val="edge"/>
          <c:x val="0.45338999733084201"/>
          <c:y val="3.4615384615384603E-2"/>
        </c:manualLayout>
      </c:layout>
      <c:overlay val="0"/>
      <c:spPr>
        <a:noFill/>
        <a:ln w="25400">
          <a:noFill/>
        </a:ln>
      </c:spPr>
    </c:title>
    <c:autoTitleDeleted val="0"/>
    <c:plotArea>
      <c:layout>
        <c:manualLayout>
          <c:layoutTarget val="inner"/>
          <c:xMode val="edge"/>
          <c:yMode val="edge"/>
          <c:x val="7.8389850781935499E-2"/>
          <c:y val="0.18076923076923099"/>
          <c:w val="0.89618667245293904"/>
          <c:h val="0.64230769230769202"/>
        </c:manualLayout>
      </c:layout>
      <c:lineChart>
        <c:grouping val="standard"/>
        <c:varyColors val="0"/>
        <c:ser>
          <c:idx val="0"/>
          <c:order val="0"/>
          <c:tx>
            <c:strRef>
              <c:f>'7'!$C$9</c:f>
              <c:strCache>
                <c:ptCount val="1"/>
                <c:pt idx="0">
                  <c:v>Defectos</c:v>
                </c:pt>
              </c:strCache>
            </c:strRef>
          </c:tx>
          <c:spPr>
            <a:ln w="25400">
              <a:solidFill>
                <a:srgbClr val="000080"/>
              </a:solidFill>
              <a:prstDash val="solid"/>
            </a:ln>
          </c:spPr>
          <c:marker>
            <c:symbol val="diamond"/>
            <c:size val="7"/>
            <c:spPr>
              <a:solidFill>
                <a:srgbClr val="000080"/>
              </a:solidFill>
              <a:ln>
                <a:solidFill>
                  <a:srgbClr val="000080"/>
                </a:solidFill>
                <a:prstDash val="solid"/>
              </a:ln>
              <a:effectLst>
                <a:outerShdw dist="35921" dir="2700000" algn="br">
                  <a:srgbClr val="000000"/>
                </a:outerShdw>
              </a:effectLst>
            </c:spPr>
          </c:marker>
          <c:val>
            <c:numRef>
              <c:f>'7'!$C$10:$C$31</c:f>
              <c:numCache>
                <c:formatCode>General</c:formatCode>
                <c:ptCount val="22"/>
                <c:pt idx="0">
                  <c:v>155</c:v>
                </c:pt>
                <c:pt idx="1">
                  <c:v>181</c:v>
                </c:pt>
                <c:pt idx="2">
                  <c:v>158</c:v>
                </c:pt>
                <c:pt idx="3">
                  <c:v>156</c:v>
                </c:pt>
                <c:pt idx="4">
                  <c:v>152</c:v>
                </c:pt>
                <c:pt idx="5">
                  <c:v>188</c:v>
                </c:pt>
                <c:pt idx="6">
                  <c:v>163</c:v>
                </c:pt>
                <c:pt idx="7">
                  <c:v>163</c:v>
                </c:pt>
                <c:pt idx="8">
                  <c:v>170</c:v>
                </c:pt>
                <c:pt idx="9">
                  <c:v>154</c:v>
                </c:pt>
                <c:pt idx="10">
                  <c:v>150</c:v>
                </c:pt>
                <c:pt idx="11">
                  <c:v>188</c:v>
                </c:pt>
                <c:pt idx="12">
                  <c:v>155</c:v>
                </c:pt>
                <c:pt idx="13">
                  <c:v>141</c:v>
                </c:pt>
                <c:pt idx="14">
                  <c:v>163</c:v>
                </c:pt>
                <c:pt idx="15">
                  <c:v>154</c:v>
                </c:pt>
                <c:pt idx="16">
                  <c:v>153</c:v>
                </c:pt>
                <c:pt idx="17">
                  <c:v>167</c:v>
                </c:pt>
                <c:pt idx="18">
                  <c:v>128</c:v>
                </c:pt>
                <c:pt idx="19">
                  <c:v>153</c:v>
                </c:pt>
                <c:pt idx="20">
                  <c:v>129</c:v>
                </c:pt>
                <c:pt idx="21">
                  <c:v>160</c:v>
                </c:pt>
              </c:numCache>
            </c:numRef>
          </c:val>
          <c:smooth val="0"/>
          <c:extLst>
            <c:ext xmlns:c16="http://schemas.microsoft.com/office/drawing/2014/chart" uri="{C3380CC4-5D6E-409C-BE32-E72D297353CC}">
              <c16:uniqueId val="{00000000-7BD8-AB4F-A69C-9ED01C6FC20C}"/>
            </c:ext>
          </c:extLst>
        </c:ser>
        <c:ser>
          <c:idx val="5"/>
          <c:order val="1"/>
          <c:tx>
            <c:strRef>
              <c:f>'7'!$H$9</c:f>
              <c:strCache>
                <c:ptCount val="1"/>
                <c:pt idx="0">
                  <c:v>UCL</c:v>
                </c:pt>
              </c:strCache>
            </c:strRef>
          </c:tx>
          <c:spPr>
            <a:ln w="25400">
              <a:solidFill>
                <a:srgbClr val="008080"/>
              </a:solidFill>
              <a:prstDash val="solid"/>
            </a:ln>
          </c:spPr>
          <c:marker>
            <c:symbol val="none"/>
          </c:marker>
          <c:val>
            <c:numRef>
              <c:f>'7'!$H$10:$H$31</c:f>
              <c:numCache>
                <c:formatCode>0.00</c:formatCode>
                <c:ptCount val="22"/>
                <c:pt idx="0">
                  <c:v>120.49074593232967</c:v>
                </c:pt>
                <c:pt idx="1">
                  <c:v>120.49074593232967</c:v>
                </c:pt>
                <c:pt idx="2">
                  <c:v>120.49074593232967</c:v>
                </c:pt>
                <c:pt idx="3">
                  <c:v>120.49074593232967</c:v>
                </c:pt>
                <c:pt idx="4">
                  <c:v>120.49074593232967</c:v>
                </c:pt>
                <c:pt idx="5">
                  <c:v>120.49074593232967</c:v>
                </c:pt>
                <c:pt idx="6">
                  <c:v>120.49074593232967</c:v>
                </c:pt>
                <c:pt idx="7">
                  <c:v>120.49074593232967</c:v>
                </c:pt>
                <c:pt idx="8">
                  <c:v>120.49074593232967</c:v>
                </c:pt>
                <c:pt idx="9">
                  <c:v>120.49074593232967</c:v>
                </c:pt>
                <c:pt idx="10">
                  <c:v>120.49074593232967</c:v>
                </c:pt>
                <c:pt idx="11">
                  <c:v>120.49074593232967</c:v>
                </c:pt>
                <c:pt idx="12">
                  <c:v>120.49074593232967</c:v>
                </c:pt>
                <c:pt idx="13">
                  <c:v>120.49074593232967</c:v>
                </c:pt>
                <c:pt idx="14">
                  <c:v>120.49074593232967</c:v>
                </c:pt>
                <c:pt idx="15">
                  <c:v>120.49074593232967</c:v>
                </c:pt>
                <c:pt idx="16">
                  <c:v>120.49074593232967</c:v>
                </c:pt>
                <c:pt idx="17">
                  <c:v>120.49074593232967</c:v>
                </c:pt>
                <c:pt idx="18">
                  <c:v>120.49074593232967</c:v>
                </c:pt>
                <c:pt idx="19">
                  <c:v>120.49074593232967</c:v>
                </c:pt>
                <c:pt idx="20">
                  <c:v>120.49074593232967</c:v>
                </c:pt>
                <c:pt idx="21">
                  <c:v>120.49074593232967</c:v>
                </c:pt>
              </c:numCache>
            </c:numRef>
          </c:val>
          <c:smooth val="0"/>
          <c:extLst>
            <c:ext xmlns:c16="http://schemas.microsoft.com/office/drawing/2014/chart" uri="{C3380CC4-5D6E-409C-BE32-E72D297353CC}">
              <c16:uniqueId val="{00000001-7BD8-AB4F-A69C-9ED01C6FC20C}"/>
            </c:ext>
          </c:extLst>
        </c:ser>
        <c:ser>
          <c:idx val="6"/>
          <c:order val="2"/>
          <c:tx>
            <c:strRef>
              <c:f>'7'!$I$9</c:f>
              <c:strCache>
                <c:ptCount val="1"/>
                <c:pt idx="0">
                  <c:v>LCL</c:v>
                </c:pt>
              </c:strCache>
            </c:strRef>
          </c:tx>
          <c:spPr>
            <a:ln w="25400">
              <a:solidFill>
                <a:srgbClr val="008080"/>
              </a:solidFill>
              <a:prstDash val="solid"/>
            </a:ln>
          </c:spPr>
          <c:marker>
            <c:symbol val="none"/>
          </c:marker>
          <c:val>
            <c:numRef>
              <c:f>'7'!$I$10:$I$31</c:f>
              <c:numCache>
                <c:formatCode>0.00</c:formatCode>
                <c:ptCount val="22"/>
                <c:pt idx="0">
                  <c:v>195.96379952221577</c:v>
                </c:pt>
                <c:pt idx="1">
                  <c:v>195.96379952221577</c:v>
                </c:pt>
                <c:pt idx="2">
                  <c:v>195.96379952221577</c:v>
                </c:pt>
                <c:pt idx="3">
                  <c:v>195.96379952221577</c:v>
                </c:pt>
                <c:pt idx="4">
                  <c:v>195.96379952221577</c:v>
                </c:pt>
                <c:pt idx="5">
                  <c:v>195.96379952221577</c:v>
                </c:pt>
                <c:pt idx="6">
                  <c:v>195.96379952221577</c:v>
                </c:pt>
                <c:pt idx="7">
                  <c:v>195.96379952221577</c:v>
                </c:pt>
                <c:pt idx="8">
                  <c:v>195.96379952221577</c:v>
                </c:pt>
                <c:pt idx="9">
                  <c:v>195.96379952221577</c:v>
                </c:pt>
                <c:pt idx="10">
                  <c:v>195.96379952221577</c:v>
                </c:pt>
                <c:pt idx="11">
                  <c:v>195.96379952221577</c:v>
                </c:pt>
                <c:pt idx="12">
                  <c:v>195.96379952221577</c:v>
                </c:pt>
                <c:pt idx="13">
                  <c:v>195.96379952221577</c:v>
                </c:pt>
                <c:pt idx="14">
                  <c:v>195.96379952221577</c:v>
                </c:pt>
                <c:pt idx="15">
                  <c:v>195.96379952221577</c:v>
                </c:pt>
                <c:pt idx="16">
                  <c:v>195.96379952221577</c:v>
                </c:pt>
                <c:pt idx="17">
                  <c:v>195.96379952221577</c:v>
                </c:pt>
                <c:pt idx="18">
                  <c:v>195.96379952221577</c:v>
                </c:pt>
                <c:pt idx="19">
                  <c:v>195.96379952221577</c:v>
                </c:pt>
                <c:pt idx="20">
                  <c:v>195.96379952221577</c:v>
                </c:pt>
                <c:pt idx="21">
                  <c:v>195.96379952221577</c:v>
                </c:pt>
              </c:numCache>
            </c:numRef>
          </c:val>
          <c:smooth val="0"/>
          <c:extLst>
            <c:ext xmlns:c16="http://schemas.microsoft.com/office/drawing/2014/chart" uri="{C3380CC4-5D6E-409C-BE32-E72D297353CC}">
              <c16:uniqueId val="{00000002-7BD8-AB4F-A69C-9ED01C6FC20C}"/>
            </c:ext>
          </c:extLst>
        </c:ser>
        <c:ser>
          <c:idx val="7"/>
          <c:order val="3"/>
          <c:tx>
            <c:strRef>
              <c:f>'7'!$J$9</c:f>
              <c:strCache>
                <c:ptCount val="1"/>
                <c:pt idx="0">
                  <c:v>CCL</c:v>
                </c:pt>
              </c:strCache>
            </c:strRef>
          </c:tx>
          <c:spPr>
            <a:ln w="25400">
              <a:solidFill>
                <a:srgbClr val="008080"/>
              </a:solidFill>
              <a:prstDash val="solid"/>
            </a:ln>
          </c:spPr>
          <c:marker>
            <c:symbol val="none"/>
          </c:marker>
          <c:val>
            <c:numRef>
              <c:f>'7'!$J$10:$J$31</c:f>
              <c:numCache>
                <c:formatCode>0.0</c:formatCode>
                <c:ptCount val="22"/>
                <c:pt idx="0">
                  <c:v>158.22727272727272</c:v>
                </c:pt>
                <c:pt idx="1">
                  <c:v>158.22727272727272</c:v>
                </c:pt>
                <c:pt idx="2">
                  <c:v>158.22727272727272</c:v>
                </c:pt>
                <c:pt idx="3">
                  <c:v>158.22727272727272</c:v>
                </c:pt>
                <c:pt idx="4">
                  <c:v>158.22727272727272</c:v>
                </c:pt>
                <c:pt idx="5">
                  <c:v>158.22727272727272</c:v>
                </c:pt>
                <c:pt idx="6">
                  <c:v>158.22727272727272</c:v>
                </c:pt>
                <c:pt idx="7">
                  <c:v>158.22727272727272</c:v>
                </c:pt>
                <c:pt idx="8">
                  <c:v>158.22727272727272</c:v>
                </c:pt>
                <c:pt idx="9">
                  <c:v>158.22727272727272</c:v>
                </c:pt>
                <c:pt idx="10">
                  <c:v>158.22727272727272</c:v>
                </c:pt>
                <c:pt idx="11">
                  <c:v>158.22727272727272</c:v>
                </c:pt>
                <c:pt idx="12">
                  <c:v>158.22727272727272</c:v>
                </c:pt>
                <c:pt idx="13">
                  <c:v>158.22727272727272</c:v>
                </c:pt>
                <c:pt idx="14">
                  <c:v>158.22727272727272</c:v>
                </c:pt>
                <c:pt idx="15">
                  <c:v>158.22727272727272</c:v>
                </c:pt>
                <c:pt idx="16">
                  <c:v>158.22727272727272</c:v>
                </c:pt>
                <c:pt idx="17">
                  <c:v>158.22727272727272</c:v>
                </c:pt>
                <c:pt idx="18">
                  <c:v>158.22727272727272</c:v>
                </c:pt>
                <c:pt idx="19">
                  <c:v>158.22727272727272</c:v>
                </c:pt>
                <c:pt idx="20">
                  <c:v>158.22727272727272</c:v>
                </c:pt>
                <c:pt idx="21">
                  <c:v>158.22727272727272</c:v>
                </c:pt>
              </c:numCache>
            </c:numRef>
          </c:val>
          <c:smooth val="0"/>
          <c:extLst>
            <c:ext xmlns:c16="http://schemas.microsoft.com/office/drawing/2014/chart" uri="{C3380CC4-5D6E-409C-BE32-E72D297353CC}">
              <c16:uniqueId val="{00000003-7BD8-AB4F-A69C-9ED01C6FC20C}"/>
            </c:ext>
          </c:extLst>
        </c:ser>
        <c:dLbls>
          <c:showLegendKey val="0"/>
          <c:showVal val="0"/>
          <c:showCatName val="0"/>
          <c:showSerName val="0"/>
          <c:showPercent val="0"/>
          <c:showBubbleSize val="0"/>
        </c:dLbls>
        <c:marker val="1"/>
        <c:smooth val="0"/>
        <c:axId val="1050783768"/>
        <c:axId val="1115969320"/>
      </c:lineChart>
      <c:catAx>
        <c:axId val="1050783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115969320"/>
        <c:crosses val="autoZero"/>
        <c:auto val="1"/>
        <c:lblAlgn val="ctr"/>
        <c:lblOffset val="100"/>
        <c:tickLblSkip val="1"/>
        <c:tickMarkSkip val="1"/>
        <c:noMultiLvlLbl val="0"/>
      </c:catAx>
      <c:valAx>
        <c:axId val="1115969320"/>
        <c:scaling>
          <c:orientation val="minMax"/>
          <c:min val="9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050783768"/>
        <c:crosses val="autoZero"/>
        <c:crossBetween val="between"/>
      </c:valAx>
      <c:spPr>
        <a:solidFill>
          <a:srgbClr val="CDCDCD"/>
        </a:solidFill>
        <a:ln w="12700">
          <a:solidFill>
            <a:srgbClr val="808080"/>
          </a:solidFill>
          <a:prstDash val="solid"/>
        </a:ln>
      </c:spPr>
    </c:plotArea>
    <c:legend>
      <c:legendPos val="b"/>
      <c:layout>
        <c:manualLayout>
          <c:xMode val="edge"/>
          <c:yMode val="edge"/>
          <c:x val="0.30932203389830498"/>
          <c:y val="0.93076923076923102"/>
          <c:w val="0.43220355665287602"/>
          <c:h val="0.05"/>
        </c:manualLayout>
      </c:layout>
      <c:overlay val="0"/>
      <c:spPr>
        <a:solidFill>
          <a:srgbClr val="FFFFFF"/>
        </a:solidFill>
        <a:ln w="25400">
          <a:noFill/>
        </a:ln>
      </c:spPr>
      <c:txPr>
        <a:bodyPr/>
        <a:lstStyle/>
        <a:p>
          <a:pPr>
            <a:defRPr sz="735"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 de Promedios</a:t>
            </a:r>
          </a:p>
        </c:rich>
      </c:tx>
      <c:overlay val="0"/>
    </c:title>
    <c:autoTitleDeleted val="0"/>
    <c:plotArea>
      <c:layout/>
      <c:lineChart>
        <c:grouping val="standard"/>
        <c:varyColors val="0"/>
        <c:ser>
          <c:idx val="0"/>
          <c:order val="0"/>
          <c:tx>
            <c:strRef>
              <c:f>'8'!$B$1</c:f>
              <c:strCache>
                <c:ptCount val="1"/>
                <c:pt idx="0">
                  <c:v>Promedio</c:v>
                </c:pt>
              </c:strCache>
            </c:strRef>
          </c:tx>
          <c:val>
            <c:numRef>
              <c:f>'8'!$B$2:$B$31</c:f>
              <c:numCache>
                <c:formatCode>0.000</c:formatCode>
                <c:ptCount val="30"/>
                <c:pt idx="0">
                  <c:v>2.0160527359843745</c:v>
                </c:pt>
                <c:pt idx="1">
                  <c:v>2.0005963316751609</c:v>
                </c:pt>
                <c:pt idx="2">
                  <c:v>2.0120151371807</c:v>
                </c:pt>
                <c:pt idx="3">
                  <c:v>1.99</c:v>
                </c:pt>
                <c:pt idx="4">
                  <c:v>1.9950000000000001</c:v>
                </c:pt>
                <c:pt idx="5">
                  <c:v>2.08</c:v>
                </c:pt>
                <c:pt idx="6">
                  <c:v>2.0266658528397472</c:v>
                </c:pt>
                <c:pt idx="7">
                  <c:v>2.0024640644550922</c:v>
                </c:pt>
                <c:pt idx="8">
                  <c:v>2.04</c:v>
                </c:pt>
                <c:pt idx="9">
                  <c:v>2.0028852198858607</c:v>
                </c:pt>
                <c:pt idx="10">
                  <c:v>2.0296926786095768</c:v>
                </c:pt>
                <c:pt idx="11">
                  <c:v>1.9950000000000001</c:v>
                </c:pt>
                <c:pt idx="12">
                  <c:v>1.99</c:v>
                </c:pt>
                <c:pt idx="13">
                  <c:v>2.04</c:v>
                </c:pt>
                <c:pt idx="14">
                  <c:v>1.99</c:v>
                </c:pt>
                <c:pt idx="15">
                  <c:v>2</c:v>
                </c:pt>
                <c:pt idx="16">
                  <c:v>2.08</c:v>
                </c:pt>
                <c:pt idx="17">
                  <c:v>2.0699999999999998</c:v>
                </c:pt>
                <c:pt idx="18">
                  <c:v>2.08</c:v>
                </c:pt>
                <c:pt idx="19">
                  <c:v>2.09</c:v>
                </c:pt>
                <c:pt idx="20">
                  <c:v>2.0192681661427656</c:v>
                </c:pt>
                <c:pt idx="21">
                  <c:v>2.0295315408795433</c:v>
                </c:pt>
                <c:pt idx="22">
                  <c:v>1.9998840296639913</c:v>
                </c:pt>
                <c:pt idx="23">
                  <c:v>2.0014679403057953</c:v>
                </c:pt>
                <c:pt idx="24">
                  <c:v>2.0005871761223184</c:v>
                </c:pt>
                <c:pt idx="25">
                  <c:v>2.016195562608722</c:v>
                </c:pt>
                <c:pt idx="26">
                  <c:v>2.0067360454115422</c:v>
                </c:pt>
                <c:pt idx="27">
                  <c:v>2.0242432935575425</c:v>
                </c:pt>
                <c:pt idx="28">
                  <c:v>2.0306686605426192</c:v>
                </c:pt>
                <c:pt idx="29">
                  <c:v>2.0255488753929258</c:v>
                </c:pt>
              </c:numCache>
            </c:numRef>
          </c:val>
          <c:smooth val="0"/>
          <c:extLst>
            <c:ext xmlns:c16="http://schemas.microsoft.com/office/drawing/2014/chart" uri="{C3380CC4-5D6E-409C-BE32-E72D297353CC}">
              <c16:uniqueId val="{00000000-81D3-1B45-BFB4-5552A009C47B}"/>
            </c:ext>
          </c:extLst>
        </c:ser>
        <c:ser>
          <c:idx val="1"/>
          <c:order val="1"/>
          <c:tx>
            <c:strRef>
              <c:f>'8'!$C$1</c:f>
              <c:strCache>
                <c:ptCount val="1"/>
                <c:pt idx="0">
                  <c:v>USL</c:v>
                </c:pt>
              </c:strCache>
            </c:strRef>
          </c:tx>
          <c:val>
            <c:numRef>
              <c:f>'8'!$C$2:$C$31</c:f>
              <c:numCache>
                <c:formatCode>0.000</c:formatCode>
                <c:ptCount val="30"/>
                <c:pt idx="0">
                  <c:v>2.0598996113976455</c:v>
                </c:pt>
                <c:pt idx="1">
                  <c:v>2.0598996113976455</c:v>
                </c:pt>
                <c:pt idx="2">
                  <c:v>2.0598996113976455</c:v>
                </c:pt>
                <c:pt idx="3">
                  <c:v>2.0598996113976455</c:v>
                </c:pt>
                <c:pt idx="4">
                  <c:v>2.0598996113976455</c:v>
                </c:pt>
                <c:pt idx="5">
                  <c:v>2.0598996113976455</c:v>
                </c:pt>
                <c:pt idx="6">
                  <c:v>2.0598996113976455</c:v>
                </c:pt>
                <c:pt idx="7">
                  <c:v>2.0598996113976455</c:v>
                </c:pt>
                <c:pt idx="8">
                  <c:v>2.0598996113976455</c:v>
                </c:pt>
                <c:pt idx="9">
                  <c:v>2.0598996113976455</c:v>
                </c:pt>
                <c:pt idx="10">
                  <c:v>2.0598996113976455</c:v>
                </c:pt>
                <c:pt idx="11">
                  <c:v>2.0598996113976455</c:v>
                </c:pt>
                <c:pt idx="12">
                  <c:v>2.0598996113976455</c:v>
                </c:pt>
                <c:pt idx="13">
                  <c:v>2.0598996113976455</c:v>
                </c:pt>
                <c:pt idx="14">
                  <c:v>2.0598996113976455</c:v>
                </c:pt>
                <c:pt idx="15">
                  <c:v>2.0598996113976455</c:v>
                </c:pt>
                <c:pt idx="16">
                  <c:v>2.0598996113976455</c:v>
                </c:pt>
                <c:pt idx="17">
                  <c:v>2.0598996113976455</c:v>
                </c:pt>
                <c:pt idx="18">
                  <c:v>2.0598996113976455</c:v>
                </c:pt>
                <c:pt idx="19">
                  <c:v>2.0598996113976455</c:v>
                </c:pt>
                <c:pt idx="20">
                  <c:v>2.0598996113976455</c:v>
                </c:pt>
                <c:pt idx="21">
                  <c:v>2.0598996113976455</c:v>
                </c:pt>
                <c:pt idx="22">
                  <c:v>2.0598996113976455</c:v>
                </c:pt>
                <c:pt idx="23">
                  <c:v>2.0598996113976455</c:v>
                </c:pt>
                <c:pt idx="24">
                  <c:v>2.0598996113976455</c:v>
                </c:pt>
                <c:pt idx="25">
                  <c:v>2.0598996113976455</c:v>
                </c:pt>
                <c:pt idx="26">
                  <c:v>2.0598996113976455</c:v>
                </c:pt>
                <c:pt idx="27">
                  <c:v>2.0598996113976455</c:v>
                </c:pt>
                <c:pt idx="28">
                  <c:v>2.0598996113976455</c:v>
                </c:pt>
                <c:pt idx="29">
                  <c:v>2.0598996113976455</c:v>
                </c:pt>
              </c:numCache>
            </c:numRef>
          </c:val>
          <c:smooth val="0"/>
          <c:extLst>
            <c:ext xmlns:c16="http://schemas.microsoft.com/office/drawing/2014/chart" uri="{C3380CC4-5D6E-409C-BE32-E72D297353CC}">
              <c16:uniqueId val="{00000001-81D3-1B45-BFB4-5552A009C47B}"/>
            </c:ext>
          </c:extLst>
        </c:ser>
        <c:ser>
          <c:idx val="2"/>
          <c:order val="2"/>
          <c:tx>
            <c:strRef>
              <c:f>'8'!$D$1</c:f>
              <c:strCache>
                <c:ptCount val="1"/>
                <c:pt idx="0">
                  <c:v>CSL</c:v>
                </c:pt>
              </c:strCache>
            </c:strRef>
          </c:tx>
          <c:val>
            <c:numRef>
              <c:f>'8'!$D$2:$D$31</c:f>
              <c:numCache>
                <c:formatCode>0.000</c:formatCode>
                <c:ptCount val="30"/>
                <c:pt idx="0">
                  <c:v>2.0228167770419421</c:v>
                </c:pt>
                <c:pt idx="1">
                  <c:v>2.0228167770419421</c:v>
                </c:pt>
                <c:pt idx="2">
                  <c:v>2.0228167770419421</c:v>
                </c:pt>
                <c:pt idx="3">
                  <c:v>2.0228167770419421</c:v>
                </c:pt>
                <c:pt idx="4">
                  <c:v>2.0228167770419421</c:v>
                </c:pt>
                <c:pt idx="5">
                  <c:v>2.0228167770419421</c:v>
                </c:pt>
                <c:pt idx="6">
                  <c:v>2.0228167770419421</c:v>
                </c:pt>
                <c:pt idx="7">
                  <c:v>2.0228167770419421</c:v>
                </c:pt>
                <c:pt idx="8">
                  <c:v>2.0228167770419421</c:v>
                </c:pt>
                <c:pt idx="9">
                  <c:v>2.0228167770419421</c:v>
                </c:pt>
                <c:pt idx="10">
                  <c:v>2.0228167770419421</c:v>
                </c:pt>
                <c:pt idx="11">
                  <c:v>2.0228167770419421</c:v>
                </c:pt>
                <c:pt idx="12">
                  <c:v>2.0228167770419421</c:v>
                </c:pt>
                <c:pt idx="13">
                  <c:v>2.0228167770419421</c:v>
                </c:pt>
                <c:pt idx="14">
                  <c:v>2.0228167770419421</c:v>
                </c:pt>
                <c:pt idx="15">
                  <c:v>2.0228167770419421</c:v>
                </c:pt>
                <c:pt idx="16">
                  <c:v>2.0228167770419421</c:v>
                </c:pt>
                <c:pt idx="17">
                  <c:v>2.0228167770419421</c:v>
                </c:pt>
                <c:pt idx="18">
                  <c:v>2.0228167770419421</c:v>
                </c:pt>
                <c:pt idx="19">
                  <c:v>2.0228167770419421</c:v>
                </c:pt>
                <c:pt idx="20">
                  <c:v>2.0228167770419421</c:v>
                </c:pt>
                <c:pt idx="21">
                  <c:v>2.0228167770419421</c:v>
                </c:pt>
                <c:pt idx="22">
                  <c:v>2.0228167770419421</c:v>
                </c:pt>
                <c:pt idx="23">
                  <c:v>2.0228167770419421</c:v>
                </c:pt>
                <c:pt idx="24">
                  <c:v>2.0228167770419421</c:v>
                </c:pt>
                <c:pt idx="25">
                  <c:v>2.0228167770419421</c:v>
                </c:pt>
                <c:pt idx="26">
                  <c:v>2.0228167770419421</c:v>
                </c:pt>
                <c:pt idx="27">
                  <c:v>2.0228167770419421</c:v>
                </c:pt>
                <c:pt idx="28">
                  <c:v>2.0228167770419421</c:v>
                </c:pt>
                <c:pt idx="29">
                  <c:v>2.0228167770419421</c:v>
                </c:pt>
              </c:numCache>
            </c:numRef>
          </c:val>
          <c:smooth val="0"/>
          <c:extLst>
            <c:ext xmlns:c16="http://schemas.microsoft.com/office/drawing/2014/chart" uri="{C3380CC4-5D6E-409C-BE32-E72D297353CC}">
              <c16:uniqueId val="{00000002-81D3-1B45-BFB4-5552A009C47B}"/>
            </c:ext>
          </c:extLst>
        </c:ser>
        <c:ser>
          <c:idx val="3"/>
          <c:order val="3"/>
          <c:tx>
            <c:strRef>
              <c:f>'8'!$E$1</c:f>
              <c:strCache>
                <c:ptCount val="1"/>
                <c:pt idx="0">
                  <c:v>LSL</c:v>
                </c:pt>
              </c:strCache>
            </c:strRef>
          </c:tx>
          <c:val>
            <c:numRef>
              <c:f>'8'!$E$2:$E$31</c:f>
              <c:numCache>
                <c:formatCode>0.000</c:formatCode>
                <c:ptCount val="30"/>
                <c:pt idx="0">
                  <c:v>1.9857339426862386</c:v>
                </c:pt>
                <c:pt idx="1">
                  <c:v>1.9857339426862386</c:v>
                </c:pt>
                <c:pt idx="2">
                  <c:v>1.9857339426862386</c:v>
                </c:pt>
                <c:pt idx="3">
                  <c:v>1.9857339426862386</c:v>
                </c:pt>
                <c:pt idx="4">
                  <c:v>1.9857339426862386</c:v>
                </c:pt>
                <c:pt idx="5">
                  <c:v>1.9857339426862386</c:v>
                </c:pt>
                <c:pt idx="6">
                  <c:v>1.9857339426862386</c:v>
                </c:pt>
                <c:pt idx="7">
                  <c:v>1.9857339426862386</c:v>
                </c:pt>
                <c:pt idx="8">
                  <c:v>1.9857339426862386</c:v>
                </c:pt>
                <c:pt idx="9">
                  <c:v>1.9857339426862386</c:v>
                </c:pt>
                <c:pt idx="10">
                  <c:v>1.9857339426862386</c:v>
                </c:pt>
                <c:pt idx="11">
                  <c:v>1.9857339426862386</c:v>
                </c:pt>
                <c:pt idx="12">
                  <c:v>1.9857339426862386</c:v>
                </c:pt>
                <c:pt idx="13">
                  <c:v>1.9857339426862386</c:v>
                </c:pt>
                <c:pt idx="14">
                  <c:v>1.9857339426862386</c:v>
                </c:pt>
                <c:pt idx="15">
                  <c:v>1.9857339426862386</c:v>
                </c:pt>
                <c:pt idx="16">
                  <c:v>1.9857339426862386</c:v>
                </c:pt>
                <c:pt idx="17">
                  <c:v>1.9857339426862386</c:v>
                </c:pt>
                <c:pt idx="18">
                  <c:v>1.9857339426862386</c:v>
                </c:pt>
                <c:pt idx="19">
                  <c:v>1.9857339426862386</c:v>
                </c:pt>
                <c:pt idx="20">
                  <c:v>1.9857339426862386</c:v>
                </c:pt>
                <c:pt idx="21">
                  <c:v>1.9857339426862386</c:v>
                </c:pt>
                <c:pt idx="22">
                  <c:v>1.9857339426862386</c:v>
                </c:pt>
                <c:pt idx="23">
                  <c:v>1.9857339426862386</c:v>
                </c:pt>
                <c:pt idx="24">
                  <c:v>1.9857339426862386</c:v>
                </c:pt>
                <c:pt idx="25">
                  <c:v>1.9857339426862386</c:v>
                </c:pt>
                <c:pt idx="26">
                  <c:v>1.9857339426862386</c:v>
                </c:pt>
                <c:pt idx="27">
                  <c:v>1.9857339426862386</c:v>
                </c:pt>
                <c:pt idx="28">
                  <c:v>1.9857339426862386</c:v>
                </c:pt>
                <c:pt idx="29">
                  <c:v>1.9857339426862386</c:v>
                </c:pt>
              </c:numCache>
            </c:numRef>
          </c:val>
          <c:smooth val="0"/>
          <c:extLst>
            <c:ext xmlns:c16="http://schemas.microsoft.com/office/drawing/2014/chart" uri="{C3380CC4-5D6E-409C-BE32-E72D297353CC}">
              <c16:uniqueId val="{00000003-81D3-1B45-BFB4-5552A009C47B}"/>
            </c:ext>
          </c:extLst>
        </c:ser>
        <c:dLbls>
          <c:showLegendKey val="0"/>
          <c:showVal val="0"/>
          <c:showCatName val="0"/>
          <c:showSerName val="0"/>
          <c:showPercent val="0"/>
          <c:showBubbleSize val="0"/>
        </c:dLbls>
        <c:marker val="1"/>
        <c:smooth val="0"/>
        <c:axId val="1129979688"/>
        <c:axId val="1129982808"/>
      </c:lineChart>
      <c:catAx>
        <c:axId val="1129979688"/>
        <c:scaling>
          <c:orientation val="minMax"/>
        </c:scaling>
        <c:delete val="0"/>
        <c:axPos val="b"/>
        <c:majorTickMark val="none"/>
        <c:minorTickMark val="none"/>
        <c:tickLblPos val="nextTo"/>
        <c:crossAx val="1129982808"/>
        <c:crosses val="autoZero"/>
        <c:auto val="1"/>
        <c:lblAlgn val="ctr"/>
        <c:lblOffset val="100"/>
        <c:noMultiLvlLbl val="0"/>
      </c:catAx>
      <c:valAx>
        <c:axId val="1129982808"/>
        <c:scaling>
          <c:orientation val="minMax"/>
          <c:min val="1.97"/>
        </c:scaling>
        <c:delete val="0"/>
        <c:axPos val="l"/>
        <c:majorGridlines/>
        <c:numFmt formatCode="0.000" sourceLinked="1"/>
        <c:majorTickMark val="none"/>
        <c:minorTickMark val="none"/>
        <c:tickLblPos val="nextTo"/>
        <c:spPr>
          <a:ln w="9525">
            <a:noFill/>
          </a:ln>
        </c:spPr>
        <c:crossAx val="1129979688"/>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 de Intervalos</a:t>
            </a:r>
          </a:p>
        </c:rich>
      </c:tx>
      <c:overlay val="0"/>
    </c:title>
    <c:autoTitleDeleted val="0"/>
    <c:plotArea>
      <c:layout/>
      <c:lineChart>
        <c:grouping val="standard"/>
        <c:varyColors val="0"/>
        <c:ser>
          <c:idx val="0"/>
          <c:order val="0"/>
          <c:tx>
            <c:strRef>
              <c:f>'8'!$G$1</c:f>
              <c:strCache>
                <c:ptCount val="1"/>
                <c:pt idx="0">
                  <c:v>USL</c:v>
                </c:pt>
              </c:strCache>
            </c:strRef>
          </c:tx>
          <c:val>
            <c:numRef>
              <c:f>'8'!$G$2:$G$31</c:f>
              <c:numCache>
                <c:formatCode>0.000</c:formatCode>
                <c:ptCount val="30"/>
                <c:pt idx="0">
                  <c:v>0.13496872987049985</c:v>
                </c:pt>
                <c:pt idx="1">
                  <c:v>0.13496872987049985</c:v>
                </c:pt>
                <c:pt idx="2">
                  <c:v>0.13496872987049985</c:v>
                </c:pt>
                <c:pt idx="3">
                  <c:v>0.13496872987049985</c:v>
                </c:pt>
                <c:pt idx="4">
                  <c:v>0.13496872987049985</c:v>
                </c:pt>
                <c:pt idx="5">
                  <c:v>0.13496872987049985</c:v>
                </c:pt>
                <c:pt idx="6">
                  <c:v>0.13496872987049985</c:v>
                </c:pt>
                <c:pt idx="7">
                  <c:v>0.13496872987049985</c:v>
                </c:pt>
                <c:pt idx="8">
                  <c:v>0.13496872987049985</c:v>
                </c:pt>
                <c:pt idx="9">
                  <c:v>0.13496872987049985</c:v>
                </c:pt>
                <c:pt idx="10">
                  <c:v>0.13496872987049985</c:v>
                </c:pt>
                <c:pt idx="11">
                  <c:v>0.13496872987049985</c:v>
                </c:pt>
                <c:pt idx="12">
                  <c:v>0.13496872987049985</c:v>
                </c:pt>
                <c:pt idx="13">
                  <c:v>0.13496872987049985</c:v>
                </c:pt>
                <c:pt idx="14">
                  <c:v>0.13496872987049985</c:v>
                </c:pt>
                <c:pt idx="15">
                  <c:v>0.13496872987049985</c:v>
                </c:pt>
                <c:pt idx="16">
                  <c:v>0.13496872987049985</c:v>
                </c:pt>
                <c:pt idx="17">
                  <c:v>0.13496872987049985</c:v>
                </c:pt>
                <c:pt idx="18">
                  <c:v>0.13496872987049985</c:v>
                </c:pt>
                <c:pt idx="19">
                  <c:v>0.13496872987049985</c:v>
                </c:pt>
                <c:pt idx="20">
                  <c:v>0.13496872987049985</c:v>
                </c:pt>
                <c:pt idx="21">
                  <c:v>0.13496872987049985</c:v>
                </c:pt>
                <c:pt idx="22">
                  <c:v>0.13496872987049985</c:v>
                </c:pt>
                <c:pt idx="23">
                  <c:v>0.13496872987049985</c:v>
                </c:pt>
                <c:pt idx="24">
                  <c:v>0.13496872987049985</c:v>
                </c:pt>
                <c:pt idx="25">
                  <c:v>0.13496872987049985</c:v>
                </c:pt>
                <c:pt idx="26">
                  <c:v>0.13496872987049985</c:v>
                </c:pt>
                <c:pt idx="27">
                  <c:v>0.13496872987049985</c:v>
                </c:pt>
                <c:pt idx="28">
                  <c:v>0.13496872987049985</c:v>
                </c:pt>
                <c:pt idx="29">
                  <c:v>0.13496872987049985</c:v>
                </c:pt>
              </c:numCache>
            </c:numRef>
          </c:val>
          <c:smooth val="0"/>
          <c:extLst>
            <c:ext xmlns:c16="http://schemas.microsoft.com/office/drawing/2014/chart" uri="{C3380CC4-5D6E-409C-BE32-E72D297353CC}">
              <c16:uniqueId val="{00000000-5126-3342-BC67-32B0CF03EF1C}"/>
            </c:ext>
          </c:extLst>
        </c:ser>
        <c:ser>
          <c:idx val="1"/>
          <c:order val="1"/>
          <c:tx>
            <c:strRef>
              <c:f>'8'!$H$1</c:f>
              <c:strCache>
                <c:ptCount val="1"/>
                <c:pt idx="0">
                  <c:v>CSL</c:v>
                </c:pt>
              </c:strCache>
            </c:strRef>
          </c:tx>
          <c:val>
            <c:numRef>
              <c:f>'8'!$H$2:$H$31</c:f>
              <c:numCache>
                <c:formatCode>0.000</c:formatCode>
                <c:ptCount val="30"/>
                <c:pt idx="0">
                  <c:v>6.3935921302936918E-2</c:v>
                </c:pt>
                <c:pt idx="1">
                  <c:v>6.3935921302936918E-2</c:v>
                </c:pt>
                <c:pt idx="2">
                  <c:v>6.3935921302936918E-2</c:v>
                </c:pt>
                <c:pt idx="3">
                  <c:v>6.3935921302936918E-2</c:v>
                </c:pt>
                <c:pt idx="4">
                  <c:v>6.3935921302936918E-2</c:v>
                </c:pt>
                <c:pt idx="5">
                  <c:v>6.3935921302936918E-2</c:v>
                </c:pt>
                <c:pt idx="6">
                  <c:v>6.3935921302936918E-2</c:v>
                </c:pt>
                <c:pt idx="7">
                  <c:v>6.3935921302936918E-2</c:v>
                </c:pt>
                <c:pt idx="8">
                  <c:v>6.3935921302936918E-2</c:v>
                </c:pt>
                <c:pt idx="9">
                  <c:v>6.3935921302936918E-2</c:v>
                </c:pt>
                <c:pt idx="10">
                  <c:v>6.3935921302936918E-2</c:v>
                </c:pt>
                <c:pt idx="11">
                  <c:v>6.3935921302936918E-2</c:v>
                </c:pt>
                <c:pt idx="12">
                  <c:v>6.3935921302936918E-2</c:v>
                </c:pt>
                <c:pt idx="13">
                  <c:v>6.3935921302936918E-2</c:v>
                </c:pt>
                <c:pt idx="14">
                  <c:v>6.3935921302936918E-2</c:v>
                </c:pt>
                <c:pt idx="15">
                  <c:v>6.3935921302936918E-2</c:v>
                </c:pt>
                <c:pt idx="16">
                  <c:v>6.3935921302936918E-2</c:v>
                </c:pt>
                <c:pt idx="17">
                  <c:v>6.3935921302936918E-2</c:v>
                </c:pt>
                <c:pt idx="18">
                  <c:v>6.3935921302936918E-2</c:v>
                </c:pt>
                <c:pt idx="19">
                  <c:v>6.3935921302936918E-2</c:v>
                </c:pt>
                <c:pt idx="20">
                  <c:v>6.3935921302936918E-2</c:v>
                </c:pt>
                <c:pt idx="21">
                  <c:v>6.3935921302936918E-2</c:v>
                </c:pt>
                <c:pt idx="22">
                  <c:v>6.3935921302936918E-2</c:v>
                </c:pt>
                <c:pt idx="23">
                  <c:v>6.3935921302936918E-2</c:v>
                </c:pt>
                <c:pt idx="24">
                  <c:v>6.3935921302936918E-2</c:v>
                </c:pt>
                <c:pt idx="25">
                  <c:v>6.3935921302936918E-2</c:v>
                </c:pt>
                <c:pt idx="26">
                  <c:v>6.3935921302936918E-2</c:v>
                </c:pt>
                <c:pt idx="27">
                  <c:v>6.3935921302936918E-2</c:v>
                </c:pt>
                <c:pt idx="28">
                  <c:v>6.3935921302936918E-2</c:v>
                </c:pt>
                <c:pt idx="29">
                  <c:v>6.3935921302936918E-2</c:v>
                </c:pt>
              </c:numCache>
            </c:numRef>
          </c:val>
          <c:smooth val="0"/>
          <c:extLst>
            <c:ext xmlns:c16="http://schemas.microsoft.com/office/drawing/2014/chart" uri="{C3380CC4-5D6E-409C-BE32-E72D297353CC}">
              <c16:uniqueId val="{00000001-5126-3342-BC67-32B0CF03EF1C}"/>
            </c:ext>
          </c:extLst>
        </c:ser>
        <c:ser>
          <c:idx val="2"/>
          <c:order val="2"/>
          <c:tx>
            <c:strRef>
              <c:f>'8'!$I$1</c:f>
              <c:strCache>
                <c:ptCount val="1"/>
                <c:pt idx="0">
                  <c:v>LSL</c:v>
                </c:pt>
              </c:strCache>
            </c:strRef>
          </c:tx>
          <c:val>
            <c:numRef>
              <c:f>'8'!$I$2:$I$31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5126-3342-BC67-32B0CF03EF1C}"/>
            </c:ext>
          </c:extLst>
        </c:ser>
        <c:ser>
          <c:idx val="3"/>
          <c:order val="3"/>
          <c:tx>
            <c:strRef>
              <c:f>'8'!$J$1</c:f>
              <c:strCache>
                <c:ptCount val="1"/>
                <c:pt idx="0">
                  <c:v>Rango</c:v>
                </c:pt>
              </c:strCache>
            </c:strRef>
          </c:tx>
          <c:val>
            <c:numRef>
              <c:f>'8'!$J$2:$J$31</c:f>
              <c:numCache>
                <c:formatCode>0.000</c:formatCode>
                <c:ptCount val="30"/>
                <c:pt idx="0">
                  <c:v>2.5528733176671644E-2</c:v>
                </c:pt>
                <c:pt idx="1">
                  <c:v>3.5520493179113127E-2</c:v>
                </c:pt>
                <c:pt idx="2">
                  <c:v>6.6631061738944689E-2</c:v>
                </c:pt>
                <c:pt idx="3">
                  <c:v>3.198034607989747E-2</c:v>
                </c:pt>
                <c:pt idx="4">
                  <c:v>8.4072389904477088E-2</c:v>
                </c:pt>
                <c:pt idx="5">
                  <c:v>0.1</c:v>
                </c:pt>
                <c:pt idx="6">
                  <c:v>4.8823511459700333E-2</c:v>
                </c:pt>
                <c:pt idx="7">
                  <c:v>0.09</c:v>
                </c:pt>
                <c:pt idx="8">
                  <c:v>2.229377117221595E-2</c:v>
                </c:pt>
                <c:pt idx="9">
                  <c:v>2.2602008117923521E-2</c:v>
                </c:pt>
                <c:pt idx="10">
                  <c:v>0.11</c:v>
                </c:pt>
                <c:pt idx="11">
                  <c:v>9.2425305948057521E-2</c:v>
                </c:pt>
                <c:pt idx="12">
                  <c:v>6.1677907650990335E-2</c:v>
                </c:pt>
                <c:pt idx="13">
                  <c:v>7.0000000000000007E-2</c:v>
                </c:pt>
                <c:pt idx="14">
                  <c:v>4.0446180608539078E-2</c:v>
                </c:pt>
                <c:pt idx="15">
                  <c:v>6.4076662495803724E-2</c:v>
                </c:pt>
                <c:pt idx="16">
                  <c:v>0.11</c:v>
                </c:pt>
                <c:pt idx="17">
                  <c:v>0.12</c:v>
                </c:pt>
                <c:pt idx="18">
                  <c:v>0.09</c:v>
                </c:pt>
                <c:pt idx="19">
                  <c:v>0.11</c:v>
                </c:pt>
                <c:pt idx="20">
                  <c:v>3.6127811517685487E-2</c:v>
                </c:pt>
                <c:pt idx="21">
                  <c:v>1.4154484694967492E-2</c:v>
                </c:pt>
                <c:pt idx="22">
                  <c:v>9.9999999999999992E-2</c:v>
                </c:pt>
                <c:pt idx="23">
                  <c:v>2.0249031037324141E-2</c:v>
                </c:pt>
                <c:pt idx="24">
                  <c:v>5.9242530594805762E-2</c:v>
                </c:pt>
                <c:pt idx="25">
                  <c:v>9.3743705557420606E-2</c:v>
                </c:pt>
                <c:pt idx="26">
                  <c:v>0.05</c:v>
                </c:pt>
                <c:pt idx="27">
                  <c:v>8.885464033936584E-2</c:v>
                </c:pt>
                <c:pt idx="28">
                  <c:v>1.7435224463637194E-2</c:v>
                </c:pt>
                <c:pt idx="29">
                  <c:v>4.2191839350566113E-2</c:v>
                </c:pt>
              </c:numCache>
            </c:numRef>
          </c:val>
          <c:smooth val="0"/>
          <c:extLst>
            <c:ext xmlns:c16="http://schemas.microsoft.com/office/drawing/2014/chart" uri="{C3380CC4-5D6E-409C-BE32-E72D297353CC}">
              <c16:uniqueId val="{00000003-5126-3342-BC67-32B0CF03EF1C}"/>
            </c:ext>
          </c:extLst>
        </c:ser>
        <c:dLbls>
          <c:showLegendKey val="0"/>
          <c:showVal val="0"/>
          <c:showCatName val="0"/>
          <c:showSerName val="0"/>
          <c:showPercent val="0"/>
          <c:showBubbleSize val="0"/>
        </c:dLbls>
        <c:marker val="1"/>
        <c:smooth val="0"/>
        <c:axId val="1048910712"/>
        <c:axId val="1051233736"/>
      </c:lineChart>
      <c:catAx>
        <c:axId val="1048910712"/>
        <c:scaling>
          <c:orientation val="minMax"/>
        </c:scaling>
        <c:delete val="0"/>
        <c:axPos val="b"/>
        <c:majorTickMark val="none"/>
        <c:minorTickMark val="none"/>
        <c:tickLblPos val="nextTo"/>
        <c:crossAx val="1051233736"/>
        <c:crosses val="autoZero"/>
        <c:auto val="1"/>
        <c:lblAlgn val="ctr"/>
        <c:lblOffset val="100"/>
        <c:noMultiLvlLbl val="0"/>
      </c:catAx>
      <c:valAx>
        <c:axId val="1051233736"/>
        <c:scaling>
          <c:orientation val="minMax"/>
        </c:scaling>
        <c:delete val="0"/>
        <c:axPos val="l"/>
        <c:majorGridlines/>
        <c:numFmt formatCode="0.000" sourceLinked="1"/>
        <c:majorTickMark val="none"/>
        <c:minorTickMark val="none"/>
        <c:tickLblPos val="nextTo"/>
        <c:spPr>
          <a:ln w="9525">
            <a:noFill/>
          </a:ln>
        </c:spPr>
        <c:crossAx val="1048910712"/>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Gráfico de Rangos Móviles</a:t>
            </a:r>
          </a:p>
        </c:rich>
      </c:tx>
      <c:layout>
        <c:manualLayout>
          <c:xMode val="edge"/>
          <c:yMode val="edge"/>
          <c:x val="0.33136130576371098"/>
          <c:y val="4.6979981238811898E-2"/>
        </c:manualLayout>
      </c:layout>
      <c:overlay val="0"/>
      <c:spPr>
        <a:noFill/>
        <a:ln w="25400">
          <a:noFill/>
        </a:ln>
      </c:spPr>
    </c:title>
    <c:autoTitleDeleted val="0"/>
    <c:plotArea>
      <c:layout>
        <c:manualLayout>
          <c:layoutTarget val="inner"/>
          <c:xMode val="edge"/>
          <c:yMode val="edge"/>
          <c:x val="0.10355040805116"/>
          <c:y val="0.27516846154161301"/>
          <c:w val="0.86094767836821395"/>
          <c:h val="0.5234912195181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'1'!$C$32:$C$44</c:f>
              <c:numCache>
                <c:formatCode>General</c:formatCode>
                <c:ptCount val="13"/>
                <c:pt idx="0">
                  <c:v>11</c:v>
                </c:pt>
                <c:pt idx="1">
                  <c:v>14</c:v>
                </c:pt>
                <c:pt idx="2">
                  <c:v>5</c:v>
                </c:pt>
                <c:pt idx="3">
                  <c:v>3</c:v>
                </c:pt>
                <c:pt idx="4">
                  <c:v>49</c:v>
                </c:pt>
                <c:pt idx="5">
                  <c:v>58</c:v>
                </c:pt>
                <c:pt idx="6">
                  <c:v>45</c:v>
                </c:pt>
                <c:pt idx="7">
                  <c:v>89</c:v>
                </c:pt>
                <c:pt idx="8">
                  <c:v>24</c:v>
                </c:pt>
                <c:pt idx="9">
                  <c:v>28</c:v>
                </c:pt>
                <c:pt idx="10">
                  <c:v>17</c:v>
                </c:pt>
                <c:pt idx="11">
                  <c:v>77</c:v>
                </c:pt>
                <c:pt idx="12">
                  <c:v>17</c:v>
                </c:pt>
              </c:numCache>
            </c:numRef>
          </c:val>
          <c:smooth val="0"/>
          <c:extLst>
            <c:ext xmlns:c16="http://schemas.microsoft.com/office/drawing/2014/chart" uri="{C3380CC4-5D6E-409C-BE32-E72D297353CC}">
              <c16:uniqueId val="{00000000-87E3-D949-80E9-0BE1C1E2F95A}"/>
            </c:ext>
          </c:extLst>
        </c:ser>
        <c:dLbls>
          <c:showLegendKey val="0"/>
          <c:showVal val="0"/>
          <c:showCatName val="0"/>
          <c:showSerName val="0"/>
          <c:showPercent val="0"/>
          <c:showBubbleSize val="0"/>
        </c:dLbls>
        <c:marker val="1"/>
        <c:smooth val="0"/>
        <c:axId val="1047376632"/>
        <c:axId val="1047381336"/>
      </c:lineChart>
      <c:catAx>
        <c:axId val="1047376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047381336"/>
        <c:crosses val="autoZero"/>
        <c:auto val="1"/>
        <c:lblAlgn val="ctr"/>
        <c:lblOffset val="100"/>
        <c:tickLblSkip val="1"/>
        <c:tickMarkSkip val="1"/>
        <c:noMultiLvlLbl val="0"/>
      </c:catAx>
      <c:valAx>
        <c:axId val="10473813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0473766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CR"/>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 de Promedios Recalculada</a:t>
            </a:r>
          </a:p>
        </c:rich>
      </c:tx>
      <c:overlay val="0"/>
    </c:title>
    <c:autoTitleDeleted val="0"/>
    <c:plotArea>
      <c:layout/>
      <c:lineChart>
        <c:grouping val="standard"/>
        <c:varyColors val="0"/>
        <c:ser>
          <c:idx val="0"/>
          <c:order val="0"/>
          <c:tx>
            <c:strRef>
              <c:f>'8'!$X$1</c:f>
              <c:strCache>
                <c:ptCount val="1"/>
                <c:pt idx="0">
                  <c:v>Promedio</c:v>
                </c:pt>
              </c:strCache>
            </c:strRef>
          </c:tx>
          <c:val>
            <c:numRef>
              <c:f>'8'!$X$2:$X$26</c:f>
              <c:numCache>
                <c:formatCode>0.000</c:formatCode>
                <c:ptCount val="25"/>
                <c:pt idx="0">
                  <c:v>2.0160527359843745</c:v>
                </c:pt>
                <c:pt idx="1">
                  <c:v>2.0005963316751609</c:v>
                </c:pt>
                <c:pt idx="2">
                  <c:v>2.0120151371807</c:v>
                </c:pt>
                <c:pt idx="3">
                  <c:v>1.99</c:v>
                </c:pt>
                <c:pt idx="4">
                  <c:v>1.9950000000000001</c:v>
                </c:pt>
                <c:pt idx="5">
                  <c:v>2.0266658528397472</c:v>
                </c:pt>
                <c:pt idx="6">
                  <c:v>2.0024640644550922</c:v>
                </c:pt>
                <c:pt idx="7">
                  <c:v>2.04</c:v>
                </c:pt>
                <c:pt idx="8">
                  <c:v>2.0028852198858607</c:v>
                </c:pt>
                <c:pt idx="9">
                  <c:v>2.0296926786095768</c:v>
                </c:pt>
                <c:pt idx="10">
                  <c:v>1.9950000000000001</c:v>
                </c:pt>
                <c:pt idx="11">
                  <c:v>1.99</c:v>
                </c:pt>
                <c:pt idx="12">
                  <c:v>2.04</c:v>
                </c:pt>
                <c:pt idx="13">
                  <c:v>1.99</c:v>
                </c:pt>
                <c:pt idx="14">
                  <c:v>2</c:v>
                </c:pt>
                <c:pt idx="15">
                  <c:v>2.0192681661427656</c:v>
                </c:pt>
                <c:pt idx="16">
                  <c:v>2.0295315408795433</c:v>
                </c:pt>
                <c:pt idx="17">
                  <c:v>1.9998840296639913</c:v>
                </c:pt>
                <c:pt idx="18">
                  <c:v>2.0014679403057953</c:v>
                </c:pt>
                <c:pt idx="19">
                  <c:v>2.0005871761223184</c:v>
                </c:pt>
                <c:pt idx="20">
                  <c:v>2.016195562608722</c:v>
                </c:pt>
                <c:pt idx="21">
                  <c:v>2.0067360454115422</c:v>
                </c:pt>
                <c:pt idx="22">
                  <c:v>2.0242432935575425</c:v>
                </c:pt>
                <c:pt idx="23">
                  <c:v>2.0306686605426192</c:v>
                </c:pt>
                <c:pt idx="24">
                  <c:v>2.0255488753929258</c:v>
                </c:pt>
              </c:numCache>
            </c:numRef>
          </c:val>
          <c:smooth val="0"/>
          <c:extLst>
            <c:ext xmlns:c16="http://schemas.microsoft.com/office/drawing/2014/chart" uri="{C3380CC4-5D6E-409C-BE32-E72D297353CC}">
              <c16:uniqueId val="{00000000-CFF9-B345-A8AD-880CF537D5A1}"/>
            </c:ext>
          </c:extLst>
        </c:ser>
        <c:ser>
          <c:idx val="1"/>
          <c:order val="1"/>
          <c:tx>
            <c:strRef>
              <c:f>'8'!$Y$1</c:f>
              <c:strCache>
                <c:ptCount val="1"/>
                <c:pt idx="0">
                  <c:v>USL</c:v>
                </c:pt>
              </c:strCache>
            </c:strRef>
          </c:tx>
          <c:val>
            <c:numRef>
              <c:f>'8'!$Y$2:$Y$26</c:f>
              <c:numCache>
                <c:formatCode>0.000</c:formatCode>
                <c:ptCount val="25"/>
                <c:pt idx="0">
                  <c:v>2.0598996113976455</c:v>
                </c:pt>
                <c:pt idx="1">
                  <c:v>2.0598996113976455</c:v>
                </c:pt>
                <c:pt idx="2">
                  <c:v>2.0598996113976455</c:v>
                </c:pt>
                <c:pt idx="3">
                  <c:v>2.0598996113976455</c:v>
                </c:pt>
                <c:pt idx="4">
                  <c:v>2.0598996113976455</c:v>
                </c:pt>
                <c:pt idx="5">
                  <c:v>2.0598996113976455</c:v>
                </c:pt>
                <c:pt idx="6">
                  <c:v>2.0598996113976455</c:v>
                </c:pt>
                <c:pt idx="7">
                  <c:v>2.0598996113976455</c:v>
                </c:pt>
                <c:pt idx="8">
                  <c:v>2.0598996113976455</c:v>
                </c:pt>
                <c:pt idx="9">
                  <c:v>2.0598996113976455</c:v>
                </c:pt>
                <c:pt idx="10">
                  <c:v>2.0598996113976455</c:v>
                </c:pt>
                <c:pt idx="11">
                  <c:v>2.0598996113976455</c:v>
                </c:pt>
                <c:pt idx="12">
                  <c:v>2.0598996113976455</c:v>
                </c:pt>
                <c:pt idx="13">
                  <c:v>2.0598996113976455</c:v>
                </c:pt>
                <c:pt idx="14">
                  <c:v>2.0598996113976455</c:v>
                </c:pt>
                <c:pt idx="15">
                  <c:v>2.0598996113976455</c:v>
                </c:pt>
                <c:pt idx="16">
                  <c:v>2.0598996113976455</c:v>
                </c:pt>
                <c:pt idx="17">
                  <c:v>2.0598996113976455</c:v>
                </c:pt>
                <c:pt idx="18">
                  <c:v>2.0598996113976455</c:v>
                </c:pt>
                <c:pt idx="19">
                  <c:v>2.0598996113976455</c:v>
                </c:pt>
                <c:pt idx="20">
                  <c:v>2.0598996113976455</c:v>
                </c:pt>
                <c:pt idx="21">
                  <c:v>2.0598996113976455</c:v>
                </c:pt>
                <c:pt idx="22">
                  <c:v>2.0598996113976455</c:v>
                </c:pt>
                <c:pt idx="23">
                  <c:v>2.0598996113976455</c:v>
                </c:pt>
                <c:pt idx="24">
                  <c:v>2.0598996113976455</c:v>
                </c:pt>
              </c:numCache>
            </c:numRef>
          </c:val>
          <c:smooth val="0"/>
          <c:extLst>
            <c:ext xmlns:c16="http://schemas.microsoft.com/office/drawing/2014/chart" uri="{C3380CC4-5D6E-409C-BE32-E72D297353CC}">
              <c16:uniqueId val="{00000001-CFF9-B345-A8AD-880CF537D5A1}"/>
            </c:ext>
          </c:extLst>
        </c:ser>
        <c:ser>
          <c:idx val="2"/>
          <c:order val="2"/>
          <c:tx>
            <c:strRef>
              <c:f>'8'!$Z$1</c:f>
              <c:strCache>
                <c:ptCount val="1"/>
                <c:pt idx="0">
                  <c:v>CSL</c:v>
                </c:pt>
              </c:strCache>
            </c:strRef>
          </c:tx>
          <c:val>
            <c:numRef>
              <c:f>'8'!$Z$2:$Z$26</c:f>
              <c:numCache>
                <c:formatCode>0.000</c:formatCode>
                <c:ptCount val="25"/>
                <c:pt idx="0">
                  <c:v>2.0113801324503306</c:v>
                </c:pt>
                <c:pt idx="1">
                  <c:v>2.0113801324503306</c:v>
                </c:pt>
                <c:pt idx="2">
                  <c:v>2.0113801324503306</c:v>
                </c:pt>
                <c:pt idx="3">
                  <c:v>2.0113801324503306</c:v>
                </c:pt>
                <c:pt idx="4">
                  <c:v>2.0113801324503306</c:v>
                </c:pt>
                <c:pt idx="5">
                  <c:v>2.0113801324503306</c:v>
                </c:pt>
                <c:pt idx="6">
                  <c:v>2.0113801324503306</c:v>
                </c:pt>
                <c:pt idx="7">
                  <c:v>2.0113801324503306</c:v>
                </c:pt>
                <c:pt idx="8">
                  <c:v>2.0113801324503306</c:v>
                </c:pt>
                <c:pt idx="9">
                  <c:v>2.0113801324503306</c:v>
                </c:pt>
                <c:pt idx="10">
                  <c:v>2.0113801324503306</c:v>
                </c:pt>
                <c:pt idx="11">
                  <c:v>2.0113801324503306</c:v>
                </c:pt>
                <c:pt idx="12">
                  <c:v>2.0113801324503306</c:v>
                </c:pt>
                <c:pt idx="13">
                  <c:v>2.0113801324503306</c:v>
                </c:pt>
                <c:pt idx="14">
                  <c:v>2.0113801324503306</c:v>
                </c:pt>
                <c:pt idx="15">
                  <c:v>2.0113801324503306</c:v>
                </c:pt>
                <c:pt idx="16">
                  <c:v>2.0113801324503306</c:v>
                </c:pt>
                <c:pt idx="17">
                  <c:v>2.0113801324503306</c:v>
                </c:pt>
                <c:pt idx="18">
                  <c:v>2.0113801324503306</c:v>
                </c:pt>
                <c:pt idx="19">
                  <c:v>2.0113801324503306</c:v>
                </c:pt>
                <c:pt idx="20">
                  <c:v>2.0113801324503306</c:v>
                </c:pt>
                <c:pt idx="21">
                  <c:v>2.0113801324503306</c:v>
                </c:pt>
                <c:pt idx="22">
                  <c:v>2.0113801324503306</c:v>
                </c:pt>
                <c:pt idx="23">
                  <c:v>2.0113801324503306</c:v>
                </c:pt>
                <c:pt idx="24">
                  <c:v>2.0113801324503306</c:v>
                </c:pt>
              </c:numCache>
            </c:numRef>
          </c:val>
          <c:smooth val="0"/>
          <c:extLst>
            <c:ext xmlns:c16="http://schemas.microsoft.com/office/drawing/2014/chart" uri="{C3380CC4-5D6E-409C-BE32-E72D297353CC}">
              <c16:uniqueId val="{00000002-CFF9-B345-A8AD-880CF537D5A1}"/>
            </c:ext>
          </c:extLst>
        </c:ser>
        <c:ser>
          <c:idx val="3"/>
          <c:order val="3"/>
          <c:tx>
            <c:strRef>
              <c:f>'8'!$AA$1</c:f>
              <c:strCache>
                <c:ptCount val="1"/>
                <c:pt idx="0">
                  <c:v>LSL</c:v>
                </c:pt>
              </c:strCache>
            </c:strRef>
          </c:tx>
          <c:val>
            <c:numRef>
              <c:f>'8'!$AA$2:$AA$26</c:f>
              <c:numCache>
                <c:formatCode>0.000</c:formatCode>
                <c:ptCount val="25"/>
                <c:pt idx="0">
                  <c:v>1.9857339426862386</c:v>
                </c:pt>
                <c:pt idx="1">
                  <c:v>1.9857339426862386</c:v>
                </c:pt>
                <c:pt idx="2">
                  <c:v>1.9857339426862386</c:v>
                </c:pt>
                <c:pt idx="3">
                  <c:v>1.9857339426862386</c:v>
                </c:pt>
                <c:pt idx="4">
                  <c:v>1.9857339426862386</c:v>
                </c:pt>
                <c:pt idx="5">
                  <c:v>1.9857339426862386</c:v>
                </c:pt>
                <c:pt idx="6">
                  <c:v>1.9857339426862386</c:v>
                </c:pt>
                <c:pt idx="7">
                  <c:v>1.9857339426862386</c:v>
                </c:pt>
                <c:pt idx="8">
                  <c:v>1.9857339426862386</c:v>
                </c:pt>
                <c:pt idx="9">
                  <c:v>1.9857339426862386</c:v>
                </c:pt>
                <c:pt idx="10">
                  <c:v>1.9857339426862386</c:v>
                </c:pt>
                <c:pt idx="11">
                  <c:v>1.9857339426862386</c:v>
                </c:pt>
                <c:pt idx="12">
                  <c:v>1.9857339426862386</c:v>
                </c:pt>
                <c:pt idx="13">
                  <c:v>1.9857339426862386</c:v>
                </c:pt>
                <c:pt idx="14">
                  <c:v>1.9857339426862386</c:v>
                </c:pt>
                <c:pt idx="15">
                  <c:v>1.9857339426862386</c:v>
                </c:pt>
                <c:pt idx="16">
                  <c:v>1.9857339426862386</c:v>
                </c:pt>
                <c:pt idx="17">
                  <c:v>1.9857339426862386</c:v>
                </c:pt>
                <c:pt idx="18">
                  <c:v>1.9857339426862386</c:v>
                </c:pt>
                <c:pt idx="19">
                  <c:v>1.9857339426862386</c:v>
                </c:pt>
                <c:pt idx="20">
                  <c:v>1.9857339426862386</c:v>
                </c:pt>
                <c:pt idx="21">
                  <c:v>1.9857339426862386</c:v>
                </c:pt>
                <c:pt idx="22">
                  <c:v>1.9857339426862386</c:v>
                </c:pt>
                <c:pt idx="23">
                  <c:v>1.9857339426862386</c:v>
                </c:pt>
                <c:pt idx="24">
                  <c:v>1.9857339426862386</c:v>
                </c:pt>
              </c:numCache>
            </c:numRef>
          </c:val>
          <c:smooth val="0"/>
          <c:extLst>
            <c:ext xmlns:c16="http://schemas.microsoft.com/office/drawing/2014/chart" uri="{C3380CC4-5D6E-409C-BE32-E72D297353CC}">
              <c16:uniqueId val="{00000003-CFF9-B345-A8AD-880CF537D5A1}"/>
            </c:ext>
          </c:extLst>
        </c:ser>
        <c:dLbls>
          <c:showLegendKey val="0"/>
          <c:showVal val="0"/>
          <c:showCatName val="0"/>
          <c:showSerName val="0"/>
          <c:showPercent val="0"/>
          <c:showBubbleSize val="0"/>
        </c:dLbls>
        <c:marker val="1"/>
        <c:smooth val="0"/>
        <c:axId val="1130018440"/>
        <c:axId val="1130021560"/>
      </c:lineChart>
      <c:catAx>
        <c:axId val="1130018440"/>
        <c:scaling>
          <c:orientation val="minMax"/>
        </c:scaling>
        <c:delete val="0"/>
        <c:axPos val="b"/>
        <c:majorTickMark val="none"/>
        <c:minorTickMark val="none"/>
        <c:tickLblPos val="nextTo"/>
        <c:crossAx val="1130021560"/>
        <c:crosses val="autoZero"/>
        <c:auto val="1"/>
        <c:lblAlgn val="ctr"/>
        <c:lblOffset val="100"/>
        <c:noMultiLvlLbl val="0"/>
      </c:catAx>
      <c:valAx>
        <c:axId val="1130021560"/>
        <c:scaling>
          <c:orientation val="minMax"/>
          <c:min val="1.97"/>
        </c:scaling>
        <c:delete val="0"/>
        <c:axPos val="l"/>
        <c:majorGridlines/>
        <c:numFmt formatCode="0.000" sourceLinked="1"/>
        <c:majorTickMark val="none"/>
        <c:minorTickMark val="none"/>
        <c:tickLblPos val="nextTo"/>
        <c:spPr>
          <a:ln w="9525">
            <a:noFill/>
          </a:ln>
        </c:spPr>
        <c:crossAx val="1130018440"/>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 de Promedios con Límites Especificados</a:t>
            </a:r>
          </a:p>
        </c:rich>
      </c:tx>
      <c:overlay val="0"/>
    </c:title>
    <c:autoTitleDeleted val="0"/>
    <c:plotArea>
      <c:layout/>
      <c:lineChart>
        <c:grouping val="standard"/>
        <c:varyColors val="0"/>
        <c:ser>
          <c:idx val="0"/>
          <c:order val="0"/>
          <c:tx>
            <c:strRef>
              <c:f>'8'!$X$1</c:f>
              <c:strCache>
                <c:ptCount val="1"/>
                <c:pt idx="0">
                  <c:v>Promedio</c:v>
                </c:pt>
              </c:strCache>
            </c:strRef>
          </c:tx>
          <c:val>
            <c:numRef>
              <c:f>'8'!$X$2:$X$26</c:f>
              <c:numCache>
                <c:formatCode>0.000</c:formatCode>
                <c:ptCount val="25"/>
                <c:pt idx="0">
                  <c:v>2.0160527359843745</c:v>
                </c:pt>
                <c:pt idx="1">
                  <c:v>2.0005963316751609</c:v>
                </c:pt>
                <c:pt idx="2">
                  <c:v>2.0120151371807</c:v>
                </c:pt>
                <c:pt idx="3">
                  <c:v>1.99</c:v>
                </c:pt>
                <c:pt idx="4">
                  <c:v>1.9950000000000001</c:v>
                </c:pt>
                <c:pt idx="5">
                  <c:v>2.0266658528397472</c:v>
                </c:pt>
                <c:pt idx="6">
                  <c:v>2.0024640644550922</c:v>
                </c:pt>
                <c:pt idx="7">
                  <c:v>2.04</c:v>
                </c:pt>
                <c:pt idx="8">
                  <c:v>2.0028852198858607</c:v>
                </c:pt>
                <c:pt idx="9">
                  <c:v>2.0296926786095768</c:v>
                </c:pt>
                <c:pt idx="10">
                  <c:v>1.9950000000000001</c:v>
                </c:pt>
                <c:pt idx="11">
                  <c:v>1.99</c:v>
                </c:pt>
                <c:pt idx="12">
                  <c:v>2.04</c:v>
                </c:pt>
                <c:pt idx="13">
                  <c:v>1.99</c:v>
                </c:pt>
                <c:pt idx="14">
                  <c:v>2</c:v>
                </c:pt>
                <c:pt idx="15">
                  <c:v>2.0192681661427656</c:v>
                </c:pt>
                <c:pt idx="16">
                  <c:v>2.0295315408795433</c:v>
                </c:pt>
                <c:pt idx="17">
                  <c:v>1.9998840296639913</c:v>
                </c:pt>
                <c:pt idx="18">
                  <c:v>2.0014679403057953</c:v>
                </c:pt>
                <c:pt idx="19">
                  <c:v>2.0005871761223184</c:v>
                </c:pt>
                <c:pt idx="20">
                  <c:v>2.016195562608722</c:v>
                </c:pt>
                <c:pt idx="21">
                  <c:v>2.0067360454115422</c:v>
                </c:pt>
                <c:pt idx="22">
                  <c:v>2.0242432935575425</c:v>
                </c:pt>
                <c:pt idx="23">
                  <c:v>2.0306686605426192</c:v>
                </c:pt>
                <c:pt idx="24">
                  <c:v>2.0255488753929258</c:v>
                </c:pt>
              </c:numCache>
            </c:numRef>
          </c:val>
          <c:smooth val="0"/>
          <c:extLst>
            <c:ext xmlns:c16="http://schemas.microsoft.com/office/drawing/2014/chart" uri="{C3380CC4-5D6E-409C-BE32-E72D297353CC}">
              <c16:uniqueId val="{00000000-A44F-BC47-8627-1AB2070B1F00}"/>
            </c:ext>
          </c:extLst>
        </c:ser>
        <c:ser>
          <c:idx val="4"/>
          <c:order val="1"/>
          <c:tx>
            <c:strRef>
              <c:f>'8'!$AB$1</c:f>
              <c:strCache>
                <c:ptCount val="1"/>
                <c:pt idx="0">
                  <c:v>USL Esp.</c:v>
                </c:pt>
              </c:strCache>
            </c:strRef>
          </c:tx>
          <c:spPr>
            <a:ln>
              <a:solidFill>
                <a:srgbClr val="FF0000"/>
              </a:solidFill>
            </a:ln>
          </c:spPr>
          <c:marker>
            <c:symbol val="none"/>
          </c:marker>
          <c:val>
            <c:numRef>
              <c:f>'8'!$AB$2:$AB$26</c:f>
              <c:numCache>
                <c:formatCode>General</c:formatCode>
                <c:ptCount val="25"/>
                <c:pt idx="0">
                  <c:v>2.08</c:v>
                </c:pt>
                <c:pt idx="1">
                  <c:v>2.08</c:v>
                </c:pt>
                <c:pt idx="2">
                  <c:v>2.08</c:v>
                </c:pt>
                <c:pt idx="3">
                  <c:v>2.08</c:v>
                </c:pt>
                <c:pt idx="4">
                  <c:v>2.08</c:v>
                </c:pt>
                <c:pt idx="5">
                  <c:v>2.08</c:v>
                </c:pt>
                <c:pt idx="6">
                  <c:v>2.08</c:v>
                </c:pt>
                <c:pt idx="7">
                  <c:v>2.08</c:v>
                </c:pt>
                <c:pt idx="8">
                  <c:v>2.08</c:v>
                </c:pt>
                <c:pt idx="9">
                  <c:v>2.08</c:v>
                </c:pt>
                <c:pt idx="10">
                  <c:v>2.08</c:v>
                </c:pt>
                <c:pt idx="11">
                  <c:v>2.08</c:v>
                </c:pt>
                <c:pt idx="12">
                  <c:v>2.08</c:v>
                </c:pt>
                <c:pt idx="13">
                  <c:v>2.08</c:v>
                </c:pt>
                <c:pt idx="14">
                  <c:v>2.08</c:v>
                </c:pt>
                <c:pt idx="15">
                  <c:v>2.08</c:v>
                </c:pt>
                <c:pt idx="16">
                  <c:v>2.08</c:v>
                </c:pt>
                <c:pt idx="17">
                  <c:v>2.08</c:v>
                </c:pt>
                <c:pt idx="18">
                  <c:v>2.08</c:v>
                </c:pt>
                <c:pt idx="19">
                  <c:v>2.08</c:v>
                </c:pt>
                <c:pt idx="20">
                  <c:v>2.08</c:v>
                </c:pt>
                <c:pt idx="21">
                  <c:v>2.08</c:v>
                </c:pt>
                <c:pt idx="22">
                  <c:v>2.08</c:v>
                </c:pt>
                <c:pt idx="23">
                  <c:v>2.08</c:v>
                </c:pt>
                <c:pt idx="24">
                  <c:v>2.08</c:v>
                </c:pt>
              </c:numCache>
            </c:numRef>
          </c:val>
          <c:smooth val="0"/>
          <c:extLst>
            <c:ext xmlns:c16="http://schemas.microsoft.com/office/drawing/2014/chart" uri="{C3380CC4-5D6E-409C-BE32-E72D297353CC}">
              <c16:uniqueId val="{00000001-A44F-BC47-8627-1AB2070B1F00}"/>
            </c:ext>
          </c:extLst>
        </c:ser>
        <c:ser>
          <c:idx val="5"/>
          <c:order val="2"/>
          <c:tx>
            <c:strRef>
              <c:f>'8'!$AC$1</c:f>
              <c:strCache>
                <c:ptCount val="1"/>
                <c:pt idx="0">
                  <c:v>CSL Esp.</c:v>
                </c:pt>
              </c:strCache>
            </c:strRef>
          </c:tx>
          <c:spPr>
            <a:ln>
              <a:solidFill>
                <a:srgbClr val="FF0000"/>
              </a:solidFill>
            </a:ln>
          </c:spPr>
          <c:marker>
            <c:symbol val="none"/>
          </c:marker>
          <c:val>
            <c:numRef>
              <c:f>'8'!$AC$2:$AC$26</c:f>
              <c:numCache>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Cache>
            </c:numRef>
          </c:val>
          <c:smooth val="0"/>
          <c:extLst>
            <c:ext xmlns:c16="http://schemas.microsoft.com/office/drawing/2014/chart" uri="{C3380CC4-5D6E-409C-BE32-E72D297353CC}">
              <c16:uniqueId val="{00000002-A44F-BC47-8627-1AB2070B1F00}"/>
            </c:ext>
          </c:extLst>
        </c:ser>
        <c:ser>
          <c:idx val="6"/>
          <c:order val="3"/>
          <c:tx>
            <c:strRef>
              <c:f>'8'!$AD$1</c:f>
              <c:strCache>
                <c:ptCount val="1"/>
                <c:pt idx="0">
                  <c:v>LSL Esp.</c:v>
                </c:pt>
              </c:strCache>
            </c:strRef>
          </c:tx>
          <c:spPr>
            <a:ln>
              <a:solidFill>
                <a:srgbClr val="FF0000"/>
              </a:solidFill>
            </a:ln>
          </c:spPr>
          <c:marker>
            <c:symbol val="none"/>
          </c:marker>
          <c:val>
            <c:numRef>
              <c:f>'8'!$AD$2:$AD$26</c:f>
              <c:numCache>
                <c:formatCode>General</c:formatCode>
                <c:ptCount val="25"/>
                <c:pt idx="0">
                  <c:v>1.92</c:v>
                </c:pt>
                <c:pt idx="1">
                  <c:v>1.92</c:v>
                </c:pt>
                <c:pt idx="2">
                  <c:v>1.92</c:v>
                </c:pt>
                <c:pt idx="3">
                  <c:v>1.92</c:v>
                </c:pt>
                <c:pt idx="4">
                  <c:v>1.92</c:v>
                </c:pt>
                <c:pt idx="5">
                  <c:v>1.92</c:v>
                </c:pt>
                <c:pt idx="6">
                  <c:v>1.92</c:v>
                </c:pt>
                <c:pt idx="7">
                  <c:v>1.92</c:v>
                </c:pt>
                <c:pt idx="8">
                  <c:v>1.92</c:v>
                </c:pt>
                <c:pt idx="9">
                  <c:v>1.92</c:v>
                </c:pt>
                <c:pt idx="10">
                  <c:v>1.92</c:v>
                </c:pt>
                <c:pt idx="11">
                  <c:v>1.92</c:v>
                </c:pt>
                <c:pt idx="12">
                  <c:v>1.92</c:v>
                </c:pt>
                <c:pt idx="13">
                  <c:v>1.92</c:v>
                </c:pt>
                <c:pt idx="14">
                  <c:v>1.92</c:v>
                </c:pt>
                <c:pt idx="15">
                  <c:v>1.92</c:v>
                </c:pt>
                <c:pt idx="16">
                  <c:v>1.92</c:v>
                </c:pt>
                <c:pt idx="17">
                  <c:v>1.92</c:v>
                </c:pt>
                <c:pt idx="18">
                  <c:v>1.92</c:v>
                </c:pt>
                <c:pt idx="19">
                  <c:v>1.92</c:v>
                </c:pt>
                <c:pt idx="20">
                  <c:v>1.92</c:v>
                </c:pt>
                <c:pt idx="21">
                  <c:v>1.92</c:v>
                </c:pt>
                <c:pt idx="22">
                  <c:v>1.92</c:v>
                </c:pt>
                <c:pt idx="23">
                  <c:v>1.92</c:v>
                </c:pt>
                <c:pt idx="24">
                  <c:v>1.92</c:v>
                </c:pt>
              </c:numCache>
            </c:numRef>
          </c:val>
          <c:smooth val="0"/>
          <c:extLst>
            <c:ext xmlns:c16="http://schemas.microsoft.com/office/drawing/2014/chart" uri="{C3380CC4-5D6E-409C-BE32-E72D297353CC}">
              <c16:uniqueId val="{00000003-A44F-BC47-8627-1AB2070B1F00}"/>
            </c:ext>
          </c:extLst>
        </c:ser>
        <c:dLbls>
          <c:showLegendKey val="0"/>
          <c:showVal val="0"/>
          <c:showCatName val="0"/>
          <c:showSerName val="0"/>
          <c:showPercent val="0"/>
          <c:showBubbleSize val="0"/>
        </c:dLbls>
        <c:marker val="1"/>
        <c:smooth val="0"/>
        <c:axId val="1049572712"/>
        <c:axId val="1129767208"/>
      </c:lineChart>
      <c:catAx>
        <c:axId val="1049572712"/>
        <c:scaling>
          <c:orientation val="minMax"/>
        </c:scaling>
        <c:delete val="0"/>
        <c:axPos val="b"/>
        <c:majorTickMark val="none"/>
        <c:minorTickMark val="none"/>
        <c:tickLblPos val="nextTo"/>
        <c:crossAx val="1129767208"/>
        <c:crosses val="autoZero"/>
        <c:auto val="1"/>
        <c:lblAlgn val="ctr"/>
        <c:lblOffset val="100"/>
        <c:noMultiLvlLbl val="0"/>
      </c:catAx>
      <c:valAx>
        <c:axId val="1129767208"/>
        <c:scaling>
          <c:orientation val="minMax"/>
          <c:min val="1.9"/>
        </c:scaling>
        <c:delete val="0"/>
        <c:axPos val="l"/>
        <c:majorGridlines/>
        <c:numFmt formatCode="0.000" sourceLinked="1"/>
        <c:majorTickMark val="none"/>
        <c:minorTickMark val="none"/>
        <c:tickLblPos val="nextTo"/>
        <c:spPr>
          <a:ln w="9525">
            <a:noFill/>
          </a:ln>
        </c:spPr>
        <c:crossAx val="1049572712"/>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a:t>
            </a:r>
            <a:r>
              <a:rPr lang="en-US" baseline="0"/>
              <a:t> de individuales Método 1</a:t>
            </a:r>
          </a:p>
        </c:rich>
      </c:tx>
      <c:overlay val="0"/>
    </c:title>
    <c:autoTitleDeleted val="0"/>
    <c:plotArea>
      <c:layout/>
      <c:lineChart>
        <c:grouping val="standard"/>
        <c:varyColors val="0"/>
        <c:ser>
          <c:idx val="0"/>
          <c:order val="0"/>
          <c:tx>
            <c:strRef>
              <c:f>'9'!$C$4</c:f>
              <c:strCache>
                <c:ptCount val="1"/>
                <c:pt idx="0">
                  <c:v>Horas</c:v>
                </c:pt>
              </c:strCache>
            </c:strRef>
          </c:tx>
          <c:val>
            <c:numRef>
              <c:f>'9'!$C$5:$C$29</c:f>
              <c:numCache>
                <c:formatCode>0.00</c:formatCode>
                <c:ptCount val="25"/>
                <c:pt idx="0">
                  <c:v>7.7</c:v>
                </c:pt>
                <c:pt idx="1">
                  <c:v>7.8</c:v>
                </c:pt>
                <c:pt idx="2">
                  <c:v>8.5</c:v>
                </c:pt>
                <c:pt idx="3">
                  <c:v>8.6</c:v>
                </c:pt>
                <c:pt idx="4">
                  <c:v>6.7</c:v>
                </c:pt>
                <c:pt idx="5">
                  <c:v>7.9</c:v>
                </c:pt>
                <c:pt idx="6">
                  <c:v>8.1</c:v>
                </c:pt>
                <c:pt idx="7">
                  <c:v>7.6</c:v>
                </c:pt>
                <c:pt idx="8">
                  <c:v>7.1</c:v>
                </c:pt>
                <c:pt idx="9">
                  <c:v>7.3</c:v>
                </c:pt>
                <c:pt idx="10">
                  <c:v>7.8</c:v>
                </c:pt>
                <c:pt idx="11">
                  <c:v>6.1</c:v>
                </c:pt>
                <c:pt idx="12">
                  <c:v>8</c:v>
                </c:pt>
                <c:pt idx="13">
                  <c:v>6.3</c:v>
                </c:pt>
                <c:pt idx="14">
                  <c:v>7.8</c:v>
                </c:pt>
                <c:pt idx="15">
                  <c:v>6.7</c:v>
                </c:pt>
                <c:pt idx="16">
                  <c:v>7.3</c:v>
                </c:pt>
                <c:pt idx="17">
                  <c:v>6.7</c:v>
                </c:pt>
                <c:pt idx="18">
                  <c:v>6.2</c:v>
                </c:pt>
                <c:pt idx="19">
                  <c:v>7.3</c:v>
                </c:pt>
                <c:pt idx="20">
                  <c:v>7.5</c:v>
                </c:pt>
                <c:pt idx="21">
                  <c:v>6.4</c:v>
                </c:pt>
                <c:pt idx="22">
                  <c:v>6.3</c:v>
                </c:pt>
                <c:pt idx="23">
                  <c:v>7.5</c:v>
                </c:pt>
                <c:pt idx="24">
                  <c:v>7</c:v>
                </c:pt>
              </c:numCache>
            </c:numRef>
          </c:val>
          <c:smooth val="0"/>
          <c:extLst>
            <c:ext xmlns:c16="http://schemas.microsoft.com/office/drawing/2014/chart" uri="{C3380CC4-5D6E-409C-BE32-E72D297353CC}">
              <c16:uniqueId val="{00000000-8B55-E74A-9959-2638C1F57D82}"/>
            </c:ext>
          </c:extLst>
        </c:ser>
        <c:ser>
          <c:idx val="2"/>
          <c:order val="1"/>
          <c:tx>
            <c:strRef>
              <c:f>'9'!$E$4</c:f>
              <c:strCache>
                <c:ptCount val="1"/>
              </c:strCache>
            </c:strRef>
          </c:tx>
          <c:val>
            <c:numRef>
              <c:f>'9'!$E$5:$E$29</c:f>
              <c:numCache>
                <c:formatCode>General</c:formatCode>
                <c:ptCount val="25"/>
              </c:numCache>
            </c:numRef>
          </c:val>
          <c:smooth val="0"/>
          <c:extLst>
            <c:ext xmlns:c16="http://schemas.microsoft.com/office/drawing/2014/chart" uri="{C3380CC4-5D6E-409C-BE32-E72D297353CC}">
              <c16:uniqueId val="{00000001-8B55-E74A-9959-2638C1F57D82}"/>
            </c:ext>
          </c:extLst>
        </c:ser>
        <c:ser>
          <c:idx val="3"/>
          <c:order val="2"/>
          <c:tx>
            <c:strRef>
              <c:f>'9'!$F$4</c:f>
              <c:strCache>
                <c:ptCount val="1"/>
                <c:pt idx="0">
                  <c:v>LCL</c:v>
                </c:pt>
              </c:strCache>
            </c:strRef>
          </c:tx>
          <c:val>
            <c:numRef>
              <c:f>'9'!$F$5:$F$29</c:f>
              <c:numCache>
                <c:formatCode>0.0</c:formatCode>
                <c:ptCount val="25"/>
                <c:pt idx="0">
                  <c:v>5.1087964601769906</c:v>
                </c:pt>
                <c:pt idx="1">
                  <c:v>5.1087964601769906</c:v>
                </c:pt>
                <c:pt idx="2">
                  <c:v>5.1087964601769906</c:v>
                </c:pt>
                <c:pt idx="3">
                  <c:v>5.1087964601769906</c:v>
                </c:pt>
                <c:pt idx="4">
                  <c:v>5.1087964601769906</c:v>
                </c:pt>
                <c:pt idx="5">
                  <c:v>5.1087964601769906</c:v>
                </c:pt>
                <c:pt idx="6">
                  <c:v>5.1087964601769906</c:v>
                </c:pt>
                <c:pt idx="7">
                  <c:v>5.1087964601769906</c:v>
                </c:pt>
                <c:pt idx="8">
                  <c:v>5.1087964601769906</c:v>
                </c:pt>
                <c:pt idx="9">
                  <c:v>5.1087964601769906</c:v>
                </c:pt>
                <c:pt idx="10">
                  <c:v>5.1087964601769906</c:v>
                </c:pt>
                <c:pt idx="11">
                  <c:v>5.1087964601769906</c:v>
                </c:pt>
                <c:pt idx="12">
                  <c:v>5.1087964601769906</c:v>
                </c:pt>
                <c:pt idx="13">
                  <c:v>5.1087964601769906</c:v>
                </c:pt>
                <c:pt idx="14">
                  <c:v>5.1087964601769906</c:v>
                </c:pt>
                <c:pt idx="15">
                  <c:v>5.1087964601769906</c:v>
                </c:pt>
                <c:pt idx="16">
                  <c:v>5.1087964601769906</c:v>
                </c:pt>
                <c:pt idx="17">
                  <c:v>5.1087964601769906</c:v>
                </c:pt>
                <c:pt idx="18">
                  <c:v>5.1087964601769906</c:v>
                </c:pt>
                <c:pt idx="19">
                  <c:v>5.1087964601769906</c:v>
                </c:pt>
                <c:pt idx="20">
                  <c:v>5.1087964601769906</c:v>
                </c:pt>
                <c:pt idx="21">
                  <c:v>5.1087964601769906</c:v>
                </c:pt>
                <c:pt idx="22">
                  <c:v>5.1087964601769906</c:v>
                </c:pt>
                <c:pt idx="23">
                  <c:v>5.1087964601769906</c:v>
                </c:pt>
                <c:pt idx="24">
                  <c:v>5.1087964601769906</c:v>
                </c:pt>
              </c:numCache>
            </c:numRef>
          </c:val>
          <c:smooth val="0"/>
          <c:extLst>
            <c:ext xmlns:c16="http://schemas.microsoft.com/office/drawing/2014/chart" uri="{C3380CC4-5D6E-409C-BE32-E72D297353CC}">
              <c16:uniqueId val="{00000002-8B55-E74A-9959-2638C1F57D82}"/>
            </c:ext>
          </c:extLst>
        </c:ser>
        <c:ser>
          <c:idx val="4"/>
          <c:order val="3"/>
          <c:tx>
            <c:strRef>
              <c:f>'9'!$G$4</c:f>
              <c:strCache>
                <c:ptCount val="1"/>
                <c:pt idx="0">
                  <c:v>CCL</c:v>
                </c:pt>
              </c:strCache>
            </c:strRef>
          </c:tx>
          <c:val>
            <c:numRef>
              <c:f>'9'!$G$5:$G$29</c:f>
              <c:numCache>
                <c:formatCode>0.0</c:formatCode>
                <c:ptCount val="25"/>
                <c:pt idx="0">
                  <c:v>7.2879999999999994</c:v>
                </c:pt>
                <c:pt idx="1">
                  <c:v>7.2879999999999994</c:v>
                </c:pt>
                <c:pt idx="2">
                  <c:v>7.2879999999999994</c:v>
                </c:pt>
                <c:pt idx="3">
                  <c:v>7.2879999999999994</c:v>
                </c:pt>
                <c:pt idx="4">
                  <c:v>7.2879999999999994</c:v>
                </c:pt>
                <c:pt idx="5">
                  <c:v>7.2879999999999994</c:v>
                </c:pt>
                <c:pt idx="6">
                  <c:v>7.2879999999999994</c:v>
                </c:pt>
                <c:pt idx="7">
                  <c:v>7.2879999999999994</c:v>
                </c:pt>
                <c:pt idx="8">
                  <c:v>7.2879999999999994</c:v>
                </c:pt>
                <c:pt idx="9">
                  <c:v>7.2879999999999994</c:v>
                </c:pt>
                <c:pt idx="10">
                  <c:v>7.2879999999999994</c:v>
                </c:pt>
                <c:pt idx="11">
                  <c:v>7.2879999999999994</c:v>
                </c:pt>
                <c:pt idx="12">
                  <c:v>7.2879999999999994</c:v>
                </c:pt>
                <c:pt idx="13">
                  <c:v>7.2879999999999994</c:v>
                </c:pt>
                <c:pt idx="14">
                  <c:v>7.2879999999999994</c:v>
                </c:pt>
                <c:pt idx="15">
                  <c:v>7.2879999999999994</c:v>
                </c:pt>
                <c:pt idx="16">
                  <c:v>7.2879999999999994</c:v>
                </c:pt>
                <c:pt idx="17">
                  <c:v>7.2879999999999994</c:v>
                </c:pt>
                <c:pt idx="18">
                  <c:v>7.2879999999999994</c:v>
                </c:pt>
                <c:pt idx="19">
                  <c:v>7.2879999999999994</c:v>
                </c:pt>
                <c:pt idx="20">
                  <c:v>7.2879999999999994</c:v>
                </c:pt>
                <c:pt idx="21">
                  <c:v>7.2879999999999994</c:v>
                </c:pt>
                <c:pt idx="22">
                  <c:v>7.2879999999999994</c:v>
                </c:pt>
                <c:pt idx="23">
                  <c:v>7.2879999999999994</c:v>
                </c:pt>
                <c:pt idx="24">
                  <c:v>7.2879999999999994</c:v>
                </c:pt>
              </c:numCache>
            </c:numRef>
          </c:val>
          <c:smooth val="0"/>
          <c:extLst>
            <c:ext xmlns:c16="http://schemas.microsoft.com/office/drawing/2014/chart" uri="{C3380CC4-5D6E-409C-BE32-E72D297353CC}">
              <c16:uniqueId val="{00000003-8B55-E74A-9959-2638C1F57D82}"/>
            </c:ext>
          </c:extLst>
        </c:ser>
        <c:ser>
          <c:idx val="5"/>
          <c:order val="4"/>
          <c:tx>
            <c:strRef>
              <c:f>'9'!$H$4</c:f>
              <c:strCache>
                <c:ptCount val="1"/>
                <c:pt idx="0">
                  <c:v>UCL</c:v>
                </c:pt>
              </c:strCache>
            </c:strRef>
          </c:tx>
          <c:val>
            <c:numRef>
              <c:f>'9'!$H$5:$H$29</c:f>
              <c:numCache>
                <c:formatCode>0.0</c:formatCode>
                <c:ptCount val="25"/>
                <c:pt idx="0">
                  <c:v>9.4672035398230072</c:v>
                </c:pt>
                <c:pt idx="1">
                  <c:v>9.4672035398230072</c:v>
                </c:pt>
                <c:pt idx="2">
                  <c:v>9.4672035398230072</c:v>
                </c:pt>
                <c:pt idx="3">
                  <c:v>9.4672035398230072</c:v>
                </c:pt>
                <c:pt idx="4">
                  <c:v>9.4672035398230072</c:v>
                </c:pt>
                <c:pt idx="5">
                  <c:v>9.4672035398230072</c:v>
                </c:pt>
                <c:pt idx="6">
                  <c:v>9.4672035398230072</c:v>
                </c:pt>
                <c:pt idx="7">
                  <c:v>9.4672035398230072</c:v>
                </c:pt>
                <c:pt idx="8">
                  <c:v>9.4672035398230072</c:v>
                </c:pt>
                <c:pt idx="9">
                  <c:v>9.4672035398230072</c:v>
                </c:pt>
                <c:pt idx="10">
                  <c:v>9.4672035398230072</c:v>
                </c:pt>
                <c:pt idx="11">
                  <c:v>9.4672035398230072</c:v>
                </c:pt>
                <c:pt idx="12">
                  <c:v>9.4672035398230072</c:v>
                </c:pt>
                <c:pt idx="13">
                  <c:v>9.4672035398230072</c:v>
                </c:pt>
                <c:pt idx="14">
                  <c:v>9.4672035398230072</c:v>
                </c:pt>
                <c:pt idx="15">
                  <c:v>9.4672035398230072</c:v>
                </c:pt>
                <c:pt idx="16">
                  <c:v>9.4672035398230072</c:v>
                </c:pt>
                <c:pt idx="17">
                  <c:v>9.4672035398230072</c:v>
                </c:pt>
                <c:pt idx="18">
                  <c:v>9.4672035398230072</c:v>
                </c:pt>
                <c:pt idx="19">
                  <c:v>9.4672035398230072</c:v>
                </c:pt>
                <c:pt idx="20">
                  <c:v>9.4672035398230072</c:v>
                </c:pt>
                <c:pt idx="21">
                  <c:v>9.4672035398230072</c:v>
                </c:pt>
                <c:pt idx="22">
                  <c:v>9.4672035398230072</c:v>
                </c:pt>
                <c:pt idx="23">
                  <c:v>9.4672035398230072</c:v>
                </c:pt>
                <c:pt idx="24">
                  <c:v>9.4672035398230072</c:v>
                </c:pt>
              </c:numCache>
            </c:numRef>
          </c:val>
          <c:smooth val="0"/>
          <c:extLst>
            <c:ext xmlns:c16="http://schemas.microsoft.com/office/drawing/2014/chart" uri="{C3380CC4-5D6E-409C-BE32-E72D297353CC}">
              <c16:uniqueId val="{00000004-8B55-E74A-9959-2638C1F57D82}"/>
            </c:ext>
          </c:extLst>
        </c:ser>
        <c:dLbls>
          <c:showLegendKey val="0"/>
          <c:showVal val="0"/>
          <c:showCatName val="0"/>
          <c:showSerName val="0"/>
          <c:showPercent val="0"/>
          <c:showBubbleSize val="0"/>
        </c:dLbls>
        <c:marker val="1"/>
        <c:smooth val="0"/>
        <c:axId val="1048929368"/>
        <c:axId val="1048932424"/>
      </c:lineChart>
      <c:catAx>
        <c:axId val="1048929368"/>
        <c:scaling>
          <c:orientation val="minMax"/>
        </c:scaling>
        <c:delete val="0"/>
        <c:axPos val="b"/>
        <c:majorTickMark val="none"/>
        <c:minorTickMark val="none"/>
        <c:tickLblPos val="nextTo"/>
        <c:crossAx val="1048932424"/>
        <c:crosses val="autoZero"/>
        <c:auto val="1"/>
        <c:lblAlgn val="ctr"/>
        <c:lblOffset val="100"/>
        <c:noMultiLvlLbl val="0"/>
      </c:catAx>
      <c:valAx>
        <c:axId val="1048932424"/>
        <c:scaling>
          <c:orientation val="minMax"/>
          <c:min val="4"/>
        </c:scaling>
        <c:delete val="0"/>
        <c:axPos val="l"/>
        <c:majorGridlines/>
        <c:numFmt formatCode="0.00" sourceLinked="1"/>
        <c:majorTickMark val="none"/>
        <c:minorTickMark val="none"/>
        <c:tickLblPos val="nextTo"/>
        <c:spPr>
          <a:ln w="9525">
            <a:noFill/>
          </a:ln>
        </c:spPr>
        <c:crossAx val="1048929368"/>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 de Individuales Método 2</a:t>
            </a:r>
          </a:p>
        </c:rich>
      </c:tx>
      <c:overlay val="0"/>
    </c:title>
    <c:autoTitleDeleted val="0"/>
    <c:plotArea>
      <c:layout/>
      <c:lineChart>
        <c:grouping val="standard"/>
        <c:varyColors val="0"/>
        <c:ser>
          <c:idx val="0"/>
          <c:order val="0"/>
          <c:tx>
            <c:strRef>
              <c:f>'9'!$C$42</c:f>
              <c:strCache>
                <c:ptCount val="1"/>
                <c:pt idx="0">
                  <c:v>Horas</c:v>
                </c:pt>
              </c:strCache>
            </c:strRef>
          </c:tx>
          <c:val>
            <c:numRef>
              <c:f>'9'!$C$43:$C$67</c:f>
              <c:numCache>
                <c:formatCode>0.00</c:formatCode>
                <c:ptCount val="25"/>
                <c:pt idx="0">
                  <c:v>7.6</c:v>
                </c:pt>
                <c:pt idx="1">
                  <c:v>8</c:v>
                </c:pt>
                <c:pt idx="2">
                  <c:v>7.2</c:v>
                </c:pt>
                <c:pt idx="3">
                  <c:v>9.1999999999999993</c:v>
                </c:pt>
                <c:pt idx="4">
                  <c:v>7.7</c:v>
                </c:pt>
                <c:pt idx="5">
                  <c:v>7.2</c:v>
                </c:pt>
                <c:pt idx="6">
                  <c:v>7.1</c:v>
                </c:pt>
                <c:pt idx="7">
                  <c:v>8.1</c:v>
                </c:pt>
                <c:pt idx="8">
                  <c:v>6.4</c:v>
                </c:pt>
                <c:pt idx="9">
                  <c:v>6.3</c:v>
                </c:pt>
                <c:pt idx="10">
                  <c:v>8.1999999999999993</c:v>
                </c:pt>
                <c:pt idx="11">
                  <c:v>8.4</c:v>
                </c:pt>
                <c:pt idx="12">
                  <c:v>7.4</c:v>
                </c:pt>
                <c:pt idx="13">
                  <c:v>6.5</c:v>
                </c:pt>
                <c:pt idx="14">
                  <c:v>7.7</c:v>
                </c:pt>
                <c:pt idx="15">
                  <c:v>7.4</c:v>
                </c:pt>
                <c:pt idx="16">
                  <c:v>6.8</c:v>
                </c:pt>
                <c:pt idx="17">
                  <c:v>6.2</c:v>
                </c:pt>
                <c:pt idx="18">
                  <c:v>7.3</c:v>
                </c:pt>
                <c:pt idx="19">
                  <c:v>6.9</c:v>
                </c:pt>
                <c:pt idx="20">
                  <c:v>7</c:v>
                </c:pt>
                <c:pt idx="21">
                  <c:v>6.9</c:v>
                </c:pt>
                <c:pt idx="22">
                  <c:v>8.4</c:v>
                </c:pt>
                <c:pt idx="23">
                  <c:v>7</c:v>
                </c:pt>
                <c:pt idx="24">
                  <c:v>7.4</c:v>
                </c:pt>
              </c:numCache>
            </c:numRef>
          </c:val>
          <c:smooth val="0"/>
          <c:extLst>
            <c:ext xmlns:c16="http://schemas.microsoft.com/office/drawing/2014/chart" uri="{C3380CC4-5D6E-409C-BE32-E72D297353CC}">
              <c16:uniqueId val="{00000000-7E8F-3549-84ED-582EC706CFAB}"/>
            </c:ext>
          </c:extLst>
        </c:ser>
        <c:ser>
          <c:idx val="2"/>
          <c:order val="1"/>
          <c:tx>
            <c:strRef>
              <c:f>'9'!$E$42</c:f>
              <c:strCache>
                <c:ptCount val="1"/>
              </c:strCache>
            </c:strRef>
          </c:tx>
          <c:val>
            <c:numRef>
              <c:f>'9'!$E$43:$E$67</c:f>
              <c:numCache>
                <c:formatCode>General</c:formatCode>
                <c:ptCount val="25"/>
              </c:numCache>
            </c:numRef>
          </c:val>
          <c:smooth val="0"/>
          <c:extLst>
            <c:ext xmlns:c16="http://schemas.microsoft.com/office/drawing/2014/chart" uri="{C3380CC4-5D6E-409C-BE32-E72D297353CC}">
              <c16:uniqueId val="{00000001-7E8F-3549-84ED-582EC706CFAB}"/>
            </c:ext>
          </c:extLst>
        </c:ser>
        <c:ser>
          <c:idx val="3"/>
          <c:order val="2"/>
          <c:tx>
            <c:strRef>
              <c:f>'9'!$F$42</c:f>
              <c:strCache>
                <c:ptCount val="1"/>
                <c:pt idx="0">
                  <c:v>LCL</c:v>
                </c:pt>
              </c:strCache>
            </c:strRef>
          </c:tx>
          <c:val>
            <c:numRef>
              <c:f>'9'!$F$43:$F$67</c:f>
              <c:numCache>
                <c:formatCode>0.0</c:formatCode>
                <c:ptCount val="25"/>
                <c:pt idx="0">
                  <c:v>5.3255398230088522</c:v>
                </c:pt>
                <c:pt idx="1">
                  <c:v>5.3255398230088522</c:v>
                </c:pt>
                <c:pt idx="2">
                  <c:v>5.3255398230088522</c:v>
                </c:pt>
                <c:pt idx="3">
                  <c:v>5.3255398230088522</c:v>
                </c:pt>
                <c:pt idx="4">
                  <c:v>5.3255398230088522</c:v>
                </c:pt>
                <c:pt idx="5">
                  <c:v>5.3255398230088522</c:v>
                </c:pt>
                <c:pt idx="6">
                  <c:v>5.3255398230088522</c:v>
                </c:pt>
                <c:pt idx="7">
                  <c:v>5.3255398230088522</c:v>
                </c:pt>
                <c:pt idx="8">
                  <c:v>5.3255398230088522</c:v>
                </c:pt>
                <c:pt idx="9">
                  <c:v>5.3255398230088522</c:v>
                </c:pt>
                <c:pt idx="10">
                  <c:v>5.3255398230088522</c:v>
                </c:pt>
                <c:pt idx="11">
                  <c:v>5.3255398230088522</c:v>
                </c:pt>
                <c:pt idx="12">
                  <c:v>5.3255398230088522</c:v>
                </c:pt>
                <c:pt idx="13">
                  <c:v>5.3255398230088522</c:v>
                </c:pt>
                <c:pt idx="14">
                  <c:v>5.3255398230088522</c:v>
                </c:pt>
                <c:pt idx="15">
                  <c:v>5.3255398230088522</c:v>
                </c:pt>
                <c:pt idx="16">
                  <c:v>5.3255398230088522</c:v>
                </c:pt>
                <c:pt idx="17">
                  <c:v>5.3255398230088522</c:v>
                </c:pt>
                <c:pt idx="18">
                  <c:v>5.3255398230088522</c:v>
                </c:pt>
                <c:pt idx="19">
                  <c:v>5.3255398230088522</c:v>
                </c:pt>
                <c:pt idx="20">
                  <c:v>5.3255398230088522</c:v>
                </c:pt>
                <c:pt idx="21">
                  <c:v>5.3255398230088522</c:v>
                </c:pt>
                <c:pt idx="22">
                  <c:v>5.3255398230088522</c:v>
                </c:pt>
                <c:pt idx="23">
                  <c:v>5.3255398230088522</c:v>
                </c:pt>
                <c:pt idx="24">
                  <c:v>5.3255398230088522</c:v>
                </c:pt>
              </c:numCache>
            </c:numRef>
          </c:val>
          <c:smooth val="0"/>
          <c:extLst>
            <c:ext xmlns:c16="http://schemas.microsoft.com/office/drawing/2014/chart" uri="{C3380CC4-5D6E-409C-BE32-E72D297353CC}">
              <c16:uniqueId val="{00000002-7E8F-3549-84ED-582EC706CFAB}"/>
            </c:ext>
          </c:extLst>
        </c:ser>
        <c:ser>
          <c:idx val="4"/>
          <c:order val="3"/>
          <c:tx>
            <c:strRef>
              <c:f>'9'!$G$42</c:f>
              <c:strCache>
                <c:ptCount val="1"/>
                <c:pt idx="0">
                  <c:v>CCL</c:v>
                </c:pt>
              </c:strCache>
            </c:strRef>
          </c:tx>
          <c:val>
            <c:numRef>
              <c:f>'9'!$G$43:$G$67</c:f>
              <c:numCache>
                <c:formatCode>0.0</c:formatCode>
                <c:ptCount val="25"/>
                <c:pt idx="0">
                  <c:v>7.3720000000000026</c:v>
                </c:pt>
                <c:pt idx="1">
                  <c:v>7.3720000000000026</c:v>
                </c:pt>
                <c:pt idx="2">
                  <c:v>7.3720000000000026</c:v>
                </c:pt>
                <c:pt idx="3">
                  <c:v>7.3720000000000026</c:v>
                </c:pt>
                <c:pt idx="4">
                  <c:v>7.3720000000000026</c:v>
                </c:pt>
                <c:pt idx="5">
                  <c:v>7.3720000000000026</c:v>
                </c:pt>
                <c:pt idx="6">
                  <c:v>7.3720000000000026</c:v>
                </c:pt>
                <c:pt idx="7">
                  <c:v>7.3720000000000026</c:v>
                </c:pt>
                <c:pt idx="8">
                  <c:v>7.3720000000000026</c:v>
                </c:pt>
                <c:pt idx="9">
                  <c:v>7.3720000000000026</c:v>
                </c:pt>
                <c:pt idx="10">
                  <c:v>7.3720000000000026</c:v>
                </c:pt>
                <c:pt idx="11">
                  <c:v>7.3720000000000026</c:v>
                </c:pt>
                <c:pt idx="12">
                  <c:v>7.3720000000000026</c:v>
                </c:pt>
                <c:pt idx="13">
                  <c:v>7.3720000000000026</c:v>
                </c:pt>
                <c:pt idx="14">
                  <c:v>7.3720000000000026</c:v>
                </c:pt>
                <c:pt idx="15">
                  <c:v>7.3720000000000026</c:v>
                </c:pt>
                <c:pt idx="16">
                  <c:v>7.3720000000000026</c:v>
                </c:pt>
                <c:pt idx="17">
                  <c:v>7.3720000000000026</c:v>
                </c:pt>
                <c:pt idx="18">
                  <c:v>7.3720000000000026</c:v>
                </c:pt>
                <c:pt idx="19">
                  <c:v>7.3720000000000026</c:v>
                </c:pt>
                <c:pt idx="20">
                  <c:v>7.3720000000000026</c:v>
                </c:pt>
                <c:pt idx="21">
                  <c:v>7.3720000000000026</c:v>
                </c:pt>
                <c:pt idx="22">
                  <c:v>7.3720000000000026</c:v>
                </c:pt>
                <c:pt idx="23">
                  <c:v>7.3720000000000026</c:v>
                </c:pt>
                <c:pt idx="24">
                  <c:v>7.3720000000000026</c:v>
                </c:pt>
              </c:numCache>
            </c:numRef>
          </c:val>
          <c:smooth val="0"/>
          <c:extLst>
            <c:ext xmlns:c16="http://schemas.microsoft.com/office/drawing/2014/chart" uri="{C3380CC4-5D6E-409C-BE32-E72D297353CC}">
              <c16:uniqueId val="{00000003-7E8F-3549-84ED-582EC706CFAB}"/>
            </c:ext>
          </c:extLst>
        </c:ser>
        <c:ser>
          <c:idx val="5"/>
          <c:order val="4"/>
          <c:tx>
            <c:strRef>
              <c:f>'9'!$H$42</c:f>
              <c:strCache>
                <c:ptCount val="1"/>
                <c:pt idx="0">
                  <c:v>UCL</c:v>
                </c:pt>
              </c:strCache>
            </c:strRef>
          </c:tx>
          <c:val>
            <c:numRef>
              <c:f>'9'!$H$43:$H$67</c:f>
              <c:numCache>
                <c:formatCode>0.0</c:formatCode>
                <c:ptCount val="25"/>
                <c:pt idx="0">
                  <c:v>9.4184601769911538</c:v>
                </c:pt>
                <c:pt idx="1">
                  <c:v>9.4184601769911538</c:v>
                </c:pt>
                <c:pt idx="2">
                  <c:v>9.4184601769911538</c:v>
                </c:pt>
                <c:pt idx="3">
                  <c:v>9.4184601769911538</c:v>
                </c:pt>
                <c:pt idx="4">
                  <c:v>9.4184601769911538</c:v>
                </c:pt>
                <c:pt idx="5">
                  <c:v>9.4184601769911538</c:v>
                </c:pt>
                <c:pt idx="6">
                  <c:v>9.4184601769911538</c:v>
                </c:pt>
                <c:pt idx="7">
                  <c:v>9.4184601769911538</c:v>
                </c:pt>
                <c:pt idx="8">
                  <c:v>9.4184601769911538</c:v>
                </c:pt>
                <c:pt idx="9">
                  <c:v>9.4184601769911538</c:v>
                </c:pt>
                <c:pt idx="10">
                  <c:v>9.4184601769911538</c:v>
                </c:pt>
                <c:pt idx="11">
                  <c:v>9.4184601769911538</c:v>
                </c:pt>
                <c:pt idx="12">
                  <c:v>9.4184601769911538</c:v>
                </c:pt>
                <c:pt idx="13">
                  <c:v>9.4184601769911538</c:v>
                </c:pt>
                <c:pt idx="14">
                  <c:v>9.4184601769911538</c:v>
                </c:pt>
                <c:pt idx="15">
                  <c:v>9.4184601769911538</c:v>
                </c:pt>
                <c:pt idx="16">
                  <c:v>9.4184601769911538</c:v>
                </c:pt>
                <c:pt idx="17">
                  <c:v>9.4184601769911538</c:v>
                </c:pt>
                <c:pt idx="18">
                  <c:v>9.4184601769911538</c:v>
                </c:pt>
                <c:pt idx="19">
                  <c:v>9.4184601769911538</c:v>
                </c:pt>
                <c:pt idx="20">
                  <c:v>9.4184601769911538</c:v>
                </c:pt>
                <c:pt idx="21">
                  <c:v>9.4184601769911538</c:v>
                </c:pt>
                <c:pt idx="22">
                  <c:v>9.4184601769911538</c:v>
                </c:pt>
                <c:pt idx="23">
                  <c:v>9.4184601769911538</c:v>
                </c:pt>
                <c:pt idx="24">
                  <c:v>9.4184601769911538</c:v>
                </c:pt>
              </c:numCache>
            </c:numRef>
          </c:val>
          <c:smooth val="0"/>
          <c:extLst>
            <c:ext xmlns:c16="http://schemas.microsoft.com/office/drawing/2014/chart" uri="{C3380CC4-5D6E-409C-BE32-E72D297353CC}">
              <c16:uniqueId val="{00000004-7E8F-3549-84ED-582EC706CFAB}"/>
            </c:ext>
          </c:extLst>
        </c:ser>
        <c:dLbls>
          <c:showLegendKey val="0"/>
          <c:showVal val="0"/>
          <c:showCatName val="0"/>
          <c:showSerName val="0"/>
          <c:showPercent val="0"/>
          <c:showBubbleSize val="0"/>
        </c:dLbls>
        <c:marker val="1"/>
        <c:smooth val="0"/>
        <c:axId val="1128719624"/>
        <c:axId val="1128722680"/>
      </c:lineChart>
      <c:catAx>
        <c:axId val="1128719624"/>
        <c:scaling>
          <c:orientation val="minMax"/>
        </c:scaling>
        <c:delete val="0"/>
        <c:axPos val="b"/>
        <c:majorTickMark val="none"/>
        <c:minorTickMark val="none"/>
        <c:tickLblPos val="nextTo"/>
        <c:crossAx val="1128722680"/>
        <c:crosses val="autoZero"/>
        <c:auto val="1"/>
        <c:lblAlgn val="ctr"/>
        <c:lblOffset val="100"/>
        <c:noMultiLvlLbl val="0"/>
      </c:catAx>
      <c:valAx>
        <c:axId val="1128722680"/>
        <c:scaling>
          <c:orientation val="minMax"/>
          <c:min val="4"/>
        </c:scaling>
        <c:delete val="0"/>
        <c:axPos val="l"/>
        <c:majorGridlines/>
        <c:numFmt formatCode="0.00" sourceLinked="1"/>
        <c:majorTickMark val="none"/>
        <c:minorTickMark val="none"/>
        <c:tickLblPos val="nextTo"/>
        <c:spPr>
          <a:ln w="9525">
            <a:noFill/>
          </a:ln>
        </c:spPr>
        <c:crossAx val="1128719624"/>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 de Individuales Método 3</a:t>
            </a:r>
          </a:p>
        </c:rich>
      </c:tx>
      <c:overlay val="0"/>
    </c:title>
    <c:autoTitleDeleted val="0"/>
    <c:plotArea>
      <c:layout/>
      <c:lineChart>
        <c:grouping val="standard"/>
        <c:varyColors val="0"/>
        <c:ser>
          <c:idx val="0"/>
          <c:order val="0"/>
          <c:tx>
            <c:strRef>
              <c:f>'9'!$C$77</c:f>
              <c:strCache>
                <c:ptCount val="1"/>
                <c:pt idx="0">
                  <c:v>Horas</c:v>
                </c:pt>
              </c:strCache>
            </c:strRef>
          </c:tx>
          <c:val>
            <c:numRef>
              <c:f>'9'!$C$78:$C$102</c:f>
              <c:numCache>
                <c:formatCode>0.00</c:formatCode>
                <c:ptCount val="25"/>
                <c:pt idx="0">
                  <c:v>7.5</c:v>
                </c:pt>
                <c:pt idx="1">
                  <c:v>6.9</c:v>
                </c:pt>
                <c:pt idx="2">
                  <c:v>7.3</c:v>
                </c:pt>
                <c:pt idx="3">
                  <c:v>7</c:v>
                </c:pt>
                <c:pt idx="4">
                  <c:v>6.8</c:v>
                </c:pt>
                <c:pt idx="5">
                  <c:v>7.6</c:v>
                </c:pt>
                <c:pt idx="6">
                  <c:v>7</c:v>
                </c:pt>
                <c:pt idx="7">
                  <c:v>7.05</c:v>
                </c:pt>
                <c:pt idx="8">
                  <c:v>7.3</c:v>
                </c:pt>
                <c:pt idx="9">
                  <c:v>7.5</c:v>
                </c:pt>
                <c:pt idx="10">
                  <c:v>6.3</c:v>
                </c:pt>
                <c:pt idx="11">
                  <c:v>7.1</c:v>
                </c:pt>
                <c:pt idx="12">
                  <c:v>6.9</c:v>
                </c:pt>
                <c:pt idx="13">
                  <c:v>7.5</c:v>
                </c:pt>
                <c:pt idx="14">
                  <c:v>6.5</c:v>
                </c:pt>
                <c:pt idx="15">
                  <c:v>6.3</c:v>
                </c:pt>
                <c:pt idx="16">
                  <c:v>7</c:v>
                </c:pt>
                <c:pt idx="17">
                  <c:v>6.8</c:v>
                </c:pt>
                <c:pt idx="18">
                  <c:v>6.9</c:v>
                </c:pt>
                <c:pt idx="19">
                  <c:v>6.2</c:v>
                </c:pt>
                <c:pt idx="20">
                  <c:v>6.5</c:v>
                </c:pt>
                <c:pt idx="21">
                  <c:v>6.2</c:v>
                </c:pt>
                <c:pt idx="22">
                  <c:v>6</c:v>
                </c:pt>
                <c:pt idx="23">
                  <c:v>5.9</c:v>
                </c:pt>
                <c:pt idx="24">
                  <c:v>6</c:v>
                </c:pt>
              </c:numCache>
            </c:numRef>
          </c:val>
          <c:smooth val="0"/>
          <c:extLst>
            <c:ext xmlns:c16="http://schemas.microsoft.com/office/drawing/2014/chart" uri="{C3380CC4-5D6E-409C-BE32-E72D297353CC}">
              <c16:uniqueId val="{00000000-0372-4045-9F16-8F950606BA0A}"/>
            </c:ext>
          </c:extLst>
        </c:ser>
        <c:ser>
          <c:idx val="2"/>
          <c:order val="1"/>
          <c:tx>
            <c:strRef>
              <c:f>'9'!$E$77</c:f>
              <c:strCache>
                <c:ptCount val="1"/>
              </c:strCache>
            </c:strRef>
          </c:tx>
          <c:val>
            <c:numRef>
              <c:f>'9'!$E$78:$E$102</c:f>
              <c:numCache>
                <c:formatCode>General</c:formatCode>
                <c:ptCount val="25"/>
              </c:numCache>
            </c:numRef>
          </c:val>
          <c:smooth val="0"/>
          <c:extLst>
            <c:ext xmlns:c16="http://schemas.microsoft.com/office/drawing/2014/chart" uri="{C3380CC4-5D6E-409C-BE32-E72D297353CC}">
              <c16:uniqueId val="{00000001-0372-4045-9F16-8F950606BA0A}"/>
            </c:ext>
          </c:extLst>
        </c:ser>
        <c:ser>
          <c:idx val="3"/>
          <c:order val="2"/>
          <c:tx>
            <c:strRef>
              <c:f>'9'!$F$77</c:f>
              <c:strCache>
                <c:ptCount val="1"/>
                <c:pt idx="0">
                  <c:v>LCL</c:v>
                </c:pt>
              </c:strCache>
            </c:strRef>
          </c:tx>
          <c:val>
            <c:numRef>
              <c:f>'9'!$F$78:$F$102</c:f>
              <c:numCache>
                <c:formatCode>0.0</c:formatCode>
                <c:ptCount val="25"/>
                <c:pt idx="0">
                  <c:v>5.6626194690265486</c:v>
                </c:pt>
                <c:pt idx="1">
                  <c:v>5.6626194690265486</c:v>
                </c:pt>
                <c:pt idx="2">
                  <c:v>5.6626194690265486</c:v>
                </c:pt>
                <c:pt idx="3">
                  <c:v>5.6626194690265486</c:v>
                </c:pt>
                <c:pt idx="4">
                  <c:v>5.6626194690265486</c:v>
                </c:pt>
                <c:pt idx="5">
                  <c:v>5.6626194690265486</c:v>
                </c:pt>
                <c:pt idx="6">
                  <c:v>5.6626194690265486</c:v>
                </c:pt>
                <c:pt idx="7">
                  <c:v>5.6626194690265486</c:v>
                </c:pt>
                <c:pt idx="8">
                  <c:v>5.6626194690265486</c:v>
                </c:pt>
                <c:pt idx="9">
                  <c:v>5.6626194690265486</c:v>
                </c:pt>
                <c:pt idx="10">
                  <c:v>5.6626194690265486</c:v>
                </c:pt>
                <c:pt idx="11">
                  <c:v>5.6626194690265486</c:v>
                </c:pt>
                <c:pt idx="12">
                  <c:v>5.6626194690265486</c:v>
                </c:pt>
                <c:pt idx="13">
                  <c:v>5.6626194690265486</c:v>
                </c:pt>
                <c:pt idx="14">
                  <c:v>5.6626194690265486</c:v>
                </c:pt>
                <c:pt idx="15">
                  <c:v>5.6626194690265486</c:v>
                </c:pt>
                <c:pt idx="16">
                  <c:v>5.6626194690265486</c:v>
                </c:pt>
                <c:pt idx="17">
                  <c:v>5.6626194690265486</c:v>
                </c:pt>
                <c:pt idx="18">
                  <c:v>5.6626194690265486</c:v>
                </c:pt>
                <c:pt idx="19">
                  <c:v>5.6626194690265486</c:v>
                </c:pt>
                <c:pt idx="20">
                  <c:v>5.6626194690265486</c:v>
                </c:pt>
                <c:pt idx="21">
                  <c:v>5.6626194690265486</c:v>
                </c:pt>
                <c:pt idx="22">
                  <c:v>5.6626194690265486</c:v>
                </c:pt>
                <c:pt idx="23">
                  <c:v>5.6626194690265486</c:v>
                </c:pt>
                <c:pt idx="24">
                  <c:v>5.6626194690265486</c:v>
                </c:pt>
              </c:numCache>
            </c:numRef>
          </c:val>
          <c:smooth val="0"/>
          <c:extLst>
            <c:ext xmlns:c16="http://schemas.microsoft.com/office/drawing/2014/chart" uri="{C3380CC4-5D6E-409C-BE32-E72D297353CC}">
              <c16:uniqueId val="{00000002-0372-4045-9F16-8F950606BA0A}"/>
            </c:ext>
          </c:extLst>
        </c:ser>
        <c:ser>
          <c:idx val="4"/>
          <c:order val="3"/>
          <c:tx>
            <c:strRef>
              <c:f>'9'!$G$77</c:f>
              <c:strCache>
                <c:ptCount val="1"/>
                <c:pt idx="0">
                  <c:v>CCL</c:v>
                </c:pt>
              </c:strCache>
            </c:strRef>
          </c:tx>
          <c:val>
            <c:numRef>
              <c:f>'9'!$G$78:$G$102</c:f>
              <c:numCache>
                <c:formatCode>0.0</c:formatCode>
                <c:ptCount val="25"/>
                <c:pt idx="0">
                  <c:v>6.8019999999999996</c:v>
                </c:pt>
                <c:pt idx="1">
                  <c:v>6.8019999999999996</c:v>
                </c:pt>
                <c:pt idx="2">
                  <c:v>6.8019999999999996</c:v>
                </c:pt>
                <c:pt idx="3">
                  <c:v>6.8019999999999996</c:v>
                </c:pt>
                <c:pt idx="4">
                  <c:v>6.8019999999999996</c:v>
                </c:pt>
                <c:pt idx="5">
                  <c:v>6.8019999999999996</c:v>
                </c:pt>
                <c:pt idx="6">
                  <c:v>6.8019999999999996</c:v>
                </c:pt>
                <c:pt idx="7">
                  <c:v>6.8019999999999996</c:v>
                </c:pt>
                <c:pt idx="8">
                  <c:v>6.8019999999999996</c:v>
                </c:pt>
                <c:pt idx="9">
                  <c:v>6.8019999999999996</c:v>
                </c:pt>
                <c:pt idx="10">
                  <c:v>6.8019999999999996</c:v>
                </c:pt>
                <c:pt idx="11">
                  <c:v>6.8019999999999996</c:v>
                </c:pt>
                <c:pt idx="12">
                  <c:v>6.8019999999999996</c:v>
                </c:pt>
                <c:pt idx="13">
                  <c:v>6.8019999999999996</c:v>
                </c:pt>
                <c:pt idx="14">
                  <c:v>6.8019999999999996</c:v>
                </c:pt>
                <c:pt idx="15">
                  <c:v>6.8019999999999996</c:v>
                </c:pt>
                <c:pt idx="16">
                  <c:v>6.8019999999999996</c:v>
                </c:pt>
                <c:pt idx="17">
                  <c:v>6.8019999999999996</c:v>
                </c:pt>
                <c:pt idx="18">
                  <c:v>6.8019999999999996</c:v>
                </c:pt>
                <c:pt idx="19">
                  <c:v>6.8019999999999996</c:v>
                </c:pt>
                <c:pt idx="20">
                  <c:v>6.8019999999999996</c:v>
                </c:pt>
                <c:pt idx="21">
                  <c:v>6.8019999999999996</c:v>
                </c:pt>
                <c:pt idx="22">
                  <c:v>6.8019999999999996</c:v>
                </c:pt>
                <c:pt idx="23">
                  <c:v>6.8019999999999996</c:v>
                </c:pt>
                <c:pt idx="24">
                  <c:v>6.8019999999999996</c:v>
                </c:pt>
              </c:numCache>
            </c:numRef>
          </c:val>
          <c:smooth val="0"/>
          <c:extLst>
            <c:ext xmlns:c16="http://schemas.microsoft.com/office/drawing/2014/chart" uri="{C3380CC4-5D6E-409C-BE32-E72D297353CC}">
              <c16:uniqueId val="{00000003-0372-4045-9F16-8F950606BA0A}"/>
            </c:ext>
          </c:extLst>
        </c:ser>
        <c:ser>
          <c:idx val="5"/>
          <c:order val="4"/>
          <c:tx>
            <c:strRef>
              <c:f>'9'!$H$77</c:f>
              <c:strCache>
                <c:ptCount val="1"/>
                <c:pt idx="0">
                  <c:v>UCL</c:v>
                </c:pt>
              </c:strCache>
            </c:strRef>
          </c:tx>
          <c:val>
            <c:numRef>
              <c:f>'9'!$H$78:$H$102</c:f>
              <c:numCache>
                <c:formatCode>0.0</c:formatCode>
                <c:ptCount val="25"/>
                <c:pt idx="0">
                  <c:v>7.9413805309734506</c:v>
                </c:pt>
                <c:pt idx="1">
                  <c:v>7.9413805309734506</c:v>
                </c:pt>
                <c:pt idx="2">
                  <c:v>7.9413805309734506</c:v>
                </c:pt>
                <c:pt idx="3">
                  <c:v>7.9413805309734506</c:v>
                </c:pt>
                <c:pt idx="4">
                  <c:v>7.9413805309734506</c:v>
                </c:pt>
                <c:pt idx="5">
                  <c:v>7.9413805309734506</c:v>
                </c:pt>
                <c:pt idx="6">
                  <c:v>7.9413805309734506</c:v>
                </c:pt>
                <c:pt idx="7">
                  <c:v>7.9413805309734506</c:v>
                </c:pt>
                <c:pt idx="8">
                  <c:v>7.9413805309734506</c:v>
                </c:pt>
                <c:pt idx="9">
                  <c:v>7.9413805309734506</c:v>
                </c:pt>
                <c:pt idx="10">
                  <c:v>7.9413805309734506</c:v>
                </c:pt>
                <c:pt idx="11">
                  <c:v>7.9413805309734506</c:v>
                </c:pt>
                <c:pt idx="12">
                  <c:v>7.9413805309734506</c:v>
                </c:pt>
                <c:pt idx="13">
                  <c:v>7.9413805309734506</c:v>
                </c:pt>
                <c:pt idx="14">
                  <c:v>7.9413805309734506</c:v>
                </c:pt>
                <c:pt idx="15">
                  <c:v>7.9413805309734506</c:v>
                </c:pt>
                <c:pt idx="16">
                  <c:v>7.9413805309734506</c:v>
                </c:pt>
                <c:pt idx="17">
                  <c:v>7.9413805309734506</c:v>
                </c:pt>
                <c:pt idx="18">
                  <c:v>7.9413805309734506</c:v>
                </c:pt>
                <c:pt idx="19">
                  <c:v>7.9413805309734506</c:v>
                </c:pt>
                <c:pt idx="20">
                  <c:v>7.9413805309734506</c:v>
                </c:pt>
                <c:pt idx="21">
                  <c:v>7.9413805309734506</c:v>
                </c:pt>
                <c:pt idx="22">
                  <c:v>7.9413805309734506</c:v>
                </c:pt>
                <c:pt idx="23">
                  <c:v>7.9413805309734506</c:v>
                </c:pt>
                <c:pt idx="24">
                  <c:v>7.9413805309734506</c:v>
                </c:pt>
              </c:numCache>
            </c:numRef>
          </c:val>
          <c:smooth val="0"/>
          <c:extLst>
            <c:ext xmlns:c16="http://schemas.microsoft.com/office/drawing/2014/chart" uri="{C3380CC4-5D6E-409C-BE32-E72D297353CC}">
              <c16:uniqueId val="{00000004-0372-4045-9F16-8F950606BA0A}"/>
            </c:ext>
          </c:extLst>
        </c:ser>
        <c:dLbls>
          <c:showLegendKey val="0"/>
          <c:showVal val="0"/>
          <c:showCatName val="0"/>
          <c:showSerName val="0"/>
          <c:showPercent val="0"/>
          <c:showBubbleSize val="0"/>
        </c:dLbls>
        <c:marker val="1"/>
        <c:smooth val="0"/>
        <c:axId val="1127970472"/>
        <c:axId val="1050951352"/>
      </c:lineChart>
      <c:catAx>
        <c:axId val="1127970472"/>
        <c:scaling>
          <c:orientation val="minMax"/>
        </c:scaling>
        <c:delete val="0"/>
        <c:axPos val="b"/>
        <c:majorTickMark val="none"/>
        <c:minorTickMark val="none"/>
        <c:tickLblPos val="nextTo"/>
        <c:crossAx val="1050951352"/>
        <c:crosses val="autoZero"/>
        <c:auto val="1"/>
        <c:lblAlgn val="ctr"/>
        <c:lblOffset val="100"/>
        <c:noMultiLvlLbl val="0"/>
      </c:catAx>
      <c:valAx>
        <c:axId val="1050951352"/>
        <c:scaling>
          <c:orientation val="minMax"/>
          <c:min val="5"/>
        </c:scaling>
        <c:delete val="0"/>
        <c:axPos val="l"/>
        <c:majorGridlines/>
        <c:numFmt formatCode="0.00" sourceLinked="1"/>
        <c:majorTickMark val="none"/>
        <c:minorTickMark val="none"/>
        <c:tickLblPos val="nextTo"/>
        <c:spPr>
          <a:ln w="9525">
            <a:noFill/>
          </a:ln>
        </c:spPr>
        <c:crossAx val="1127970472"/>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 c</a:t>
            </a:r>
          </a:p>
        </c:rich>
      </c:tx>
      <c:overlay val="0"/>
    </c:title>
    <c:autoTitleDeleted val="0"/>
    <c:plotArea>
      <c:layout/>
      <c:lineChart>
        <c:grouping val="standard"/>
        <c:varyColors val="0"/>
        <c:ser>
          <c:idx val="0"/>
          <c:order val="0"/>
          <c:tx>
            <c:strRef>
              <c:f>'10'!$C$2</c:f>
              <c:strCache>
                <c:ptCount val="1"/>
                <c:pt idx="0">
                  <c:v># defectos</c:v>
                </c:pt>
              </c:strCache>
            </c:strRef>
          </c:tx>
          <c:marker>
            <c:symbol val="none"/>
          </c:marker>
          <c:val>
            <c:numRef>
              <c:f>'10'!$C$3:$C$22</c:f>
              <c:numCache>
                <c:formatCode>General</c:formatCode>
                <c:ptCount val="20"/>
                <c:pt idx="0">
                  <c:v>3</c:v>
                </c:pt>
                <c:pt idx="1">
                  <c:v>3</c:v>
                </c:pt>
                <c:pt idx="2">
                  <c:v>6</c:v>
                </c:pt>
                <c:pt idx="3">
                  <c:v>3</c:v>
                </c:pt>
                <c:pt idx="4">
                  <c:v>1</c:v>
                </c:pt>
                <c:pt idx="5">
                  <c:v>1</c:v>
                </c:pt>
                <c:pt idx="6">
                  <c:v>3</c:v>
                </c:pt>
                <c:pt idx="7">
                  <c:v>5</c:v>
                </c:pt>
                <c:pt idx="8">
                  <c:v>7</c:v>
                </c:pt>
                <c:pt idx="9">
                  <c:v>8</c:v>
                </c:pt>
                <c:pt idx="10">
                  <c:v>4</c:v>
                </c:pt>
                <c:pt idx="11">
                  <c:v>10</c:v>
                </c:pt>
                <c:pt idx="12">
                  <c:v>5</c:v>
                </c:pt>
                <c:pt idx="13">
                  <c:v>4</c:v>
                </c:pt>
                <c:pt idx="14">
                  <c:v>3</c:v>
                </c:pt>
                <c:pt idx="15">
                  <c:v>1</c:v>
                </c:pt>
                <c:pt idx="16">
                  <c:v>5</c:v>
                </c:pt>
                <c:pt idx="17">
                  <c:v>4</c:v>
                </c:pt>
                <c:pt idx="18">
                  <c:v>1</c:v>
                </c:pt>
                <c:pt idx="19">
                  <c:v>3</c:v>
                </c:pt>
              </c:numCache>
            </c:numRef>
          </c:val>
          <c:smooth val="0"/>
          <c:extLst>
            <c:ext xmlns:c16="http://schemas.microsoft.com/office/drawing/2014/chart" uri="{C3380CC4-5D6E-409C-BE32-E72D297353CC}">
              <c16:uniqueId val="{00000000-F437-2549-8BDD-68E83007CB9D}"/>
            </c:ext>
          </c:extLst>
        </c:ser>
        <c:ser>
          <c:idx val="1"/>
          <c:order val="1"/>
          <c:tx>
            <c:strRef>
              <c:f>'10'!$D$2</c:f>
              <c:strCache>
                <c:ptCount val="1"/>
                <c:pt idx="0">
                  <c:v>LSC</c:v>
                </c:pt>
              </c:strCache>
            </c:strRef>
          </c:tx>
          <c:marker>
            <c:symbol val="none"/>
          </c:marker>
          <c:val>
            <c:numRef>
              <c:f>'10'!$D$3:$D$22</c:f>
              <c:numCache>
                <c:formatCode>General</c:formatCode>
                <c:ptCount val="2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numCache>
            </c:numRef>
          </c:val>
          <c:smooth val="0"/>
          <c:extLst>
            <c:ext xmlns:c16="http://schemas.microsoft.com/office/drawing/2014/chart" uri="{C3380CC4-5D6E-409C-BE32-E72D297353CC}">
              <c16:uniqueId val="{00000001-F437-2549-8BDD-68E83007CB9D}"/>
            </c:ext>
          </c:extLst>
        </c:ser>
        <c:ser>
          <c:idx val="2"/>
          <c:order val="2"/>
          <c:tx>
            <c:strRef>
              <c:f>'10'!$E$2</c:f>
              <c:strCache>
                <c:ptCount val="1"/>
                <c:pt idx="0">
                  <c:v>LCC</c:v>
                </c:pt>
              </c:strCache>
            </c:strRef>
          </c:tx>
          <c:marker>
            <c:symbol val="none"/>
          </c:marker>
          <c:val>
            <c:numRef>
              <c:f>'10'!$E$3:$E$22</c:f>
              <c:numCache>
                <c:formatCode>General</c:formatCode>
                <c:ptCount val="20"/>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numCache>
            </c:numRef>
          </c:val>
          <c:smooth val="0"/>
          <c:extLst>
            <c:ext xmlns:c16="http://schemas.microsoft.com/office/drawing/2014/chart" uri="{C3380CC4-5D6E-409C-BE32-E72D297353CC}">
              <c16:uniqueId val="{00000002-F437-2549-8BDD-68E83007CB9D}"/>
            </c:ext>
          </c:extLst>
        </c:ser>
        <c:ser>
          <c:idx val="3"/>
          <c:order val="3"/>
          <c:tx>
            <c:strRef>
              <c:f>'10'!$F$2</c:f>
              <c:strCache>
                <c:ptCount val="1"/>
                <c:pt idx="0">
                  <c:v>LIC</c:v>
                </c:pt>
              </c:strCache>
            </c:strRef>
          </c:tx>
          <c:marker>
            <c:symbol val="none"/>
          </c:marker>
          <c:val>
            <c:numRef>
              <c:f>'10'!$F$3:$F$22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3-F437-2549-8BDD-68E83007CB9D}"/>
            </c:ext>
          </c:extLst>
        </c:ser>
        <c:dLbls>
          <c:showLegendKey val="0"/>
          <c:showVal val="0"/>
          <c:showCatName val="0"/>
          <c:showSerName val="0"/>
          <c:showPercent val="0"/>
          <c:showBubbleSize val="0"/>
        </c:dLbls>
        <c:smooth val="0"/>
        <c:axId val="1130259848"/>
        <c:axId val="1130262968"/>
      </c:lineChart>
      <c:catAx>
        <c:axId val="1130259848"/>
        <c:scaling>
          <c:orientation val="minMax"/>
        </c:scaling>
        <c:delete val="0"/>
        <c:axPos val="b"/>
        <c:majorTickMark val="out"/>
        <c:minorTickMark val="none"/>
        <c:tickLblPos val="nextTo"/>
        <c:crossAx val="1130262968"/>
        <c:crosses val="autoZero"/>
        <c:auto val="1"/>
        <c:lblAlgn val="ctr"/>
        <c:lblOffset val="100"/>
        <c:noMultiLvlLbl val="0"/>
      </c:catAx>
      <c:valAx>
        <c:axId val="1130262968"/>
        <c:scaling>
          <c:orientation val="minMax"/>
        </c:scaling>
        <c:delete val="0"/>
        <c:axPos val="l"/>
        <c:majorGridlines/>
        <c:numFmt formatCode="General" sourceLinked="1"/>
        <c:majorTickMark val="out"/>
        <c:minorTickMark val="none"/>
        <c:tickLblPos val="nextTo"/>
        <c:crossAx val="113025984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 u</a:t>
            </a:r>
          </a:p>
        </c:rich>
      </c:tx>
      <c:overlay val="0"/>
    </c:title>
    <c:autoTitleDeleted val="0"/>
    <c:plotArea>
      <c:layout/>
      <c:lineChart>
        <c:grouping val="standard"/>
        <c:varyColors val="0"/>
        <c:ser>
          <c:idx val="0"/>
          <c:order val="0"/>
          <c:tx>
            <c:strRef>
              <c:f>'10'!$G$2</c:f>
              <c:strCache>
                <c:ptCount val="1"/>
                <c:pt idx="0">
                  <c:v>u</c:v>
                </c:pt>
              </c:strCache>
            </c:strRef>
          </c:tx>
          <c:marker>
            <c:symbol val="none"/>
          </c:marker>
          <c:val>
            <c:numRef>
              <c:f>'10'!$G$3:$G$22</c:f>
              <c:numCache>
                <c:formatCode>General</c:formatCode>
                <c:ptCount val="20"/>
                <c:pt idx="0">
                  <c:v>0.06</c:v>
                </c:pt>
                <c:pt idx="1">
                  <c:v>0.06</c:v>
                </c:pt>
                <c:pt idx="2">
                  <c:v>0.12</c:v>
                </c:pt>
                <c:pt idx="3">
                  <c:v>0.06</c:v>
                </c:pt>
                <c:pt idx="4">
                  <c:v>0.02</c:v>
                </c:pt>
                <c:pt idx="5">
                  <c:v>0.02</c:v>
                </c:pt>
                <c:pt idx="6">
                  <c:v>0.06</c:v>
                </c:pt>
                <c:pt idx="7">
                  <c:v>0.1</c:v>
                </c:pt>
                <c:pt idx="8">
                  <c:v>0.14000000000000001</c:v>
                </c:pt>
                <c:pt idx="9">
                  <c:v>0.16</c:v>
                </c:pt>
                <c:pt idx="10">
                  <c:v>0.08</c:v>
                </c:pt>
                <c:pt idx="11">
                  <c:v>0.2</c:v>
                </c:pt>
                <c:pt idx="12">
                  <c:v>0.1</c:v>
                </c:pt>
                <c:pt idx="13">
                  <c:v>0.08</c:v>
                </c:pt>
                <c:pt idx="14">
                  <c:v>0.06</c:v>
                </c:pt>
                <c:pt idx="15">
                  <c:v>0.02</c:v>
                </c:pt>
                <c:pt idx="16">
                  <c:v>0.1</c:v>
                </c:pt>
                <c:pt idx="17">
                  <c:v>0.08</c:v>
                </c:pt>
                <c:pt idx="18">
                  <c:v>0.02</c:v>
                </c:pt>
                <c:pt idx="19">
                  <c:v>0.06</c:v>
                </c:pt>
              </c:numCache>
            </c:numRef>
          </c:val>
          <c:smooth val="0"/>
          <c:extLst>
            <c:ext xmlns:c16="http://schemas.microsoft.com/office/drawing/2014/chart" uri="{C3380CC4-5D6E-409C-BE32-E72D297353CC}">
              <c16:uniqueId val="{00000000-7C34-8843-A57E-5B0B4930F83D}"/>
            </c:ext>
          </c:extLst>
        </c:ser>
        <c:ser>
          <c:idx val="1"/>
          <c:order val="1"/>
          <c:tx>
            <c:strRef>
              <c:f>'10'!$H$2</c:f>
              <c:strCache>
                <c:ptCount val="1"/>
                <c:pt idx="0">
                  <c:v>LSC</c:v>
                </c:pt>
              </c:strCache>
            </c:strRef>
          </c:tx>
          <c:marker>
            <c:symbol val="none"/>
          </c:marker>
          <c:val>
            <c:numRef>
              <c:f>'10'!$H$3:$H$22</c:f>
              <c:numCache>
                <c:formatCode>General</c:formatCode>
                <c:ptCount val="20"/>
                <c:pt idx="0" formatCode="0.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numCache>
            </c:numRef>
          </c:val>
          <c:smooth val="0"/>
          <c:extLst>
            <c:ext xmlns:c16="http://schemas.microsoft.com/office/drawing/2014/chart" uri="{C3380CC4-5D6E-409C-BE32-E72D297353CC}">
              <c16:uniqueId val="{00000001-7C34-8843-A57E-5B0B4930F83D}"/>
            </c:ext>
          </c:extLst>
        </c:ser>
        <c:ser>
          <c:idx val="2"/>
          <c:order val="2"/>
          <c:tx>
            <c:strRef>
              <c:f>'10'!$I$2</c:f>
              <c:strCache>
                <c:ptCount val="1"/>
                <c:pt idx="0">
                  <c:v>LCC</c:v>
                </c:pt>
              </c:strCache>
            </c:strRef>
          </c:tx>
          <c:marker>
            <c:symbol val="none"/>
          </c:marker>
          <c:val>
            <c:numRef>
              <c:f>'10'!$I$3:$I$22</c:f>
              <c:numCache>
                <c:formatCode>General</c:formatCode>
                <c:ptCount val="20"/>
                <c:pt idx="0">
                  <c:v>0.08</c:v>
                </c:pt>
                <c:pt idx="1">
                  <c:v>0.08</c:v>
                </c:pt>
                <c:pt idx="2">
                  <c:v>0.08</c:v>
                </c:pt>
                <c:pt idx="3">
                  <c:v>0.08</c:v>
                </c:pt>
                <c:pt idx="4">
                  <c:v>0.08</c:v>
                </c:pt>
                <c:pt idx="5">
                  <c:v>0.08</c:v>
                </c:pt>
                <c:pt idx="6">
                  <c:v>0.08</c:v>
                </c:pt>
                <c:pt idx="7">
                  <c:v>0.08</c:v>
                </c:pt>
                <c:pt idx="8">
                  <c:v>0.08</c:v>
                </c:pt>
                <c:pt idx="9">
                  <c:v>0.08</c:v>
                </c:pt>
                <c:pt idx="10">
                  <c:v>0.08</c:v>
                </c:pt>
                <c:pt idx="11">
                  <c:v>0.08</c:v>
                </c:pt>
                <c:pt idx="12">
                  <c:v>0.08</c:v>
                </c:pt>
                <c:pt idx="13">
                  <c:v>0.08</c:v>
                </c:pt>
                <c:pt idx="14">
                  <c:v>0.08</c:v>
                </c:pt>
                <c:pt idx="15">
                  <c:v>0.08</c:v>
                </c:pt>
                <c:pt idx="16">
                  <c:v>0.08</c:v>
                </c:pt>
                <c:pt idx="17">
                  <c:v>0.08</c:v>
                </c:pt>
                <c:pt idx="18">
                  <c:v>0.08</c:v>
                </c:pt>
                <c:pt idx="19">
                  <c:v>0.08</c:v>
                </c:pt>
              </c:numCache>
            </c:numRef>
          </c:val>
          <c:smooth val="0"/>
          <c:extLst>
            <c:ext xmlns:c16="http://schemas.microsoft.com/office/drawing/2014/chart" uri="{C3380CC4-5D6E-409C-BE32-E72D297353CC}">
              <c16:uniqueId val="{00000002-7C34-8843-A57E-5B0B4930F83D}"/>
            </c:ext>
          </c:extLst>
        </c:ser>
        <c:ser>
          <c:idx val="3"/>
          <c:order val="3"/>
          <c:tx>
            <c:strRef>
              <c:f>'10'!$J$2</c:f>
              <c:strCache>
                <c:ptCount val="1"/>
                <c:pt idx="0">
                  <c:v>LIC</c:v>
                </c:pt>
              </c:strCache>
            </c:strRef>
          </c:tx>
          <c:marker>
            <c:symbol val="none"/>
          </c:marker>
          <c:val>
            <c:numRef>
              <c:f>'10'!$J$3:$J$22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3-7C34-8843-A57E-5B0B4930F83D}"/>
            </c:ext>
          </c:extLst>
        </c:ser>
        <c:dLbls>
          <c:showLegendKey val="0"/>
          <c:showVal val="0"/>
          <c:showCatName val="0"/>
          <c:showSerName val="0"/>
          <c:showPercent val="0"/>
          <c:showBubbleSize val="0"/>
        </c:dLbls>
        <c:smooth val="0"/>
        <c:axId val="1116061832"/>
        <c:axId val="1116064952"/>
      </c:lineChart>
      <c:catAx>
        <c:axId val="1116061832"/>
        <c:scaling>
          <c:orientation val="minMax"/>
        </c:scaling>
        <c:delete val="0"/>
        <c:axPos val="b"/>
        <c:majorTickMark val="out"/>
        <c:minorTickMark val="none"/>
        <c:tickLblPos val="nextTo"/>
        <c:crossAx val="1116064952"/>
        <c:crosses val="autoZero"/>
        <c:auto val="1"/>
        <c:lblAlgn val="ctr"/>
        <c:lblOffset val="100"/>
        <c:noMultiLvlLbl val="0"/>
      </c:catAx>
      <c:valAx>
        <c:axId val="1116064952"/>
        <c:scaling>
          <c:orientation val="minMax"/>
        </c:scaling>
        <c:delete val="0"/>
        <c:axPos val="l"/>
        <c:majorGridlines/>
        <c:numFmt formatCode="General" sourceLinked="1"/>
        <c:majorTickMark val="out"/>
        <c:minorTickMark val="none"/>
        <c:tickLblPos val="nextTo"/>
        <c:crossAx val="111606183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Carta de Rángos Móviles</a:t>
            </a:r>
          </a:p>
        </c:rich>
      </c:tx>
      <c:overlay val="0"/>
    </c:title>
    <c:autoTitleDeleted val="0"/>
    <c:plotArea>
      <c:layout/>
      <c:lineChart>
        <c:grouping val="standard"/>
        <c:varyColors val="0"/>
        <c:ser>
          <c:idx val="0"/>
          <c:order val="0"/>
          <c:tx>
            <c:strRef>
              <c:f>'11'!$D$2</c:f>
              <c:strCache>
                <c:ptCount val="1"/>
                <c:pt idx="0">
                  <c:v>Rango Móvil</c:v>
                </c:pt>
              </c:strCache>
            </c:strRef>
          </c:tx>
          <c:val>
            <c:numRef>
              <c:f>'11'!$D$3:$D$26</c:f>
              <c:numCache>
                <c:formatCode>0.0</c:formatCode>
                <c:ptCount val="24"/>
                <c:pt idx="1">
                  <c:v>2.4000000000000057</c:v>
                </c:pt>
                <c:pt idx="2">
                  <c:v>4.7999999999999972</c:v>
                </c:pt>
                <c:pt idx="3">
                  <c:v>3.7000000000000028</c:v>
                </c:pt>
                <c:pt idx="4">
                  <c:v>0.90000000000000568</c:v>
                </c:pt>
                <c:pt idx="5">
                  <c:v>5</c:v>
                </c:pt>
                <c:pt idx="6">
                  <c:v>3.2000000000000028</c:v>
                </c:pt>
                <c:pt idx="7">
                  <c:v>0.20000000000000284</c:v>
                </c:pt>
                <c:pt idx="8">
                  <c:v>0.20000000000000284</c:v>
                </c:pt>
                <c:pt idx="9">
                  <c:v>4.2999999999999972</c:v>
                </c:pt>
                <c:pt idx="10">
                  <c:v>0.5</c:v>
                </c:pt>
                <c:pt idx="11">
                  <c:v>4.5</c:v>
                </c:pt>
                <c:pt idx="12">
                  <c:v>1.5999999999999943</c:v>
                </c:pt>
                <c:pt idx="13">
                  <c:v>1.9000000000000057</c:v>
                </c:pt>
                <c:pt idx="14">
                  <c:v>1.1999999999999886</c:v>
                </c:pt>
                <c:pt idx="15">
                  <c:v>1.4000000000000057</c:v>
                </c:pt>
                <c:pt idx="16">
                  <c:v>0.40000000000000568</c:v>
                </c:pt>
                <c:pt idx="17">
                  <c:v>3.4000000000000057</c:v>
                </c:pt>
                <c:pt idx="18">
                  <c:v>3.4000000000000057</c:v>
                </c:pt>
                <c:pt idx="19">
                  <c:v>2.2000000000000028</c:v>
                </c:pt>
                <c:pt idx="20">
                  <c:v>0.20000000000000284</c:v>
                </c:pt>
                <c:pt idx="21">
                  <c:v>1.4000000000000057</c:v>
                </c:pt>
                <c:pt idx="22">
                  <c:v>1.5999999999999943</c:v>
                </c:pt>
                <c:pt idx="23">
                  <c:v>2.4000000000000057</c:v>
                </c:pt>
              </c:numCache>
            </c:numRef>
          </c:val>
          <c:smooth val="0"/>
          <c:extLst>
            <c:ext xmlns:c16="http://schemas.microsoft.com/office/drawing/2014/chart" uri="{C3380CC4-5D6E-409C-BE32-E72D297353CC}">
              <c16:uniqueId val="{00000000-E5D4-3D4C-99EB-901554A48427}"/>
            </c:ext>
          </c:extLst>
        </c:ser>
        <c:ser>
          <c:idx val="6"/>
          <c:order val="1"/>
          <c:tx>
            <c:strRef>
              <c:f>'11'!$J$2</c:f>
              <c:strCache>
                <c:ptCount val="1"/>
                <c:pt idx="0">
                  <c:v>LCL</c:v>
                </c:pt>
              </c:strCache>
            </c:strRef>
          </c:tx>
          <c:val>
            <c:numRef>
              <c:f>'11'!$J$3:$J$26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E5D4-3D4C-99EB-901554A48427}"/>
            </c:ext>
          </c:extLst>
        </c:ser>
        <c:ser>
          <c:idx val="7"/>
          <c:order val="2"/>
          <c:tx>
            <c:strRef>
              <c:f>'11'!$K$2</c:f>
              <c:strCache>
                <c:ptCount val="1"/>
                <c:pt idx="0">
                  <c:v>CCL</c:v>
                </c:pt>
              </c:strCache>
            </c:strRef>
          </c:tx>
          <c:val>
            <c:numRef>
              <c:f>'11'!$K$3:$K$26</c:f>
              <c:numCache>
                <c:formatCode>0.0</c:formatCode>
                <c:ptCount val="24"/>
                <c:pt idx="0">
                  <c:v>2.2086956521739149</c:v>
                </c:pt>
                <c:pt idx="1">
                  <c:v>2.2086956521739149</c:v>
                </c:pt>
                <c:pt idx="2">
                  <c:v>2.2086956521739149</c:v>
                </c:pt>
                <c:pt idx="3">
                  <c:v>2.2086956521739149</c:v>
                </c:pt>
                <c:pt idx="4">
                  <c:v>2.2086956521739149</c:v>
                </c:pt>
                <c:pt idx="5">
                  <c:v>2.2086956521739149</c:v>
                </c:pt>
                <c:pt idx="6">
                  <c:v>2.2086956521739149</c:v>
                </c:pt>
                <c:pt idx="7">
                  <c:v>2.2086956521739149</c:v>
                </c:pt>
                <c:pt idx="8">
                  <c:v>2.2086956521739149</c:v>
                </c:pt>
                <c:pt idx="9">
                  <c:v>2.2086956521739149</c:v>
                </c:pt>
                <c:pt idx="10">
                  <c:v>2.2086956521739149</c:v>
                </c:pt>
                <c:pt idx="11">
                  <c:v>2.2086956521739149</c:v>
                </c:pt>
                <c:pt idx="12">
                  <c:v>2.2086956521739149</c:v>
                </c:pt>
                <c:pt idx="13">
                  <c:v>2.2086956521739149</c:v>
                </c:pt>
                <c:pt idx="14">
                  <c:v>2.2086956521739149</c:v>
                </c:pt>
                <c:pt idx="15">
                  <c:v>2.2086956521739149</c:v>
                </c:pt>
                <c:pt idx="16">
                  <c:v>2.2086956521739149</c:v>
                </c:pt>
                <c:pt idx="17">
                  <c:v>2.2086956521739149</c:v>
                </c:pt>
                <c:pt idx="18">
                  <c:v>2.2086956521739149</c:v>
                </c:pt>
                <c:pt idx="19">
                  <c:v>2.2086956521739149</c:v>
                </c:pt>
                <c:pt idx="20">
                  <c:v>2.2086956521739149</c:v>
                </c:pt>
                <c:pt idx="21">
                  <c:v>2.2086956521739149</c:v>
                </c:pt>
                <c:pt idx="22">
                  <c:v>2.2086956521739149</c:v>
                </c:pt>
                <c:pt idx="23">
                  <c:v>2.2086956521739149</c:v>
                </c:pt>
              </c:numCache>
            </c:numRef>
          </c:val>
          <c:smooth val="0"/>
          <c:extLst>
            <c:ext xmlns:c16="http://schemas.microsoft.com/office/drawing/2014/chart" uri="{C3380CC4-5D6E-409C-BE32-E72D297353CC}">
              <c16:uniqueId val="{00000002-E5D4-3D4C-99EB-901554A48427}"/>
            </c:ext>
          </c:extLst>
        </c:ser>
        <c:ser>
          <c:idx val="8"/>
          <c:order val="3"/>
          <c:tx>
            <c:strRef>
              <c:f>'11'!$L$2</c:f>
              <c:strCache>
                <c:ptCount val="1"/>
                <c:pt idx="0">
                  <c:v>UCL</c:v>
                </c:pt>
              </c:strCache>
            </c:strRef>
          </c:tx>
          <c:val>
            <c:numRef>
              <c:f>'11'!$L$3:$L$26</c:f>
              <c:numCache>
                <c:formatCode>0.0</c:formatCode>
                <c:ptCount val="24"/>
                <c:pt idx="0">
                  <c:v>7.2224347826087021</c:v>
                </c:pt>
                <c:pt idx="1">
                  <c:v>7.2224347826087021</c:v>
                </c:pt>
                <c:pt idx="2">
                  <c:v>7.2224347826087021</c:v>
                </c:pt>
                <c:pt idx="3">
                  <c:v>7.2224347826087021</c:v>
                </c:pt>
                <c:pt idx="4">
                  <c:v>7.2224347826087021</c:v>
                </c:pt>
                <c:pt idx="5">
                  <c:v>7.2224347826087021</c:v>
                </c:pt>
                <c:pt idx="6">
                  <c:v>7.2224347826087021</c:v>
                </c:pt>
                <c:pt idx="7">
                  <c:v>7.2224347826087021</c:v>
                </c:pt>
                <c:pt idx="8">
                  <c:v>7.2224347826087021</c:v>
                </c:pt>
                <c:pt idx="9">
                  <c:v>7.2224347826087021</c:v>
                </c:pt>
                <c:pt idx="10">
                  <c:v>7.2224347826087021</c:v>
                </c:pt>
                <c:pt idx="11">
                  <c:v>7.2224347826087021</c:v>
                </c:pt>
                <c:pt idx="12">
                  <c:v>7.2224347826087021</c:v>
                </c:pt>
                <c:pt idx="13">
                  <c:v>7.2224347826087021</c:v>
                </c:pt>
                <c:pt idx="14">
                  <c:v>7.2224347826087021</c:v>
                </c:pt>
                <c:pt idx="15">
                  <c:v>7.2224347826087021</c:v>
                </c:pt>
                <c:pt idx="16">
                  <c:v>7.2224347826087021</c:v>
                </c:pt>
                <c:pt idx="17">
                  <c:v>7.2224347826087021</c:v>
                </c:pt>
                <c:pt idx="18">
                  <c:v>7.2224347826087021</c:v>
                </c:pt>
                <c:pt idx="19">
                  <c:v>7.2224347826087021</c:v>
                </c:pt>
                <c:pt idx="20">
                  <c:v>7.2224347826087021</c:v>
                </c:pt>
                <c:pt idx="21">
                  <c:v>7.2224347826087021</c:v>
                </c:pt>
                <c:pt idx="22">
                  <c:v>7.2224347826087021</c:v>
                </c:pt>
                <c:pt idx="23">
                  <c:v>7.2224347826087021</c:v>
                </c:pt>
              </c:numCache>
            </c:numRef>
          </c:val>
          <c:smooth val="0"/>
          <c:extLst>
            <c:ext xmlns:c16="http://schemas.microsoft.com/office/drawing/2014/chart" uri="{C3380CC4-5D6E-409C-BE32-E72D297353CC}">
              <c16:uniqueId val="{00000003-E5D4-3D4C-99EB-901554A48427}"/>
            </c:ext>
          </c:extLst>
        </c:ser>
        <c:dLbls>
          <c:showLegendKey val="0"/>
          <c:showVal val="0"/>
          <c:showCatName val="0"/>
          <c:showSerName val="0"/>
          <c:showPercent val="0"/>
          <c:showBubbleSize val="0"/>
        </c:dLbls>
        <c:marker val="1"/>
        <c:smooth val="0"/>
        <c:axId val="1050963896"/>
        <c:axId val="1050967016"/>
      </c:lineChart>
      <c:catAx>
        <c:axId val="1050963896"/>
        <c:scaling>
          <c:orientation val="minMax"/>
        </c:scaling>
        <c:delete val="0"/>
        <c:axPos val="b"/>
        <c:majorTickMark val="out"/>
        <c:minorTickMark val="none"/>
        <c:tickLblPos val="nextTo"/>
        <c:crossAx val="1050967016"/>
        <c:crosses val="autoZero"/>
        <c:auto val="1"/>
        <c:lblAlgn val="ctr"/>
        <c:lblOffset val="100"/>
        <c:noMultiLvlLbl val="0"/>
      </c:catAx>
      <c:valAx>
        <c:axId val="1050967016"/>
        <c:scaling>
          <c:orientation val="minMax"/>
        </c:scaling>
        <c:delete val="0"/>
        <c:axPos val="l"/>
        <c:majorGridlines/>
        <c:numFmt formatCode="General" sourceLinked="1"/>
        <c:majorTickMark val="out"/>
        <c:minorTickMark val="none"/>
        <c:tickLblPos val="nextTo"/>
        <c:crossAx val="1050963896"/>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a:t>
            </a:r>
            <a:r>
              <a:rPr lang="en-US" baseline="0"/>
              <a:t> de Individuales</a:t>
            </a:r>
            <a:endParaRPr lang="en-US"/>
          </a:p>
        </c:rich>
      </c:tx>
      <c:overlay val="0"/>
    </c:title>
    <c:autoTitleDeleted val="0"/>
    <c:plotArea>
      <c:layout/>
      <c:lineChart>
        <c:grouping val="standard"/>
        <c:varyColors val="0"/>
        <c:ser>
          <c:idx val="0"/>
          <c:order val="0"/>
          <c:tx>
            <c:strRef>
              <c:f>'11'!$C$2</c:f>
              <c:strCache>
                <c:ptCount val="1"/>
                <c:pt idx="0">
                  <c:v>Temperatura</c:v>
                </c:pt>
              </c:strCache>
            </c:strRef>
          </c:tx>
          <c:val>
            <c:numRef>
              <c:f>'11'!$C$3:$C$26</c:f>
              <c:numCache>
                <c:formatCode>0.0</c:formatCode>
                <c:ptCount val="24"/>
                <c:pt idx="0">
                  <c:v>125.1</c:v>
                </c:pt>
                <c:pt idx="1">
                  <c:v>127.5</c:v>
                </c:pt>
                <c:pt idx="2">
                  <c:v>122.7</c:v>
                </c:pt>
                <c:pt idx="3">
                  <c:v>126.4</c:v>
                </c:pt>
                <c:pt idx="4">
                  <c:v>125.5</c:v>
                </c:pt>
                <c:pt idx="5">
                  <c:v>130.5</c:v>
                </c:pt>
                <c:pt idx="6">
                  <c:v>127.3</c:v>
                </c:pt>
                <c:pt idx="7">
                  <c:v>127.5</c:v>
                </c:pt>
                <c:pt idx="8">
                  <c:v>127.3</c:v>
                </c:pt>
                <c:pt idx="9">
                  <c:v>123</c:v>
                </c:pt>
                <c:pt idx="10">
                  <c:v>123.5</c:v>
                </c:pt>
                <c:pt idx="11">
                  <c:v>128</c:v>
                </c:pt>
                <c:pt idx="12">
                  <c:v>126.4</c:v>
                </c:pt>
                <c:pt idx="13">
                  <c:v>128.30000000000001</c:v>
                </c:pt>
                <c:pt idx="14">
                  <c:v>129.5</c:v>
                </c:pt>
                <c:pt idx="15">
                  <c:v>128.1</c:v>
                </c:pt>
                <c:pt idx="16">
                  <c:v>128.5</c:v>
                </c:pt>
                <c:pt idx="17">
                  <c:v>125.1</c:v>
                </c:pt>
                <c:pt idx="18">
                  <c:v>128.5</c:v>
                </c:pt>
                <c:pt idx="19">
                  <c:v>126.3</c:v>
                </c:pt>
                <c:pt idx="20">
                  <c:v>126.5</c:v>
                </c:pt>
                <c:pt idx="21">
                  <c:v>127.9</c:v>
                </c:pt>
                <c:pt idx="22">
                  <c:v>129.5</c:v>
                </c:pt>
                <c:pt idx="23">
                  <c:v>131.9</c:v>
                </c:pt>
              </c:numCache>
            </c:numRef>
          </c:val>
          <c:smooth val="0"/>
          <c:extLst>
            <c:ext xmlns:c16="http://schemas.microsoft.com/office/drawing/2014/chart" uri="{C3380CC4-5D6E-409C-BE32-E72D297353CC}">
              <c16:uniqueId val="{00000000-26A2-5248-8DEA-C3AB1D65BCC8}"/>
            </c:ext>
          </c:extLst>
        </c:ser>
        <c:ser>
          <c:idx val="3"/>
          <c:order val="1"/>
          <c:tx>
            <c:strRef>
              <c:f>'11'!$F$2</c:f>
              <c:strCache>
                <c:ptCount val="1"/>
                <c:pt idx="0">
                  <c:v>LCL</c:v>
                </c:pt>
              </c:strCache>
            </c:strRef>
          </c:tx>
          <c:val>
            <c:numRef>
              <c:f>'11'!$F$3:$F$26</c:f>
              <c:numCache>
                <c:formatCode>0.0</c:formatCode>
                <c:ptCount val="24"/>
                <c:pt idx="0">
                  <c:v>121.25287289983328</c:v>
                </c:pt>
                <c:pt idx="1">
                  <c:v>121.25287289983328</c:v>
                </c:pt>
                <c:pt idx="2">
                  <c:v>121.25287289983328</c:v>
                </c:pt>
                <c:pt idx="3">
                  <c:v>121.25287289983328</c:v>
                </c:pt>
                <c:pt idx="4">
                  <c:v>121.25287289983328</c:v>
                </c:pt>
                <c:pt idx="5">
                  <c:v>121.25287289983328</c:v>
                </c:pt>
                <c:pt idx="6">
                  <c:v>121.25287289983328</c:v>
                </c:pt>
                <c:pt idx="7">
                  <c:v>121.25287289983328</c:v>
                </c:pt>
                <c:pt idx="8">
                  <c:v>121.25287289983328</c:v>
                </c:pt>
                <c:pt idx="9">
                  <c:v>121.25287289983328</c:v>
                </c:pt>
                <c:pt idx="10">
                  <c:v>121.25287289983328</c:v>
                </c:pt>
                <c:pt idx="11">
                  <c:v>121.25287289983328</c:v>
                </c:pt>
                <c:pt idx="12">
                  <c:v>121.25287289983328</c:v>
                </c:pt>
                <c:pt idx="13">
                  <c:v>121.25287289983328</c:v>
                </c:pt>
                <c:pt idx="14">
                  <c:v>121.25287289983328</c:v>
                </c:pt>
                <c:pt idx="15">
                  <c:v>121.25287289983328</c:v>
                </c:pt>
                <c:pt idx="16">
                  <c:v>121.25287289983328</c:v>
                </c:pt>
                <c:pt idx="17">
                  <c:v>121.25287289983328</c:v>
                </c:pt>
                <c:pt idx="18">
                  <c:v>121.25287289983328</c:v>
                </c:pt>
                <c:pt idx="19">
                  <c:v>121.25287289983328</c:v>
                </c:pt>
                <c:pt idx="20">
                  <c:v>121.25287289983328</c:v>
                </c:pt>
                <c:pt idx="21">
                  <c:v>121.25287289983328</c:v>
                </c:pt>
                <c:pt idx="22">
                  <c:v>121.25287289983328</c:v>
                </c:pt>
                <c:pt idx="23">
                  <c:v>121.25287289983328</c:v>
                </c:pt>
              </c:numCache>
            </c:numRef>
          </c:val>
          <c:smooth val="0"/>
          <c:extLst>
            <c:ext xmlns:c16="http://schemas.microsoft.com/office/drawing/2014/chart" uri="{C3380CC4-5D6E-409C-BE32-E72D297353CC}">
              <c16:uniqueId val="{00000001-26A2-5248-8DEA-C3AB1D65BCC8}"/>
            </c:ext>
          </c:extLst>
        </c:ser>
        <c:ser>
          <c:idx val="4"/>
          <c:order val="2"/>
          <c:tx>
            <c:strRef>
              <c:f>'11'!$G$2</c:f>
              <c:strCache>
                <c:ptCount val="1"/>
                <c:pt idx="0">
                  <c:v>CCL</c:v>
                </c:pt>
              </c:strCache>
            </c:strRef>
          </c:tx>
          <c:val>
            <c:numRef>
              <c:f>'11'!$G$3:$G$26</c:f>
              <c:numCache>
                <c:formatCode>0.0</c:formatCode>
                <c:ptCount val="24"/>
                <c:pt idx="0">
                  <c:v>127.11666666666667</c:v>
                </c:pt>
                <c:pt idx="1">
                  <c:v>127.11666666666667</c:v>
                </c:pt>
                <c:pt idx="2">
                  <c:v>127.11666666666667</c:v>
                </c:pt>
                <c:pt idx="3">
                  <c:v>127.11666666666667</c:v>
                </c:pt>
                <c:pt idx="4">
                  <c:v>127.11666666666667</c:v>
                </c:pt>
                <c:pt idx="5">
                  <c:v>127.11666666666667</c:v>
                </c:pt>
                <c:pt idx="6">
                  <c:v>127.11666666666667</c:v>
                </c:pt>
                <c:pt idx="7">
                  <c:v>127.11666666666667</c:v>
                </c:pt>
                <c:pt idx="8">
                  <c:v>127.11666666666667</c:v>
                </c:pt>
                <c:pt idx="9">
                  <c:v>127.11666666666667</c:v>
                </c:pt>
                <c:pt idx="10">
                  <c:v>127.11666666666667</c:v>
                </c:pt>
                <c:pt idx="11">
                  <c:v>127.11666666666667</c:v>
                </c:pt>
                <c:pt idx="12">
                  <c:v>127.11666666666667</c:v>
                </c:pt>
                <c:pt idx="13">
                  <c:v>127.11666666666667</c:v>
                </c:pt>
                <c:pt idx="14">
                  <c:v>127.11666666666667</c:v>
                </c:pt>
                <c:pt idx="15">
                  <c:v>127.11666666666667</c:v>
                </c:pt>
                <c:pt idx="16">
                  <c:v>127.11666666666667</c:v>
                </c:pt>
                <c:pt idx="17">
                  <c:v>127.11666666666667</c:v>
                </c:pt>
                <c:pt idx="18">
                  <c:v>127.11666666666667</c:v>
                </c:pt>
                <c:pt idx="19">
                  <c:v>127.11666666666667</c:v>
                </c:pt>
                <c:pt idx="20">
                  <c:v>127.11666666666667</c:v>
                </c:pt>
                <c:pt idx="21">
                  <c:v>127.11666666666667</c:v>
                </c:pt>
                <c:pt idx="22">
                  <c:v>127.11666666666667</c:v>
                </c:pt>
                <c:pt idx="23">
                  <c:v>127.11666666666667</c:v>
                </c:pt>
              </c:numCache>
            </c:numRef>
          </c:val>
          <c:smooth val="0"/>
          <c:extLst>
            <c:ext xmlns:c16="http://schemas.microsoft.com/office/drawing/2014/chart" uri="{C3380CC4-5D6E-409C-BE32-E72D297353CC}">
              <c16:uniqueId val="{00000002-26A2-5248-8DEA-C3AB1D65BCC8}"/>
            </c:ext>
          </c:extLst>
        </c:ser>
        <c:ser>
          <c:idx val="5"/>
          <c:order val="3"/>
          <c:tx>
            <c:strRef>
              <c:f>'11'!$H$2</c:f>
              <c:strCache>
                <c:ptCount val="1"/>
                <c:pt idx="0">
                  <c:v>UCL</c:v>
                </c:pt>
              </c:strCache>
            </c:strRef>
          </c:tx>
          <c:val>
            <c:numRef>
              <c:f>'11'!$H$3:$H$26</c:f>
              <c:numCache>
                <c:formatCode>0.0</c:formatCode>
                <c:ptCount val="24"/>
                <c:pt idx="0">
                  <c:v>132.98046043350007</c:v>
                </c:pt>
                <c:pt idx="1">
                  <c:v>132.98046043350007</c:v>
                </c:pt>
                <c:pt idx="2">
                  <c:v>132.98046043350007</c:v>
                </c:pt>
                <c:pt idx="3">
                  <c:v>132.98046043350007</c:v>
                </c:pt>
                <c:pt idx="4">
                  <c:v>132.98046043350007</c:v>
                </c:pt>
                <c:pt idx="5">
                  <c:v>132.98046043350007</c:v>
                </c:pt>
                <c:pt idx="6">
                  <c:v>132.98046043350007</c:v>
                </c:pt>
                <c:pt idx="7">
                  <c:v>132.98046043350007</c:v>
                </c:pt>
                <c:pt idx="8">
                  <c:v>132.98046043350007</c:v>
                </c:pt>
                <c:pt idx="9">
                  <c:v>132.98046043350007</c:v>
                </c:pt>
                <c:pt idx="10">
                  <c:v>132.98046043350007</c:v>
                </c:pt>
                <c:pt idx="11">
                  <c:v>132.98046043350007</c:v>
                </c:pt>
                <c:pt idx="12">
                  <c:v>132.98046043350007</c:v>
                </c:pt>
                <c:pt idx="13">
                  <c:v>132.98046043350007</c:v>
                </c:pt>
                <c:pt idx="14">
                  <c:v>132.98046043350007</c:v>
                </c:pt>
                <c:pt idx="15">
                  <c:v>132.98046043350007</c:v>
                </c:pt>
                <c:pt idx="16">
                  <c:v>132.98046043350007</c:v>
                </c:pt>
                <c:pt idx="17">
                  <c:v>132.98046043350007</c:v>
                </c:pt>
                <c:pt idx="18">
                  <c:v>132.98046043350007</c:v>
                </c:pt>
                <c:pt idx="19">
                  <c:v>132.98046043350007</c:v>
                </c:pt>
                <c:pt idx="20">
                  <c:v>132.98046043350007</c:v>
                </c:pt>
                <c:pt idx="21">
                  <c:v>132.98046043350007</c:v>
                </c:pt>
                <c:pt idx="22">
                  <c:v>132.98046043350007</c:v>
                </c:pt>
                <c:pt idx="23">
                  <c:v>132.98046043350007</c:v>
                </c:pt>
              </c:numCache>
            </c:numRef>
          </c:val>
          <c:smooth val="0"/>
          <c:extLst>
            <c:ext xmlns:c16="http://schemas.microsoft.com/office/drawing/2014/chart" uri="{C3380CC4-5D6E-409C-BE32-E72D297353CC}">
              <c16:uniqueId val="{00000003-26A2-5248-8DEA-C3AB1D65BCC8}"/>
            </c:ext>
          </c:extLst>
        </c:ser>
        <c:dLbls>
          <c:showLegendKey val="0"/>
          <c:showVal val="0"/>
          <c:showCatName val="0"/>
          <c:showSerName val="0"/>
          <c:showPercent val="0"/>
          <c:showBubbleSize val="0"/>
        </c:dLbls>
        <c:marker val="1"/>
        <c:smooth val="0"/>
        <c:axId val="1050955944"/>
        <c:axId val="1050959064"/>
      </c:lineChart>
      <c:catAx>
        <c:axId val="1050955944"/>
        <c:scaling>
          <c:orientation val="minMax"/>
        </c:scaling>
        <c:delete val="0"/>
        <c:axPos val="b"/>
        <c:majorTickMark val="none"/>
        <c:minorTickMark val="none"/>
        <c:tickLblPos val="nextTo"/>
        <c:crossAx val="1050959064"/>
        <c:crosses val="autoZero"/>
        <c:auto val="1"/>
        <c:lblAlgn val="ctr"/>
        <c:lblOffset val="100"/>
        <c:noMultiLvlLbl val="0"/>
      </c:catAx>
      <c:valAx>
        <c:axId val="1050959064"/>
        <c:scaling>
          <c:orientation val="minMax"/>
          <c:min val="120"/>
        </c:scaling>
        <c:delete val="0"/>
        <c:axPos val="l"/>
        <c:majorGridlines/>
        <c:numFmt formatCode="0.0" sourceLinked="1"/>
        <c:majorTickMark val="none"/>
        <c:minorTickMark val="none"/>
        <c:tickLblPos val="nextTo"/>
        <c:spPr>
          <a:ln w="9525">
            <a:noFill/>
          </a:ln>
        </c:spPr>
        <c:crossAx val="1050955944"/>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n-US"/>
              <a:t>Gráfico de Control p</a:t>
            </a:r>
          </a:p>
        </c:rich>
      </c:tx>
      <c:layout>
        <c:manualLayout>
          <c:xMode val="edge"/>
          <c:yMode val="edge"/>
          <c:x val="0.34311484051375302"/>
          <c:y val="3.5019505153796898E-2"/>
        </c:manualLayout>
      </c:layout>
      <c:overlay val="0"/>
      <c:spPr>
        <a:noFill/>
        <a:ln w="25400">
          <a:noFill/>
        </a:ln>
      </c:spPr>
    </c:title>
    <c:autoTitleDeleted val="0"/>
    <c:plotArea>
      <c:layout>
        <c:manualLayout>
          <c:layoutTarget val="inner"/>
          <c:xMode val="edge"/>
          <c:yMode val="edge"/>
          <c:x val="0.20541743741283899"/>
          <c:y val="0.147860132871587"/>
          <c:w val="0.64611541289468"/>
          <c:h val="0.68891181531240098"/>
        </c:manualLayout>
      </c:layout>
      <c:lineChart>
        <c:grouping val="standard"/>
        <c:varyColors val="0"/>
        <c:ser>
          <c:idx val="0"/>
          <c:order val="0"/>
          <c:tx>
            <c:strRef>
              <c:f>'[3]Segunda pregunta'!$D$3</c:f>
              <c:strCache>
                <c:ptCount val="1"/>
                <c:pt idx="0">
                  <c:v>Fracción</c:v>
                </c:pt>
              </c:strCache>
            </c:strRef>
          </c:tx>
          <c:spPr>
            <a:ln w="25400">
              <a:solidFill>
                <a:srgbClr val="63AAFE"/>
              </a:solidFill>
              <a:prstDash val="solid"/>
            </a:ln>
          </c:spPr>
          <c:marker>
            <c:symbol val="diamond"/>
            <c:size val="7"/>
            <c:spPr>
              <a:solidFill>
                <a:srgbClr val="63AAFE"/>
              </a:solidFill>
              <a:ln>
                <a:solidFill>
                  <a:srgbClr val="63AAFE"/>
                </a:solidFill>
                <a:prstDash val="solid"/>
              </a:ln>
              <a:effectLst>
                <a:outerShdw dist="35921" dir="2700000" algn="br">
                  <a:srgbClr val="000000"/>
                </a:outerShdw>
              </a:effectLst>
            </c:spPr>
          </c:marker>
          <c:val>
            <c:numRef>
              <c:f>'[3]Segunda pregunta'!$D$4:$D$23</c:f>
              <c:numCache>
                <c:formatCode>General</c:formatCode>
                <c:ptCount val="20"/>
                <c:pt idx="0">
                  <c:v>7.0588235294117646E-2</c:v>
                </c:pt>
                <c:pt idx="1">
                  <c:v>0.12941176470588237</c:v>
                </c:pt>
                <c:pt idx="2">
                  <c:v>5.8823529411764705E-2</c:v>
                </c:pt>
                <c:pt idx="3">
                  <c:v>0.11764705882352941</c:v>
                </c:pt>
                <c:pt idx="4">
                  <c:v>0.14117647058823529</c:v>
                </c:pt>
                <c:pt idx="5">
                  <c:v>5.8823529411764705E-2</c:v>
                </c:pt>
                <c:pt idx="6">
                  <c:v>8.8235294117647065E-2</c:v>
                </c:pt>
                <c:pt idx="7">
                  <c:v>0.12941176470588237</c:v>
                </c:pt>
                <c:pt idx="8">
                  <c:v>6.4705882352941183E-2</c:v>
                </c:pt>
                <c:pt idx="9">
                  <c:v>0.11764705882352941</c:v>
                </c:pt>
                <c:pt idx="10">
                  <c:v>0.19411764705882353</c:v>
                </c:pt>
                <c:pt idx="11">
                  <c:v>0.20588235294117646</c:v>
                </c:pt>
                <c:pt idx="12">
                  <c:v>0.1</c:v>
                </c:pt>
                <c:pt idx="13">
                  <c:v>7.0588235294117646E-2</c:v>
                </c:pt>
                <c:pt idx="14">
                  <c:v>0.14705882352941177</c:v>
                </c:pt>
                <c:pt idx="15">
                  <c:v>6.4705882352941183E-2</c:v>
                </c:pt>
                <c:pt idx="16">
                  <c:v>0.11764705882352941</c:v>
                </c:pt>
                <c:pt idx="17">
                  <c:v>0.1</c:v>
                </c:pt>
                <c:pt idx="18">
                  <c:v>0.12941176470588237</c:v>
                </c:pt>
                <c:pt idx="19">
                  <c:v>0.10588235294117647</c:v>
                </c:pt>
              </c:numCache>
            </c:numRef>
          </c:val>
          <c:smooth val="0"/>
          <c:extLst>
            <c:ext xmlns:c16="http://schemas.microsoft.com/office/drawing/2014/chart" uri="{C3380CC4-5D6E-409C-BE32-E72D297353CC}">
              <c16:uniqueId val="{00000000-19C6-FA42-A73F-3DCB7E1E1596}"/>
            </c:ext>
          </c:extLst>
        </c:ser>
        <c:ser>
          <c:idx val="1"/>
          <c:order val="1"/>
          <c:tx>
            <c:strRef>
              <c:f>'[3]Segunda pregunta'!$E$3</c:f>
              <c:strCache>
                <c:ptCount val="1"/>
                <c:pt idx="0">
                  <c:v>LCL</c:v>
                </c:pt>
              </c:strCache>
            </c:strRef>
          </c:tx>
          <c:spPr>
            <a:ln w="25400">
              <a:solidFill>
                <a:srgbClr val="DD2D32"/>
              </a:solidFill>
              <a:prstDash val="solid"/>
            </a:ln>
          </c:spPr>
          <c:marker>
            <c:symbol val="square"/>
            <c:size val="7"/>
            <c:spPr>
              <a:solidFill>
                <a:srgbClr val="DD2D32"/>
              </a:solidFill>
              <a:ln>
                <a:solidFill>
                  <a:srgbClr val="DD2D32"/>
                </a:solidFill>
                <a:prstDash val="solid"/>
              </a:ln>
              <a:effectLst>
                <a:outerShdw dist="35921" dir="2700000" algn="br">
                  <a:srgbClr val="000000"/>
                </a:outerShdw>
              </a:effectLst>
            </c:spPr>
          </c:marker>
          <c:val>
            <c:numRef>
              <c:f>'[3]Segunda pregunta'!$E$4:$E$23</c:f>
              <c:numCache>
                <c:formatCode>General</c:formatCode>
                <c:ptCount val="20"/>
                <c:pt idx="0">
                  <c:v>3.842721039033839E-2</c:v>
                </c:pt>
                <c:pt idx="1">
                  <c:v>3.842721039033839E-2</c:v>
                </c:pt>
                <c:pt idx="2">
                  <c:v>3.842721039033839E-2</c:v>
                </c:pt>
                <c:pt idx="3">
                  <c:v>3.842721039033839E-2</c:v>
                </c:pt>
                <c:pt idx="4">
                  <c:v>3.842721039033839E-2</c:v>
                </c:pt>
                <c:pt idx="5">
                  <c:v>3.842721039033839E-2</c:v>
                </c:pt>
                <c:pt idx="6">
                  <c:v>3.842721039033839E-2</c:v>
                </c:pt>
                <c:pt idx="7">
                  <c:v>3.842721039033839E-2</c:v>
                </c:pt>
                <c:pt idx="8">
                  <c:v>3.842721039033839E-2</c:v>
                </c:pt>
                <c:pt idx="9">
                  <c:v>3.842721039033839E-2</c:v>
                </c:pt>
                <c:pt idx="10">
                  <c:v>3.842721039033839E-2</c:v>
                </c:pt>
                <c:pt idx="11">
                  <c:v>3.842721039033839E-2</c:v>
                </c:pt>
                <c:pt idx="12">
                  <c:v>3.842721039033839E-2</c:v>
                </c:pt>
                <c:pt idx="13">
                  <c:v>3.842721039033839E-2</c:v>
                </c:pt>
                <c:pt idx="14">
                  <c:v>3.842721039033839E-2</c:v>
                </c:pt>
                <c:pt idx="15">
                  <c:v>3.842721039033839E-2</c:v>
                </c:pt>
                <c:pt idx="16">
                  <c:v>3.842721039033839E-2</c:v>
                </c:pt>
                <c:pt idx="17">
                  <c:v>3.842721039033839E-2</c:v>
                </c:pt>
                <c:pt idx="18">
                  <c:v>3.842721039033839E-2</c:v>
                </c:pt>
                <c:pt idx="19">
                  <c:v>3.842721039033839E-2</c:v>
                </c:pt>
              </c:numCache>
            </c:numRef>
          </c:val>
          <c:smooth val="0"/>
          <c:extLst>
            <c:ext xmlns:c16="http://schemas.microsoft.com/office/drawing/2014/chart" uri="{C3380CC4-5D6E-409C-BE32-E72D297353CC}">
              <c16:uniqueId val="{00000001-19C6-FA42-A73F-3DCB7E1E1596}"/>
            </c:ext>
          </c:extLst>
        </c:ser>
        <c:ser>
          <c:idx val="2"/>
          <c:order val="2"/>
          <c:tx>
            <c:strRef>
              <c:f>'[3]Segunda pregunta'!$F$3</c:f>
              <c:strCache>
                <c:ptCount val="1"/>
                <c:pt idx="0">
                  <c:v>CCL</c:v>
                </c:pt>
              </c:strCache>
            </c:strRef>
          </c:tx>
          <c:spPr>
            <a:ln w="25400">
              <a:solidFill>
                <a:srgbClr val="FFF58C"/>
              </a:solidFill>
              <a:prstDash val="solid"/>
            </a:ln>
          </c:spPr>
          <c:marker>
            <c:symbol val="triangle"/>
            <c:size val="7"/>
            <c:spPr>
              <a:solidFill>
                <a:srgbClr val="FFF58C"/>
              </a:solidFill>
              <a:ln>
                <a:solidFill>
                  <a:srgbClr val="FFF58C"/>
                </a:solidFill>
                <a:prstDash val="solid"/>
              </a:ln>
              <a:effectLst>
                <a:outerShdw dist="35921" dir="2700000" algn="br">
                  <a:srgbClr val="000000"/>
                </a:outerShdw>
              </a:effectLst>
            </c:spPr>
          </c:marker>
          <c:val>
            <c:numRef>
              <c:f>'[3]Segunda pregunta'!$F$4:$F$23</c:f>
              <c:numCache>
                <c:formatCode>General</c:formatCode>
                <c:ptCount val="20"/>
                <c:pt idx="0">
                  <c:v>0.11058823529411765</c:v>
                </c:pt>
                <c:pt idx="1">
                  <c:v>0.11058823529411765</c:v>
                </c:pt>
                <c:pt idx="2">
                  <c:v>0.11058823529411765</c:v>
                </c:pt>
                <c:pt idx="3">
                  <c:v>0.11058823529411765</c:v>
                </c:pt>
                <c:pt idx="4">
                  <c:v>0.11058823529411765</c:v>
                </c:pt>
                <c:pt idx="5">
                  <c:v>0.11058823529411765</c:v>
                </c:pt>
                <c:pt idx="6">
                  <c:v>0.11058823529411765</c:v>
                </c:pt>
                <c:pt idx="7">
                  <c:v>0.11058823529411765</c:v>
                </c:pt>
                <c:pt idx="8">
                  <c:v>0.11058823529411765</c:v>
                </c:pt>
                <c:pt idx="9">
                  <c:v>0.11058823529411765</c:v>
                </c:pt>
                <c:pt idx="10">
                  <c:v>0.11058823529411765</c:v>
                </c:pt>
                <c:pt idx="11">
                  <c:v>0.11058823529411765</c:v>
                </c:pt>
                <c:pt idx="12">
                  <c:v>0.11058823529411765</c:v>
                </c:pt>
                <c:pt idx="13">
                  <c:v>0.11058823529411765</c:v>
                </c:pt>
                <c:pt idx="14">
                  <c:v>0.11058823529411765</c:v>
                </c:pt>
                <c:pt idx="15">
                  <c:v>0.11058823529411765</c:v>
                </c:pt>
                <c:pt idx="16">
                  <c:v>0.11058823529411765</c:v>
                </c:pt>
                <c:pt idx="17">
                  <c:v>0.11058823529411765</c:v>
                </c:pt>
                <c:pt idx="18">
                  <c:v>0.11058823529411765</c:v>
                </c:pt>
                <c:pt idx="19">
                  <c:v>0.11058823529411765</c:v>
                </c:pt>
              </c:numCache>
            </c:numRef>
          </c:val>
          <c:smooth val="0"/>
          <c:extLst>
            <c:ext xmlns:c16="http://schemas.microsoft.com/office/drawing/2014/chart" uri="{C3380CC4-5D6E-409C-BE32-E72D297353CC}">
              <c16:uniqueId val="{00000002-19C6-FA42-A73F-3DCB7E1E1596}"/>
            </c:ext>
          </c:extLst>
        </c:ser>
        <c:ser>
          <c:idx val="3"/>
          <c:order val="3"/>
          <c:tx>
            <c:strRef>
              <c:f>'[3]Segunda pregunta'!$G$3</c:f>
              <c:strCache>
                <c:ptCount val="1"/>
                <c:pt idx="0">
                  <c:v>UCL</c:v>
                </c:pt>
              </c:strCache>
            </c:strRef>
          </c:tx>
          <c:spPr>
            <a:ln w="25400">
              <a:solidFill>
                <a:srgbClr val="4EE257"/>
              </a:solidFill>
              <a:prstDash val="solid"/>
            </a:ln>
          </c:spPr>
          <c:marker>
            <c:symbol val="x"/>
            <c:size val="7"/>
            <c:spPr>
              <a:noFill/>
              <a:ln>
                <a:solidFill>
                  <a:srgbClr val="4EE257"/>
                </a:solidFill>
                <a:prstDash val="solid"/>
              </a:ln>
              <a:effectLst>
                <a:outerShdw dist="35921" dir="2700000" algn="br">
                  <a:srgbClr val="000000"/>
                </a:outerShdw>
              </a:effectLst>
            </c:spPr>
          </c:marker>
          <c:val>
            <c:numRef>
              <c:f>'[3]Segunda pregunta'!$G$4:$G$23</c:f>
              <c:numCache>
                <c:formatCode>General</c:formatCode>
                <c:ptCount val="20"/>
                <c:pt idx="0">
                  <c:v>0.18274926019789692</c:v>
                </c:pt>
                <c:pt idx="1">
                  <c:v>0.18274926019789692</c:v>
                </c:pt>
                <c:pt idx="2">
                  <c:v>0.18274926019789692</c:v>
                </c:pt>
                <c:pt idx="3">
                  <c:v>0.18274926019789692</c:v>
                </c:pt>
                <c:pt idx="4">
                  <c:v>0.18274926019789692</c:v>
                </c:pt>
                <c:pt idx="5">
                  <c:v>0.18274926019789692</c:v>
                </c:pt>
                <c:pt idx="6">
                  <c:v>0.18274926019789692</c:v>
                </c:pt>
                <c:pt idx="7">
                  <c:v>0.18274926019789692</c:v>
                </c:pt>
                <c:pt idx="8">
                  <c:v>0.18274926019789692</c:v>
                </c:pt>
                <c:pt idx="9">
                  <c:v>0.18274926019789692</c:v>
                </c:pt>
                <c:pt idx="10">
                  <c:v>0.18274926019789692</c:v>
                </c:pt>
                <c:pt idx="11">
                  <c:v>0.18274926019789692</c:v>
                </c:pt>
                <c:pt idx="12">
                  <c:v>0.18274926019789692</c:v>
                </c:pt>
                <c:pt idx="13">
                  <c:v>0.18274926019789692</c:v>
                </c:pt>
                <c:pt idx="14">
                  <c:v>0.18274926019789692</c:v>
                </c:pt>
                <c:pt idx="15">
                  <c:v>0.18274926019789692</c:v>
                </c:pt>
                <c:pt idx="16">
                  <c:v>0.18274926019789692</c:v>
                </c:pt>
                <c:pt idx="17">
                  <c:v>0.18274926019789692</c:v>
                </c:pt>
                <c:pt idx="18">
                  <c:v>0.18274926019789692</c:v>
                </c:pt>
                <c:pt idx="19">
                  <c:v>0.18274926019789692</c:v>
                </c:pt>
              </c:numCache>
            </c:numRef>
          </c:val>
          <c:smooth val="0"/>
          <c:extLst>
            <c:ext xmlns:c16="http://schemas.microsoft.com/office/drawing/2014/chart" uri="{C3380CC4-5D6E-409C-BE32-E72D297353CC}">
              <c16:uniqueId val="{00000003-19C6-FA42-A73F-3DCB7E1E1596}"/>
            </c:ext>
          </c:extLst>
        </c:ser>
        <c:dLbls>
          <c:showLegendKey val="0"/>
          <c:showVal val="0"/>
          <c:showCatName val="0"/>
          <c:showSerName val="0"/>
          <c:showPercent val="0"/>
          <c:showBubbleSize val="0"/>
        </c:dLbls>
        <c:marker val="1"/>
        <c:smooth val="0"/>
        <c:axId val="1124872872"/>
        <c:axId val="1120403432"/>
      </c:lineChart>
      <c:catAx>
        <c:axId val="1124872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CR"/>
          </a:p>
        </c:txPr>
        <c:crossAx val="1120403432"/>
        <c:crosses val="autoZero"/>
        <c:auto val="1"/>
        <c:lblAlgn val="ctr"/>
        <c:lblOffset val="100"/>
        <c:tickLblSkip val="2"/>
        <c:tickMarkSkip val="1"/>
        <c:noMultiLvlLbl val="0"/>
      </c:catAx>
      <c:valAx>
        <c:axId val="112040343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US"/>
                  <a:t>Fracción disconforme</a:t>
                </a:r>
              </a:p>
            </c:rich>
          </c:tx>
          <c:layout>
            <c:manualLayout>
              <c:xMode val="edge"/>
              <c:yMode val="edge"/>
              <c:x val="4.7404024018347403E-2"/>
              <c:y val="0.140078020615188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CR"/>
          </a:p>
        </c:txPr>
        <c:crossAx val="1124872872"/>
        <c:crosses val="autoZero"/>
        <c:crossBetween val="between"/>
      </c:valAx>
      <c:spPr>
        <a:solidFill>
          <a:srgbClr val="CDCDCD"/>
        </a:solidFill>
        <a:ln w="12700">
          <a:solidFill>
            <a:srgbClr val="808080"/>
          </a:solidFill>
          <a:prstDash val="solid"/>
        </a:ln>
      </c:spPr>
    </c:plotArea>
    <c:legend>
      <c:legendPos val="r"/>
      <c:layout>
        <c:manualLayout>
          <c:xMode val="edge"/>
          <c:yMode val="edge"/>
          <c:x val="0.87311597718642597"/>
          <c:y val="0.34996599399517297"/>
          <c:w val="0.10357037314711399"/>
          <c:h val="0.28005367306092599"/>
        </c:manualLayout>
      </c:layout>
      <c:overlay val="0"/>
      <c:spPr>
        <a:solidFill>
          <a:srgbClr val="FFFFFF"/>
        </a:solidFill>
        <a:ln w="25400">
          <a:noFill/>
        </a:ln>
      </c:spPr>
      <c:txPr>
        <a:bodyPr/>
        <a:lstStyle/>
        <a:p>
          <a:pPr>
            <a:defRPr sz="940"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Gráfica c</a:t>
            </a:r>
          </a:p>
        </c:rich>
      </c:tx>
      <c:layout>
        <c:manualLayout>
          <c:xMode val="edge"/>
          <c:yMode val="edge"/>
          <c:x val="0.44142304505982499"/>
          <c:y val="3.6885319714795098E-2"/>
        </c:manualLayout>
      </c:layout>
      <c:overlay val="0"/>
      <c:spPr>
        <a:noFill/>
        <a:ln w="25400">
          <a:noFill/>
        </a:ln>
      </c:spPr>
    </c:title>
    <c:autoTitleDeleted val="0"/>
    <c:plotArea>
      <c:layout>
        <c:manualLayout>
          <c:layoutTarget val="inner"/>
          <c:xMode val="edge"/>
          <c:yMode val="edge"/>
          <c:x val="8.9958250888968999E-2"/>
          <c:y val="0.21721354943157101"/>
          <c:w val="0.88493814246590397"/>
          <c:h val="0.52459121372153095"/>
        </c:manualLayout>
      </c:layout>
      <c:lineChart>
        <c:grouping val="stacked"/>
        <c:varyColors val="0"/>
        <c:ser>
          <c:idx val="0"/>
          <c:order val="0"/>
          <c:tx>
            <c:strRef>
              <c:f>'1'!$B$2</c:f>
              <c:strCache>
                <c:ptCount val="1"/>
                <c:pt idx="0">
                  <c:v>Operaciones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'1'!$B$3:$B$16</c:f>
              <c:numCache>
                <c:formatCode>General</c:formatCode>
                <c:ptCount val="14"/>
                <c:pt idx="0">
                  <c:v>295</c:v>
                </c:pt>
                <c:pt idx="1">
                  <c:v>306</c:v>
                </c:pt>
                <c:pt idx="2">
                  <c:v>292</c:v>
                </c:pt>
                <c:pt idx="3">
                  <c:v>297</c:v>
                </c:pt>
                <c:pt idx="4">
                  <c:v>294</c:v>
                </c:pt>
                <c:pt idx="5">
                  <c:v>343</c:v>
                </c:pt>
                <c:pt idx="6">
                  <c:v>285</c:v>
                </c:pt>
                <c:pt idx="7">
                  <c:v>240</c:v>
                </c:pt>
                <c:pt idx="8">
                  <c:v>329</c:v>
                </c:pt>
                <c:pt idx="9">
                  <c:v>305</c:v>
                </c:pt>
                <c:pt idx="10">
                  <c:v>277</c:v>
                </c:pt>
                <c:pt idx="11">
                  <c:v>260</c:v>
                </c:pt>
                <c:pt idx="12">
                  <c:v>337</c:v>
                </c:pt>
                <c:pt idx="13">
                  <c:v>320</c:v>
                </c:pt>
              </c:numCache>
            </c:numRef>
          </c:val>
          <c:smooth val="0"/>
          <c:extLst>
            <c:ext xmlns:c16="http://schemas.microsoft.com/office/drawing/2014/chart" uri="{C3380CC4-5D6E-409C-BE32-E72D297353CC}">
              <c16:uniqueId val="{00000000-F3A6-9E49-9CBE-2C56B9B8534D}"/>
            </c:ext>
          </c:extLst>
        </c:ser>
        <c:dLbls>
          <c:showLegendKey val="0"/>
          <c:showVal val="0"/>
          <c:showCatName val="0"/>
          <c:showSerName val="0"/>
          <c:showPercent val="0"/>
          <c:showBubbleSize val="0"/>
        </c:dLbls>
        <c:marker val="1"/>
        <c:smooth val="0"/>
        <c:axId val="1047427736"/>
        <c:axId val="1047432520"/>
      </c:lineChart>
      <c:catAx>
        <c:axId val="1047427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CR"/>
          </a:p>
        </c:txPr>
        <c:crossAx val="1047432520"/>
        <c:crosses val="autoZero"/>
        <c:auto val="1"/>
        <c:lblAlgn val="ctr"/>
        <c:lblOffset val="100"/>
        <c:tickLblSkip val="1"/>
        <c:tickMarkSkip val="1"/>
        <c:noMultiLvlLbl val="0"/>
      </c:catAx>
      <c:valAx>
        <c:axId val="1047432520"/>
        <c:scaling>
          <c:orientation val="minMax"/>
          <c:max val="355"/>
          <c:min val="235"/>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CR"/>
          </a:p>
        </c:txPr>
        <c:crossAx val="1047427736"/>
        <c:crosses val="autoZero"/>
        <c:crossBetween val="between"/>
        <c:majorUnit val="10"/>
        <c:minorUnit val="10"/>
      </c:valAx>
      <c:spPr>
        <a:solidFill>
          <a:srgbClr val="C0C0C0"/>
        </a:solidFill>
        <a:ln w="12700">
          <a:solidFill>
            <a:srgbClr val="808080"/>
          </a:solidFill>
          <a:prstDash val="solid"/>
        </a:ln>
      </c:spPr>
    </c:plotArea>
    <c:legend>
      <c:legendPos val="b"/>
      <c:layout>
        <c:manualLayout>
          <c:xMode val="edge"/>
          <c:yMode val="edge"/>
          <c:x val="0.42677867863603902"/>
          <c:y val="0.88934604201228296"/>
          <c:w val="0.209205234625509"/>
          <c:h val="8.60657460011887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CR"/>
        </a:p>
      </c:txPr>
    </c:legend>
    <c:plotVisOnly val="1"/>
    <c:dispBlanksAs val="zero"/>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CR"/>
    </a:p>
  </c:txPr>
  <c:printSettings>
    <c:headerFooter/>
    <c:pageMargins b="1" l="0.75" r="0.75" t="1" header="0.5" footer="0.5"/>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n-US"/>
              <a:t>Gráfico de control p</a:t>
            </a:r>
          </a:p>
        </c:rich>
      </c:tx>
      <c:layout>
        <c:manualLayout>
          <c:xMode val="edge"/>
          <c:yMode val="edge"/>
          <c:x val="0.34246537164516"/>
          <c:y val="3.5156266763814302E-2"/>
        </c:manualLayout>
      </c:layout>
      <c:overlay val="0"/>
      <c:spPr>
        <a:noFill/>
        <a:ln w="25400">
          <a:noFill/>
        </a:ln>
      </c:spPr>
    </c:title>
    <c:autoTitleDeleted val="0"/>
    <c:plotArea>
      <c:layout>
        <c:manualLayout>
          <c:layoutTarget val="inner"/>
          <c:xMode val="edge"/>
          <c:yMode val="edge"/>
          <c:x val="0.11553770220955099"/>
          <c:y val="0.14716429394309299"/>
          <c:w val="0.76464067503815203"/>
          <c:h val="0.649710996585803"/>
        </c:manualLayout>
      </c:layout>
      <c:lineChart>
        <c:grouping val="standard"/>
        <c:varyColors val="0"/>
        <c:ser>
          <c:idx val="0"/>
          <c:order val="0"/>
          <c:tx>
            <c:strRef>
              <c:f>'[3]Segunda pregunta'!$D$26</c:f>
              <c:strCache>
                <c:ptCount val="1"/>
                <c:pt idx="0">
                  <c:v>Fracción</c:v>
                </c:pt>
              </c:strCache>
            </c:strRef>
          </c:tx>
          <c:spPr>
            <a:ln w="25400">
              <a:solidFill>
                <a:srgbClr val="63AAFE"/>
              </a:solidFill>
              <a:prstDash val="solid"/>
            </a:ln>
          </c:spPr>
          <c:marker>
            <c:symbol val="diamond"/>
            <c:size val="7"/>
            <c:spPr>
              <a:solidFill>
                <a:srgbClr val="63AAFE"/>
              </a:solidFill>
              <a:ln>
                <a:solidFill>
                  <a:srgbClr val="63AAFE"/>
                </a:solidFill>
                <a:prstDash val="solid"/>
              </a:ln>
              <a:effectLst>
                <a:outerShdw dist="35921" dir="2700000" algn="br">
                  <a:srgbClr val="000000"/>
                </a:outerShdw>
              </a:effectLst>
            </c:spPr>
          </c:marker>
          <c:val>
            <c:numRef>
              <c:f>'[3]Segunda pregunta'!$D$27:$D$44</c:f>
              <c:numCache>
                <c:formatCode>General</c:formatCode>
                <c:ptCount val="18"/>
                <c:pt idx="0">
                  <c:v>7.0588235294117646E-2</c:v>
                </c:pt>
                <c:pt idx="1">
                  <c:v>0.12941176470588237</c:v>
                </c:pt>
                <c:pt idx="2">
                  <c:v>5.8823529411764705E-2</c:v>
                </c:pt>
                <c:pt idx="3">
                  <c:v>0.11764705882352941</c:v>
                </c:pt>
                <c:pt idx="4">
                  <c:v>0.14117647058823529</c:v>
                </c:pt>
                <c:pt idx="5">
                  <c:v>5.8823529411764705E-2</c:v>
                </c:pt>
                <c:pt idx="6">
                  <c:v>8.8235294117647065E-2</c:v>
                </c:pt>
                <c:pt idx="7">
                  <c:v>0.12941176470588237</c:v>
                </c:pt>
                <c:pt idx="8">
                  <c:v>6.4705882352941183E-2</c:v>
                </c:pt>
                <c:pt idx="9">
                  <c:v>0.11764705882352941</c:v>
                </c:pt>
                <c:pt idx="10">
                  <c:v>0.1</c:v>
                </c:pt>
                <c:pt idx="11">
                  <c:v>7.0588235294117646E-2</c:v>
                </c:pt>
                <c:pt idx="12">
                  <c:v>0.14705882352941177</c:v>
                </c:pt>
                <c:pt idx="13">
                  <c:v>6.4705882352941183E-2</c:v>
                </c:pt>
                <c:pt idx="14">
                  <c:v>0.11764705882352941</c:v>
                </c:pt>
                <c:pt idx="15">
                  <c:v>0.1</c:v>
                </c:pt>
                <c:pt idx="16">
                  <c:v>0.12941176470588237</c:v>
                </c:pt>
                <c:pt idx="17">
                  <c:v>0.10588235294117647</c:v>
                </c:pt>
              </c:numCache>
            </c:numRef>
          </c:val>
          <c:smooth val="0"/>
          <c:extLst>
            <c:ext xmlns:c16="http://schemas.microsoft.com/office/drawing/2014/chart" uri="{C3380CC4-5D6E-409C-BE32-E72D297353CC}">
              <c16:uniqueId val="{00000000-D664-9E48-9308-74495A8C5F26}"/>
            </c:ext>
          </c:extLst>
        </c:ser>
        <c:ser>
          <c:idx val="1"/>
          <c:order val="1"/>
          <c:tx>
            <c:strRef>
              <c:f>'[3]Segunda pregunta'!$E$26</c:f>
              <c:strCache>
                <c:ptCount val="1"/>
                <c:pt idx="0">
                  <c:v>LCL</c:v>
                </c:pt>
              </c:strCache>
            </c:strRef>
          </c:tx>
          <c:spPr>
            <a:ln w="25400">
              <a:solidFill>
                <a:srgbClr val="DD2D32"/>
              </a:solidFill>
              <a:prstDash val="solid"/>
            </a:ln>
          </c:spPr>
          <c:marker>
            <c:symbol val="square"/>
            <c:size val="7"/>
            <c:spPr>
              <a:solidFill>
                <a:srgbClr val="DD2D32"/>
              </a:solidFill>
              <a:ln>
                <a:solidFill>
                  <a:srgbClr val="DD2D32"/>
                </a:solidFill>
                <a:prstDash val="solid"/>
              </a:ln>
              <a:effectLst>
                <a:outerShdw dist="35921" dir="2700000" algn="br">
                  <a:srgbClr val="000000"/>
                </a:outerShdw>
              </a:effectLst>
            </c:spPr>
          </c:marker>
          <c:val>
            <c:numRef>
              <c:f>'[3]Segunda pregunta'!$E$27:$E$44</c:f>
              <c:numCache>
                <c:formatCode>General</c:formatCode>
                <c:ptCount val="18"/>
                <c:pt idx="0">
                  <c:v>3.1426685786970651E-2</c:v>
                </c:pt>
                <c:pt idx="1">
                  <c:v>3.1426685786970651E-2</c:v>
                </c:pt>
                <c:pt idx="2">
                  <c:v>3.1426685786970651E-2</c:v>
                </c:pt>
                <c:pt idx="3">
                  <c:v>3.1426685786970651E-2</c:v>
                </c:pt>
                <c:pt idx="4">
                  <c:v>3.1426685786970651E-2</c:v>
                </c:pt>
                <c:pt idx="5">
                  <c:v>3.1426685786970651E-2</c:v>
                </c:pt>
                <c:pt idx="6">
                  <c:v>3.1426685786970651E-2</c:v>
                </c:pt>
                <c:pt idx="7">
                  <c:v>3.1426685786970651E-2</c:v>
                </c:pt>
                <c:pt idx="8">
                  <c:v>3.1426685786970651E-2</c:v>
                </c:pt>
                <c:pt idx="9">
                  <c:v>3.1426685786970651E-2</c:v>
                </c:pt>
                <c:pt idx="10">
                  <c:v>3.1426685786970651E-2</c:v>
                </c:pt>
                <c:pt idx="11">
                  <c:v>3.1426685786970651E-2</c:v>
                </c:pt>
                <c:pt idx="12">
                  <c:v>3.1426685786970651E-2</c:v>
                </c:pt>
                <c:pt idx="13">
                  <c:v>3.1426685786970651E-2</c:v>
                </c:pt>
                <c:pt idx="14">
                  <c:v>3.1426685786970651E-2</c:v>
                </c:pt>
                <c:pt idx="15">
                  <c:v>3.1426685786970651E-2</c:v>
                </c:pt>
                <c:pt idx="16">
                  <c:v>3.1426685786970651E-2</c:v>
                </c:pt>
                <c:pt idx="17">
                  <c:v>3.1426685786970651E-2</c:v>
                </c:pt>
              </c:numCache>
            </c:numRef>
          </c:val>
          <c:smooth val="0"/>
          <c:extLst>
            <c:ext xmlns:c16="http://schemas.microsoft.com/office/drawing/2014/chart" uri="{C3380CC4-5D6E-409C-BE32-E72D297353CC}">
              <c16:uniqueId val="{00000001-D664-9E48-9308-74495A8C5F26}"/>
            </c:ext>
          </c:extLst>
        </c:ser>
        <c:ser>
          <c:idx val="2"/>
          <c:order val="2"/>
          <c:tx>
            <c:strRef>
              <c:f>'[3]Segunda pregunta'!$F$26</c:f>
              <c:strCache>
                <c:ptCount val="1"/>
                <c:pt idx="0">
                  <c:v>CCL</c:v>
                </c:pt>
              </c:strCache>
            </c:strRef>
          </c:tx>
          <c:spPr>
            <a:ln w="25400">
              <a:solidFill>
                <a:srgbClr val="FFF58C"/>
              </a:solidFill>
              <a:prstDash val="solid"/>
            </a:ln>
          </c:spPr>
          <c:marker>
            <c:symbol val="triangle"/>
            <c:size val="7"/>
            <c:spPr>
              <a:solidFill>
                <a:srgbClr val="FFF58C"/>
              </a:solidFill>
              <a:ln>
                <a:solidFill>
                  <a:srgbClr val="FFF58C"/>
                </a:solidFill>
                <a:prstDash val="solid"/>
              </a:ln>
              <a:effectLst>
                <a:outerShdw dist="35921" dir="2700000" algn="br">
                  <a:srgbClr val="000000"/>
                </a:outerShdw>
              </a:effectLst>
            </c:spPr>
          </c:marker>
          <c:val>
            <c:numRef>
              <c:f>'[3]Segunda pregunta'!$F$27:$F$44</c:f>
              <c:numCache>
                <c:formatCode>General</c:formatCode>
                <c:ptCount val="18"/>
                <c:pt idx="0">
                  <c:v>0.10065359477124183</c:v>
                </c:pt>
                <c:pt idx="1">
                  <c:v>0.10065359477124183</c:v>
                </c:pt>
                <c:pt idx="2">
                  <c:v>0.10065359477124183</c:v>
                </c:pt>
                <c:pt idx="3">
                  <c:v>0.10065359477124183</c:v>
                </c:pt>
                <c:pt idx="4">
                  <c:v>0.10065359477124183</c:v>
                </c:pt>
                <c:pt idx="5">
                  <c:v>0.10065359477124183</c:v>
                </c:pt>
                <c:pt idx="6">
                  <c:v>0.10065359477124183</c:v>
                </c:pt>
                <c:pt idx="7">
                  <c:v>0.10065359477124183</c:v>
                </c:pt>
                <c:pt idx="8">
                  <c:v>0.10065359477124183</c:v>
                </c:pt>
                <c:pt idx="9">
                  <c:v>0.10065359477124183</c:v>
                </c:pt>
                <c:pt idx="10">
                  <c:v>0.10065359477124183</c:v>
                </c:pt>
                <c:pt idx="11">
                  <c:v>0.10065359477124183</c:v>
                </c:pt>
                <c:pt idx="12">
                  <c:v>0.10065359477124183</c:v>
                </c:pt>
                <c:pt idx="13">
                  <c:v>0.10065359477124183</c:v>
                </c:pt>
                <c:pt idx="14">
                  <c:v>0.10065359477124183</c:v>
                </c:pt>
                <c:pt idx="15">
                  <c:v>0.10065359477124183</c:v>
                </c:pt>
                <c:pt idx="16">
                  <c:v>0.10065359477124183</c:v>
                </c:pt>
                <c:pt idx="17">
                  <c:v>0.10065359477124183</c:v>
                </c:pt>
              </c:numCache>
            </c:numRef>
          </c:val>
          <c:smooth val="0"/>
          <c:extLst>
            <c:ext xmlns:c16="http://schemas.microsoft.com/office/drawing/2014/chart" uri="{C3380CC4-5D6E-409C-BE32-E72D297353CC}">
              <c16:uniqueId val="{00000002-D664-9E48-9308-74495A8C5F26}"/>
            </c:ext>
          </c:extLst>
        </c:ser>
        <c:ser>
          <c:idx val="3"/>
          <c:order val="3"/>
          <c:tx>
            <c:strRef>
              <c:f>'[3]Segunda pregunta'!$G$26</c:f>
              <c:strCache>
                <c:ptCount val="1"/>
                <c:pt idx="0">
                  <c:v>UCL</c:v>
                </c:pt>
              </c:strCache>
            </c:strRef>
          </c:tx>
          <c:spPr>
            <a:ln w="25400">
              <a:solidFill>
                <a:srgbClr val="4EE257"/>
              </a:solidFill>
              <a:prstDash val="solid"/>
            </a:ln>
          </c:spPr>
          <c:marker>
            <c:symbol val="x"/>
            <c:size val="7"/>
            <c:spPr>
              <a:noFill/>
              <a:ln>
                <a:solidFill>
                  <a:srgbClr val="4EE257"/>
                </a:solidFill>
                <a:prstDash val="solid"/>
              </a:ln>
              <a:effectLst>
                <a:outerShdw dist="35921" dir="2700000" algn="br">
                  <a:srgbClr val="000000"/>
                </a:outerShdw>
              </a:effectLst>
            </c:spPr>
          </c:marker>
          <c:val>
            <c:numRef>
              <c:f>'[3]Segunda pregunta'!$G$27:$G$44</c:f>
              <c:numCache>
                <c:formatCode>General</c:formatCode>
                <c:ptCount val="18"/>
                <c:pt idx="0">
                  <c:v>0.169880503755513</c:v>
                </c:pt>
                <c:pt idx="1">
                  <c:v>0.169880503755513</c:v>
                </c:pt>
                <c:pt idx="2">
                  <c:v>0.169880503755513</c:v>
                </c:pt>
                <c:pt idx="3">
                  <c:v>0.169880503755513</c:v>
                </c:pt>
                <c:pt idx="4">
                  <c:v>0.169880503755513</c:v>
                </c:pt>
                <c:pt idx="5">
                  <c:v>0.169880503755513</c:v>
                </c:pt>
                <c:pt idx="6">
                  <c:v>0.169880503755513</c:v>
                </c:pt>
                <c:pt idx="7">
                  <c:v>0.169880503755513</c:v>
                </c:pt>
                <c:pt idx="8">
                  <c:v>0.169880503755513</c:v>
                </c:pt>
                <c:pt idx="9">
                  <c:v>0.169880503755513</c:v>
                </c:pt>
                <c:pt idx="10">
                  <c:v>0.169880503755513</c:v>
                </c:pt>
                <c:pt idx="11">
                  <c:v>0.169880503755513</c:v>
                </c:pt>
                <c:pt idx="12">
                  <c:v>0.169880503755513</c:v>
                </c:pt>
                <c:pt idx="13">
                  <c:v>0.169880503755513</c:v>
                </c:pt>
                <c:pt idx="14">
                  <c:v>0.169880503755513</c:v>
                </c:pt>
                <c:pt idx="15">
                  <c:v>0.169880503755513</c:v>
                </c:pt>
                <c:pt idx="16">
                  <c:v>0.169880503755513</c:v>
                </c:pt>
                <c:pt idx="17">
                  <c:v>0.169880503755513</c:v>
                </c:pt>
              </c:numCache>
            </c:numRef>
          </c:val>
          <c:smooth val="0"/>
          <c:extLst>
            <c:ext xmlns:c16="http://schemas.microsoft.com/office/drawing/2014/chart" uri="{C3380CC4-5D6E-409C-BE32-E72D297353CC}">
              <c16:uniqueId val="{00000003-D664-9E48-9308-74495A8C5F26}"/>
            </c:ext>
          </c:extLst>
        </c:ser>
        <c:dLbls>
          <c:showLegendKey val="0"/>
          <c:showVal val="0"/>
          <c:showCatName val="0"/>
          <c:showSerName val="0"/>
          <c:showPercent val="0"/>
          <c:showBubbleSize val="0"/>
        </c:dLbls>
        <c:marker val="1"/>
        <c:smooth val="0"/>
        <c:axId val="1124814344"/>
        <c:axId val="1125799064"/>
      </c:lineChart>
      <c:catAx>
        <c:axId val="1124814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en-CR"/>
          </a:p>
        </c:txPr>
        <c:crossAx val="1125799064"/>
        <c:crosses val="autoZero"/>
        <c:auto val="1"/>
        <c:lblAlgn val="ctr"/>
        <c:lblOffset val="100"/>
        <c:tickLblSkip val="2"/>
        <c:tickMarkSkip val="1"/>
        <c:noMultiLvlLbl val="0"/>
      </c:catAx>
      <c:valAx>
        <c:axId val="11257990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Verdana"/>
                <a:ea typeface="Verdana"/>
                <a:cs typeface="Verdana"/>
              </a:defRPr>
            </a:pPr>
            <a:endParaRPr lang="en-CR"/>
          </a:p>
        </c:txPr>
        <c:crossAx val="1124814344"/>
        <c:crosses val="autoZero"/>
        <c:crossBetween val="between"/>
      </c:valAx>
      <c:spPr>
        <a:solidFill>
          <a:srgbClr val="CDCDCD"/>
        </a:solidFill>
        <a:ln w="12700">
          <a:solidFill>
            <a:srgbClr val="808080"/>
          </a:solidFill>
          <a:prstDash val="solid"/>
        </a:ln>
      </c:spPr>
    </c:plotArea>
    <c:legend>
      <c:legendPos val="r"/>
      <c:layout>
        <c:manualLayout>
          <c:xMode val="edge"/>
          <c:yMode val="edge"/>
          <c:x val="0.88996840237722197"/>
          <c:y val="0.38388625592416997"/>
          <c:w val="0.102472984863423"/>
          <c:h val="0.27767806760264901"/>
        </c:manualLayout>
      </c:layout>
      <c:overlay val="0"/>
      <c:spPr>
        <a:solidFill>
          <a:srgbClr val="FFFFFF"/>
        </a:solidFill>
        <a:ln w="25400">
          <a:noFill/>
        </a:ln>
      </c:spPr>
      <c:txPr>
        <a:bodyPr/>
        <a:lstStyle/>
        <a:p>
          <a:pPr>
            <a:defRPr sz="940"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Gráfica U con Límites Variables</a:t>
            </a:r>
          </a:p>
        </c:rich>
      </c:tx>
      <c:layout>
        <c:manualLayout>
          <c:xMode val="edge"/>
          <c:yMode val="edge"/>
          <c:x val="0.345263820969747"/>
          <c:y val="3.4090909090909102E-2"/>
        </c:manualLayout>
      </c:layout>
      <c:overlay val="0"/>
      <c:spPr>
        <a:noFill/>
        <a:ln w="25400">
          <a:noFill/>
        </a:ln>
      </c:spPr>
    </c:title>
    <c:autoTitleDeleted val="0"/>
    <c:plotArea>
      <c:layout>
        <c:manualLayout>
          <c:layoutTarget val="inner"/>
          <c:xMode val="edge"/>
          <c:yMode val="edge"/>
          <c:x val="7.5789610024483506E-2"/>
          <c:y val="0.17045517598535101"/>
          <c:w val="0.90105425251330395"/>
          <c:h val="0.59848706234856697"/>
        </c:manualLayout>
      </c:layout>
      <c:lineChart>
        <c:grouping val="standard"/>
        <c:varyColors val="0"/>
        <c:ser>
          <c:idx val="0"/>
          <c:order val="0"/>
          <c:tx>
            <c:strRef>
              <c:f>'2'!$D$2</c:f>
              <c:strCache>
                <c:ptCount val="1"/>
                <c:pt idx="0">
                  <c:v>U</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'2'!$D$3:$D$26</c:f>
              <c:numCache>
                <c:formatCode>0.00</c:formatCode>
                <c:ptCount val="24"/>
                <c:pt idx="0">
                  <c:v>0.85</c:v>
                </c:pt>
                <c:pt idx="1">
                  <c:v>1.2</c:v>
                </c:pt>
                <c:pt idx="2">
                  <c:v>0.8</c:v>
                </c:pt>
                <c:pt idx="3">
                  <c:v>1.3</c:v>
                </c:pt>
                <c:pt idx="4">
                  <c:v>1</c:v>
                </c:pt>
                <c:pt idx="5">
                  <c:v>1</c:v>
                </c:pt>
                <c:pt idx="6">
                  <c:v>1.3333333333333333</c:v>
                </c:pt>
                <c:pt idx="7">
                  <c:v>0.72</c:v>
                </c:pt>
                <c:pt idx="8">
                  <c:v>1.04</c:v>
                </c:pt>
                <c:pt idx="9">
                  <c:v>0.64</c:v>
                </c:pt>
                <c:pt idx="10">
                  <c:v>1</c:v>
                </c:pt>
                <c:pt idx="11">
                  <c:v>0.7</c:v>
                </c:pt>
                <c:pt idx="12">
                  <c:v>1.3333333333333333</c:v>
                </c:pt>
                <c:pt idx="13">
                  <c:v>0.8</c:v>
                </c:pt>
                <c:pt idx="14">
                  <c:v>0.96666666666666667</c:v>
                </c:pt>
                <c:pt idx="15">
                  <c:v>1.0666666666666667</c:v>
                </c:pt>
                <c:pt idx="16">
                  <c:v>1</c:v>
                </c:pt>
                <c:pt idx="17">
                  <c:v>1.1333333333333333</c:v>
                </c:pt>
                <c:pt idx="18">
                  <c:v>0.73333333333333328</c:v>
                </c:pt>
                <c:pt idx="19">
                  <c:v>0.93333333333333335</c:v>
                </c:pt>
                <c:pt idx="20">
                  <c:v>2</c:v>
                </c:pt>
                <c:pt idx="21">
                  <c:v>1.1333333333333333</c:v>
                </c:pt>
                <c:pt idx="22">
                  <c:v>1.2</c:v>
                </c:pt>
                <c:pt idx="23">
                  <c:v>1.3333333333333333</c:v>
                </c:pt>
              </c:numCache>
            </c:numRef>
          </c:val>
          <c:smooth val="0"/>
          <c:extLst>
            <c:ext xmlns:c16="http://schemas.microsoft.com/office/drawing/2014/chart" uri="{C3380CC4-5D6E-409C-BE32-E72D297353CC}">
              <c16:uniqueId val="{00000000-3FE1-BD48-9DD8-6C442FFB83F6}"/>
            </c:ext>
          </c:extLst>
        </c:ser>
        <c:ser>
          <c:idx val="3"/>
          <c:order val="1"/>
          <c:tx>
            <c:strRef>
              <c:f>'2'!$G$2</c:f>
              <c:strCache>
                <c:ptCount val="1"/>
                <c:pt idx="0">
                  <c:v>UCL</c:v>
                </c:pt>
              </c:strCache>
            </c:strRef>
          </c:tx>
          <c:spPr>
            <a:ln w="12700">
              <a:solidFill>
                <a:srgbClr val="DD0806"/>
              </a:solidFill>
              <a:prstDash val="solid"/>
            </a:ln>
          </c:spPr>
          <c:marker>
            <c:symbol val="x"/>
            <c:size val="10"/>
            <c:spPr>
              <a:noFill/>
              <a:ln>
                <a:solidFill>
                  <a:srgbClr val="DD0806"/>
                </a:solidFill>
                <a:prstDash val="solid"/>
              </a:ln>
            </c:spPr>
          </c:marker>
          <c:val>
            <c:numRef>
              <c:f>'2'!$G$3:$G$26</c:f>
              <c:numCache>
                <c:formatCode>0.00</c:formatCode>
                <c:ptCount val="24"/>
                <c:pt idx="0">
                  <c:v>1.7038369058794964</c:v>
                </c:pt>
                <c:pt idx="1">
                  <c:v>1.7038369058794964</c:v>
                </c:pt>
                <c:pt idx="2">
                  <c:v>1.7038369058794964</c:v>
                </c:pt>
                <c:pt idx="3">
                  <c:v>1.7038369058794964</c:v>
                </c:pt>
                <c:pt idx="4">
                  <c:v>1.8088901741522787</c:v>
                </c:pt>
                <c:pt idx="5">
                  <c:v>1.8088901741522787</c:v>
                </c:pt>
                <c:pt idx="6">
                  <c:v>1.8088901741522787</c:v>
                </c:pt>
                <c:pt idx="7">
                  <c:v>1.632145050489777</c:v>
                </c:pt>
                <c:pt idx="8">
                  <c:v>1.632145050489777</c:v>
                </c:pt>
                <c:pt idx="9">
                  <c:v>1.632145050489777</c:v>
                </c:pt>
                <c:pt idx="10">
                  <c:v>1.632145050489777</c:v>
                </c:pt>
                <c:pt idx="11">
                  <c:v>1.57922432136791</c:v>
                </c:pt>
                <c:pt idx="12">
                  <c:v>1.57922432136791</c:v>
                </c:pt>
                <c:pt idx="13">
                  <c:v>1.57922432136791</c:v>
                </c:pt>
                <c:pt idx="14">
                  <c:v>1.57922432136791</c:v>
                </c:pt>
                <c:pt idx="15">
                  <c:v>1.57922432136791</c:v>
                </c:pt>
                <c:pt idx="16">
                  <c:v>1.57922432136791</c:v>
                </c:pt>
                <c:pt idx="17">
                  <c:v>1.57922432136791</c:v>
                </c:pt>
                <c:pt idx="18">
                  <c:v>1.8088901741522787</c:v>
                </c:pt>
                <c:pt idx="19">
                  <c:v>1.8088901741522787</c:v>
                </c:pt>
                <c:pt idx="20">
                  <c:v>1.8088901741522787</c:v>
                </c:pt>
                <c:pt idx="21">
                  <c:v>1.8088901741522787</c:v>
                </c:pt>
                <c:pt idx="22">
                  <c:v>1.8088901741522787</c:v>
                </c:pt>
                <c:pt idx="23">
                  <c:v>1.8088901741522787</c:v>
                </c:pt>
              </c:numCache>
            </c:numRef>
          </c:val>
          <c:smooth val="0"/>
          <c:extLst>
            <c:ext xmlns:c16="http://schemas.microsoft.com/office/drawing/2014/chart" uri="{C3380CC4-5D6E-409C-BE32-E72D297353CC}">
              <c16:uniqueId val="{00000001-3FE1-BD48-9DD8-6C442FFB83F6}"/>
            </c:ext>
          </c:extLst>
        </c:ser>
        <c:ser>
          <c:idx val="4"/>
          <c:order val="2"/>
          <c:tx>
            <c:strRef>
              <c:f>'2'!$H$2</c:f>
              <c:strCache>
                <c:ptCount val="1"/>
                <c:pt idx="0">
                  <c:v>LCL</c:v>
                </c:pt>
              </c:strCache>
            </c:strRef>
          </c:tx>
          <c:spPr>
            <a:ln w="12700">
              <a:solidFill>
                <a:srgbClr val="800080"/>
              </a:solidFill>
              <a:prstDash val="solid"/>
            </a:ln>
          </c:spPr>
          <c:marker>
            <c:symbol val="star"/>
            <c:size val="10"/>
            <c:spPr>
              <a:noFill/>
              <a:ln>
                <a:solidFill>
                  <a:srgbClr val="800080"/>
                </a:solidFill>
                <a:prstDash val="solid"/>
              </a:ln>
            </c:spPr>
          </c:marker>
          <c:val>
            <c:numRef>
              <c:f>'2'!$H$3:$H$26</c:f>
              <c:numCache>
                <c:formatCode>0.00</c:formatCode>
                <c:ptCount val="24"/>
                <c:pt idx="0">
                  <c:v>0.34568690364431309</c:v>
                </c:pt>
                <c:pt idx="1">
                  <c:v>0.34568690364431309</c:v>
                </c:pt>
                <c:pt idx="2">
                  <c:v>0.34568690364431309</c:v>
                </c:pt>
                <c:pt idx="3">
                  <c:v>0.34568690364431309</c:v>
                </c:pt>
                <c:pt idx="4">
                  <c:v>0.24063363537153082</c:v>
                </c:pt>
                <c:pt idx="5">
                  <c:v>0.24063363537153082</c:v>
                </c:pt>
                <c:pt idx="6">
                  <c:v>0.24063363537153082</c:v>
                </c:pt>
                <c:pt idx="7">
                  <c:v>0.41737875903403254</c:v>
                </c:pt>
                <c:pt idx="8">
                  <c:v>0.41737875903403254</c:v>
                </c:pt>
                <c:pt idx="9">
                  <c:v>0.41737875903403254</c:v>
                </c:pt>
                <c:pt idx="10">
                  <c:v>0.41737875903403254</c:v>
                </c:pt>
                <c:pt idx="11">
                  <c:v>0.47029948815589939</c:v>
                </c:pt>
                <c:pt idx="12">
                  <c:v>0.47029948815589939</c:v>
                </c:pt>
                <c:pt idx="13">
                  <c:v>0.47029948815589939</c:v>
                </c:pt>
                <c:pt idx="14">
                  <c:v>0.47029948815589939</c:v>
                </c:pt>
                <c:pt idx="15">
                  <c:v>0.47029948815589939</c:v>
                </c:pt>
                <c:pt idx="16">
                  <c:v>0.47029948815589939</c:v>
                </c:pt>
                <c:pt idx="17">
                  <c:v>0.47029948815589939</c:v>
                </c:pt>
                <c:pt idx="18">
                  <c:v>0.24063363537153082</c:v>
                </c:pt>
                <c:pt idx="19">
                  <c:v>0.24063363537153082</c:v>
                </c:pt>
                <c:pt idx="20">
                  <c:v>0.24063363537153082</c:v>
                </c:pt>
                <c:pt idx="21">
                  <c:v>0.24063363537153082</c:v>
                </c:pt>
                <c:pt idx="22">
                  <c:v>0.24063363537153082</c:v>
                </c:pt>
                <c:pt idx="23">
                  <c:v>0.24063363537153082</c:v>
                </c:pt>
              </c:numCache>
            </c:numRef>
          </c:val>
          <c:smooth val="0"/>
          <c:extLst>
            <c:ext xmlns:c16="http://schemas.microsoft.com/office/drawing/2014/chart" uri="{C3380CC4-5D6E-409C-BE32-E72D297353CC}">
              <c16:uniqueId val="{00000002-3FE1-BD48-9DD8-6C442FFB83F6}"/>
            </c:ext>
          </c:extLst>
        </c:ser>
        <c:dLbls>
          <c:showLegendKey val="0"/>
          <c:showVal val="0"/>
          <c:showCatName val="0"/>
          <c:showSerName val="0"/>
          <c:showPercent val="0"/>
          <c:showBubbleSize val="0"/>
        </c:dLbls>
        <c:marker val="1"/>
        <c:smooth val="0"/>
        <c:axId val="1116340616"/>
        <c:axId val="1128769336"/>
      </c:lineChart>
      <c:catAx>
        <c:axId val="11163406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Lote</a:t>
                </a:r>
              </a:p>
            </c:rich>
          </c:tx>
          <c:layout>
            <c:manualLayout>
              <c:xMode val="edge"/>
              <c:yMode val="edge"/>
              <c:x val="0.50526398673850004"/>
              <c:y val="0.837124194702934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128769336"/>
        <c:crosses val="autoZero"/>
        <c:auto val="1"/>
        <c:lblAlgn val="ctr"/>
        <c:lblOffset val="100"/>
        <c:tickLblSkip val="1"/>
        <c:tickMarkSkip val="1"/>
        <c:noMultiLvlLbl val="0"/>
      </c:catAx>
      <c:valAx>
        <c:axId val="112876933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116340616"/>
        <c:crosses val="autoZero"/>
        <c:crossBetween val="between"/>
      </c:valAx>
      <c:spPr>
        <a:solidFill>
          <a:srgbClr val="C0C0C0"/>
        </a:solidFill>
        <a:ln w="12700">
          <a:solidFill>
            <a:srgbClr val="808080"/>
          </a:solidFill>
          <a:prstDash val="solid"/>
        </a:ln>
      </c:spPr>
    </c:plotArea>
    <c:legend>
      <c:legendPos val="b"/>
      <c:layout>
        <c:manualLayout>
          <c:xMode val="edge"/>
          <c:yMode val="edge"/>
          <c:x val="0.39368487360132598"/>
          <c:y val="0.92424570508231896"/>
          <c:w val="0.26315839204309999"/>
          <c:h val="5.30306012884751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CR"/>
    </a:p>
  </c:txPr>
  <c:printSettings>
    <c:headerFooter/>
    <c:pageMargins b="1" l="0.75" r="0.75" t="1" header="0.5" footer="0.5"/>
    <c:pageSetup orientation="landscape" horizontalDpi="-2" verticalDpi="-2"/>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Gráfica U con Límites Fijos</a:t>
            </a:r>
          </a:p>
        </c:rich>
      </c:tx>
      <c:layout>
        <c:manualLayout>
          <c:xMode val="edge"/>
          <c:yMode val="edge"/>
          <c:x val="0.365750861480581"/>
          <c:y val="3.4351145038167899E-2"/>
        </c:manualLayout>
      </c:layout>
      <c:overlay val="0"/>
      <c:spPr>
        <a:noFill/>
        <a:ln w="25400">
          <a:noFill/>
        </a:ln>
      </c:spPr>
    </c:title>
    <c:autoTitleDeleted val="0"/>
    <c:plotArea>
      <c:layout>
        <c:manualLayout>
          <c:layoutTarget val="inner"/>
          <c:xMode val="edge"/>
          <c:yMode val="edge"/>
          <c:x val="7.6109995501718403E-2"/>
          <c:y val="0.17175604528723801"/>
          <c:w val="0.90063494677033396"/>
          <c:h val="0.59542095699576003"/>
        </c:manualLayout>
      </c:layout>
      <c:lineChart>
        <c:grouping val="standard"/>
        <c:varyColors val="0"/>
        <c:ser>
          <c:idx val="0"/>
          <c:order val="0"/>
          <c:tx>
            <c:strRef>
              <c:f>'2'!$D$2</c:f>
              <c:strCache>
                <c:ptCount val="1"/>
                <c:pt idx="0">
                  <c:v>U</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'2'!$D$3:$D$26</c:f>
              <c:numCache>
                <c:formatCode>0.00</c:formatCode>
                <c:ptCount val="24"/>
                <c:pt idx="0">
                  <c:v>0.85</c:v>
                </c:pt>
                <c:pt idx="1">
                  <c:v>1.2</c:v>
                </c:pt>
                <c:pt idx="2">
                  <c:v>0.8</c:v>
                </c:pt>
                <c:pt idx="3">
                  <c:v>1.3</c:v>
                </c:pt>
                <c:pt idx="4">
                  <c:v>1</c:v>
                </c:pt>
                <c:pt idx="5">
                  <c:v>1</c:v>
                </c:pt>
                <c:pt idx="6">
                  <c:v>1.3333333333333333</c:v>
                </c:pt>
                <c:pt idx="7">
                  <c:v>0.72</c:v>
                </c:pt>
                <c:pt idx="8">
                  <c:v>1.04</c:v>
                </c:pt>
                <c:pt idx="9">
                  <c:v>0.64</c:v>
                </c:pt>
                <c:pt idx="10">
                  <c:v>1</c:v>
                </c:pt>
                <c:pt idx="11">
                  <c:v>0.7</c:v>
                </c:pt>
                <c:pt idx="12">
                  <c:v>1.3333333333333333</c:v>
                </c:pt>
                <c:pt idx="13">
                  <c:v>0.8</c:v>
                </c:pt>
                <c:pt idx="14">
                  <c:v>0.96666666666666667</c:v>
                </c:pt>
                <c:pt idx="15">
                  <c:v>1.0666666666666667</c:v>
                </c:pt>
                <c:pt idx="16">
                  <c:v>1</c:v>
                </c:pt>
                <c:pt idx="17">
                  <c:v>1.1333333333333333</c:v>
                </c:pt>
                <c:pt idx="18">
                  <c:v>0.73333333333333328</c:v>
                </c:pt>
                <c:pt idx="19">
                  <c:v>0.93333333333333335</c:v>
                </c:pt>
                <c:pt idx="20">
                  <c:v>2</c:v>
                </c:pt>
                <c:pt idx="21">
                  <c:v>1.1333333333333333</c:v>
                </c:pt>
                <c:pt idx="22">
                  <c:v>1.2</c:v>
                </c:pt>
                <c:pt idx="23">
                  <c:v>1.3333333333333333</c:v>
                </c:pt>
              </c:numCache>
            </c:numRef>
          </c:val>
          <c:smooth val="0"/>
          <c:extLst>
            <c:ext xmlns:c16="http://schemas.microsoft.com/office/drawing/2014/chart" uri="{C3380CC4-5D6E-409C-BE32-E72D297353CC}">
              <c16:uniqueId val="{00000000-A505-CC49-BD96-C55DA7F31AFE}"/>
            </c:ext>
          </c:extLst>
        </c:ser>
        <c:ser>
          <c:idx val="1"/>
          <c:order val="1"/>
          <c:tx>
            <c:strRef>
              <c:f>'2'!$E$2</c:f>
              <c:strCache>
                <c:ptCount val="1"/>
                <c:pt idx="0">
                  <c:v>UCL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'2'!$E$3:$E$26</c:f>
              <c:numCache>
                <c:formatCode>0.00</c:formatCode>
                <c:ptCount val="24"/>
                <c:pt idx="0">
                  <c:v>1.6740818001375295</c:v>
                </c:pt>
                <c:pt idx="1">
                  <c:v>1.6740818001375295</c:v>
                </c:pt>
                <c:pt idx="2">
                  <c:v>1.6740818001375295</c:v>
                </c:pt>
                <c:pt idx="3">
                  <c:v>1.6740818001375295</c:v>
                </c:pt>
                <c:pt idx="4">
                  <c:v>1.6740818001375295</c:v>
                </c:pt>
                <c:pt idx="5">
                  <c:v>1.6740818001375295</c:v>
                </c:pt>
                <c:pt idx="6">
                  <c:v>1.6740818001375295</c:v>
                </c:pt>
                <c:pt idx="7">
                  <c:v>1.6740818001375295</c:v>
                </c:pt>
                <c:pt idx="8">
                  <c:v>1.6740818001375295</c:v>
                </c:pt>
                <c:pt idx="9">
                  <c:v>1.6740818001375295</c:v>
                </c:pt>
                <c:pt idx="10">
                  <c:v>1.6740818001375295</c:v>
                </c:pt>
                <c:pt idx="11">
                  <c:v>1.6740818001375295</c:v>
                </c:pt>
                <c:pt idx="12">
                  <c:v>1.6740818001375295</c:v>
                </c:pt>
                <c:pt idx="13">
                  <c:v>1.6740818001375295</c:v>
                </c:pt>
                <c:pt idx="14">
                  <c:v>1.6740818001375295</c:v>
                </c:pt>
                <c:pt idx="15">
                  <c:v>1.6740818001375295</c:v>
                </c:pt>
                <c:pt idx="16">
                  <c:v>1.6740818001375295</c:v>
                </c:pt>
                <c:pt idx="17">
                  <c:v>1.6740818001375295</c:v>
                </c:pt>
                <c:pt idx="18">
                  <c:v>1.6740818001375295</c:v>
                </c:pt>
                <c:pt idx="19">
                  <c:v>1.6740818001375295</c:v>
                </c:pt>
                <c:pt idx="20">
                  <c:v>1.6740818001375295</c:v>
                </c:pt>
                <c:pt idx="21">
                  <c:v>1.6740818001375295</c:v>
                </c:pt>
                <c:pt idx="22">
                  <c:v>1.6740818001375295</c:v>
                </c:pt>
                <c:pt idx="23">
                  <c:v>1.6740818001375295</c:v>
                </c:pt>
              </c:numCache>
            </c:numRef>
          </c:val>
          <c:smooth val="0"/>
          <c:extLst>
            <c:ext xmlns:c16="http://schemas.microsoft.com/office/drawing/2014/chart" uri="{C3380CC4-5D6E-409C-BE32-E72D297353CC}">
              <c16:uniqueId val="{00000001-A505-CC49-BD96-C55DA7F31AFE}"/>
            </c:ext>
          </c:extLst>
        </c:ser>
        <c:ser>
          <c:idx val="2"/>
          <c:order val="2"/>
          <c:tx>
            <c:strRef>
              <c:f>'2'!$F$2</c:f>
              <c:strCache>
                <c:ptCount val="1"/>
                <c:pt idx="0">
                  <c:v>LCL</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'2'!$F$3:$F$26</c:f>
              <c:numCache>
                <c:formatCode>0.00</c:formatCode>
                <c:ptCount val="24"/>
                <c:pt idx="0">
                  <c:v>0.37544200938628003</c:v>
                </c:pt>
                <c:pt idx="1">
                  <c:v>0.37544200938628003</c:v>
                </c:pt>
                <c:pt idx="2">
                  <c:v>0.37544200938628003</c:v>
                </c:pt>
                <c:pt idx="3">
                  <c:v>0.37544200938628003</c:v>
                </c:pt>
                <c:pt idx="4">
                  <c:v>0.37544200938628003</c:v>
                </c:pt>
                <c:pt idx="5">
                  <c:v>0.37544200938628003</c:v>
                </c:pt>
                <c:pt idx="6">
                  <c:v>0.37544200938628003</c:v>
                </c:pt>
                <c:pt idx="7">
                  <c:v>0.37544200938628003</c:v>
                </c:pt>
                <c:pt idx="8">
                  <c:v>0.37544200938628003</c:v>
                </c:pt>
                <c:pt idx="9">
                  <c:v>0.37544200938628003</c:v>
                </c:pt>
                <c:pt idx="10">
                  <c:v>0.37544200938628003</c:v>
                </c:pt>
                <c:pt idx="11">
                  <c:v>0.37544200938628003</c:v>
                </c:pt>
                <c:pt idx="12">
                  <c:v>0.37544200938628003</c:v>
                </c:pt>
                <c:pt idx="13">
                  <c:v>0.37544200938628003</c:v>
                </c:pt>
                <c:pt idx="14">
                  <c:v>0.37544200938628003</c:v>
                </c:pt>
                <c:pt idx="15">
                  <c:v>0.37544200938628003</c:v>
                </c:pt>
                <c:pt idx="16">
                  <c:v>0.37544200938628003</c:v>
                </c:pt>
                <c:pt idx="17">
                  <c:v>0.37544200938628003</c:v>
                </c:pt>
                <c:pt idx="18">
                  <c:v>0.37544200938628003</c:v>
                </c:pt>
                <c:pt idx="19">
                  <c:v>0.37544200938628003</c:v>
                </c:pt>
                <c:pt idx="20">
                  <c:v>0.37544200938628003</c:v>
                </c:pt>
                <c:pt idx="21">
                  <c:v>0.37544200938628003</c:v>
                </c:pt>
                <c:pt idx="22">
                  <c:v>0.37544200938628003</c:v>
                </c:pt>
                <c:pt idx="23">
                  <c:v>0.37544200938628003</c:v>
                </c:pt>
              </c:numCache>
            </c:numRef>
          </c:val>
          <c:smooth val="0"/>
          <c:extLst>
            <c:ext xmlns:c16="http://schemas.microsoft.com/office/drawing/2014/chart" uri="{C3380CC4-5D6E-409C-BE32-E72D297353CC}">
              <c16:uniqueId val="{00000002-A505-CC49-BD96-C55DA7F31AFE}"/>
            </c:ext>
          </c:extLst>
        </c:ser>
        <c:dLbls>
          <c:showLegendKey val="0"/>
          <c:showVal val="0"/>
          <c:showCatName val="0"/>
          <c:showSerName val="0"/>
          <c:showPercent val="0"/>
          <c:showBubbleSize val="0"/>
        </c:dLbls>
        <c:marker val="1"/>
        <c:smooth val="0"/>
        <c:axId val="1128812952"/>
        <c:axId val="1128820824"/>
      </c:lineChart>
      <c:catAx>
        <c:axId val="11288129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Lote</a:t>
                </a:r>
              </a:p>
            </c:rich>
          </c:tx>
          <c:layout>
            <c:manualLayout>
              <c:xMode val="edge"/>
              <c:yMode val="edge"/>
              <c:x val="0.50528574520151104"/>
              <c:y val="0.835879365270181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128820824"/>
        <c:crosses val="autoZero"/>
        <c:auto val="1"/>
        <c:lblAlgn val="ctr"/>
        <c:lblOffset val="100"/>
        <c:tickLblSkip val="1"/>
        <c:tickMarkSkip val="1"/>
        <c:noMultiLvlLbl val="0"/>
      </c:catAx>
      <c:valAx>
        <c:axId val="112882082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CR"/>
          </a:p>
        </c:txPr>
        <c:crossAx val="1128812952"/>
        <c:crosses val="autoZero"/>
        <c:crossBetween val="between"/>
      </c:valAx>
      <c:spPr>
        <a:solidFill>
          <a:srgbClr val="C0C0C0"/>
        </a:solidFill>
        <a:ln w="12700">
          <a:solidFill>
            <a:srgbClr val="808080"/>
          </a:solidFill>
          <a:prstDash val="solid"/>
        </a:ln>
      </c:spPr>
    </c:plotArea>
    <c:legend>
      <c:legendPos val="b"/>
      <c:layout>
        <c:manualLayout>
          <c:xMode val="edge"/>
          <c:yMode val="edge"/>
          <c:x val="0.39323500524379501"/>
          <c:y val="0.923665925347118"/>
          <c:w val="0.2642707795775"/>
          <c:h val="5.3435114503816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CR"/>
    </a:p>
  </c:txPr>
  <c:printSettings>
    <c:headerFooter/>
    <c:pageMargins b="1" l="0.75" r="0.75" t="1" header="0.5" footer="0.5"/>
    <c:pageSetup orientation="landscape" horizontalDpi="-2" verticalDpi="-2"/>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Verdana"/>
                <a:ea typeface="Verdana"/>
                <a:cs typeface="Verdana"/>
              </a:defRPr>
            </a:pPr>
            <a:r>
              <a:rPr lang="en-US"/>
              <a:t>Gráfica R</a:t>
            </a:r>
          </a:p>
        </c:rich>
      </c:tx>
      <c:layout>
        <c:manualLayout>
          <c:xMode val="edge"/>
          <c:yMode val="edge"/>
          <c:x val="0.44096442462764401"/>
          <c:y val="3.7037037037037E-2"/>
        </c:manualLayout>
      </c:layout>
      <c:overlay val="0"/>
      <c:spPr>
        <a:noFill/>
        <a:ln w="25400">
          <a:noFill/>
        </a:ln>
      </c:spPr>
    </c:title>
    <c:autoTitleDeleted val="0"/>
    <c:plotArea>
      <c:layout>
        <c:manualLayout>
          <c:layoutTarget val="inner"/>
          <c:xMode val="edge"/>
          <c:yMode val="edge"/>
          <c:x val="0.106024221131661"/>
          <c:y val="0.199074299083906"/>
          <c:w val="0.867470900168134"/>
          <c:h val="0.59259326238930299"/>
        </c:manualLayout>
      </c:layout>
      <c:lineChart>
        <c:grouping val="standard"/>
        <c:varyColors val="0"/>
        <c:ser>
          <c:idx val="0"/>
          <c:order val="0"/>
          <c:tx>
            <c:strRef>
              <c:f>'3'!$F$1</c:f>
              <c:strCache>
                <c:ptCount val="1"/>
                <c:pt idx="0">
                  <c:v>USL</c:v>
                </c:pt>
              </c:strCache>
            </c:strRef>
          </c:tx>
          <c:spPr>
            <a:ln w="25400">
              <a:solidFill>
                <a:srgbClr val="63AAFE"/>
              </a:solidFill>
              <a:prstDash val="solid"/>
            </a:ln>
          </c:spPr>
          <c:marker>
            <c:symbol val="none"/>
          </c:marker>
          <c:val>
            <c:numRef>
              <c:f>'3'!$F$2:$F$31</c:f>
              <c:numCache>
                <c:formatCode>0.000</c:formatCode>
                <c:ptCount val="30"/>
                <c:pt idx="0">
                  <c:v>5.6997</c:v>
                </c:pt>
                <c:pt idx="1">
                  <c:v>5.6997</c:v>
                </c:pt>
                <c:pt idx="2">
                  <c:v>5.6997</c:v>
                </c:pt>
                <c:pt idx="3">
                  <c:v>5.6997</c:v>
                </c:pt>
                <c:pt idx="4">
                  <c:v>5.6997</c:v>
                </c:pt>
                <c:pt idx="5">
                  <c:v>5.6997</c:v>
                </c:pt>
                <c:pt idx="6">
                  <c:v>5.6997</c:v>
                </c:pt>
                <c:pt idx="7">
                  <c:v>5.6997</c:v>
                </c:pt>
                <c:pt idx="8">
                  <c:v>5.6997</c:v>
                </c:pt>
                <c:pt idx="9">
                  <c:v>5.6997</c:v>
                </c:pt>
                <c:pt idx="10">
                  <c:v>5.6997</c:v>
                </c:pt>
                <c:pt idx="11">
                  <c:v>5.6997</c:v>
                </c:pt>
                <c:pt idx="12">
                  <c:v>5.6997</c:v>
                </c:pt>
                <c:pt idx="13">
                  <c:v>5.6997</c:v>
                </c:pt>
                <c:pt idx="14">
                  <c:v>5.6997</c:v>
                </c:pt>
                <c:pt idx="15">
                  <c:v>5.6997</c:v>
                </c:pt>
                <c:pt idx="16">
                  <c:v>5.6997</c:v>
                </c:pt>
                <c:pt idx="17">
                  <c:v>5.6997</c:v>
                </c:pt>
                <c:pt idx="18">
                  <c:v>5.6997</c:v>
                </c:pt>
                <c:pt idx="19">
                  <c:v>5.6997</c:v>
                </c:pt>
                <c:pt idx="20">
                  <c:v>5.6997</c:v>
                </c:pt>
                <c:pt idx="21">
                  <c:v>5.6997</c:v>
                </c:pt>
                <c:pt idx="22">
                  <c:v>5.6997</c:v>
                </c:pt>
                <c:pt idx="23">
                  <c:v>5.6997</c:v>
                </c:pt>
                <c:pt idx="24">
                  <c:v>5.6997</c:v>
                </c:pt>
                <c:pt idx="25">
                  <c:v>5.6997</c:v>
                </c:pt>
                <c:pt idx="26">
                  <c:v>5.6997</c:v>
                </c:pt>
                <c:pt idx="27">
                  <c:v>5.6997</c:v>
                </c:pt>
                <c:pt idx="28">
                  <c:v>5.6997</c:v>
                </c:pt>
                <c:pt idx="29">
                  <c:v>5.6997</c:v>
                </c:pt>
              </c:numCache>
            </c:numRef>
          </c:val>
          <c:smooth val="0"/>
          <c:extLst>
            <c:ext xmlns:c16="http://schemas.microsoft.com/office/drawing/2014/chart" uri="{C3380CC4-5D6E-409C-BE32-E72D297353CC}">
              <c16:uniqueId val="{00000000-142B-4A48-AD4A-3B8E4144DF81}"/>
            </c:ext>
          </c:extLst>
        </c:ser>
        <c:ser>
          <c:idx val="1"/>
          <c:order val="1"/>
          <c:tx>
            <c:strRef>
              <c:f>'3'!$G$1</c:f>
              <c:strCache>
                <c:ptCount val="1"/>
                <c:pt idx="0">
                  <c:v>CSL</c:v>
                </c:pt>
              </c:strCache>
            </c:strRef>
          </c:tx>
          <c:spPr>
            <a:ln w="25400">
              <a:solidFill>
                <a:srgbClr val="DD2D32"/>
              </a:solidFill>
              <a:prstDash val="solid"/>
            </a:ln>
          </c:spPr>
          <c:marker>
            <c:symbol val="none"/>
          </c:marker>
          <c:val>
            <c:numRef>
              <c:f>'3'!$G$2:$G$31</c:f>
              <c:numCache>
                <c:formatCode>0.000</c:formatCode>
                <c:ptCount val="30"/>
                <c:pt idx="0">
                  <c:v>2.6999999999999997</c:v>
                </c:pt>
                <c:pt idx="1">
                  <c:v>2.6999999999999997</c:v>
                </c:pt>
                <c:pt idx="2">
                  <c:v>2.6999999999999997</c:v>
                </c:pt>
                <c:pt idx="3">
                  <c:v>2.6999999999999997</c:v>
                </c:pt>
                <c:pt idx="4">
                  <c:v>2.6999999999999997</c:v>
                </c:pt>
                <c:pt idx="5">
                  <c:v>2.6999999999999997</c:v>
                </c:pt>
                <c:pt idx="6">
                  <c:v>2.6999999999999997</c:v>
                </c:pt>
                <c:pt idx="7">
                  <c:v>2.6999999999999997</c:v>
                </c:pt>
                <c:pt idx="8">
                  <c:v>2.6999999999999997</c:v>
                </c:pt>
                <c:pt idx="9">
                  <c:v>2.6999999999999997</c:v>
                </c:pt>
                <c:pt idx="10">
                  <c:v>2.6999999999999997</c:v>
                </c:pt>
                <c:pt idx="11">
                  <c:v>2.6999999999999997</c:v>
                </c:pt>
                <c:pt idx="12">
                  <c:v>2.6999999999999997</c:v>
                </c:pt>
                <c:pt idx="13">
                  <c:v>2.6999999999999997</c:v>
                </c:pt>
                <c:pt idx="14">
                  <c:v>2.6999999999999997</c:v>
                </c:pt>
                <c:pt idx="15">
                  <c:v>2.6999999999999997</c:v>
                </c:pt>
                <c:pt idx="16">
                  <c:v>2.6999999999999997</c:v>
                </c:pt>
                <c:pt idx="17">
                  <c:v>2.6999999999999997</c:v>
                </c:pt>
                <c:pt idx="18">
                  <c:v>2.6999999999999997</c:v>
                </c:pt>
                <c:pt idx="19">
                  <c:v>2.6999999999999997</c:v>
                </c:pt>
                <c:pt idx="20">
                  <c:v>2.6999999999999997</c:v>
                </c:pt>
                <c:pt idx="21">
                  <c:v>2.6999999999999997</c:v>
                </c:pt>
                <c:pt idx="22">
                  <c:v>2.6999999999999997</c:v>
                </c:pt>
                <c:pt idx="23">
                  <c:v>2.6999999999999997</c:v>
                </c:pt>
                <c:pt idx="24">
                  <c:v>2.6999999999999997</c:v>
                </c:pt>
                <c:pt idx="25">
                  <c:v>2.6999999999999997</c:v>
                </c:pt>
                <c:pt idx="26">
                  <c:v>2.6999999999999997</c:v>
                </c:pt>
                <c:pt idx="27">
                  <c:v>2.6999999999999997</c:v>
                </c:pt>
                <c:pt idx="28">
                  <c:v>2.6999999999999997</c:v>
                </c:pt>
                <c:pt idx="29">
                  <c:v>2.6999999999999997</c:v>
                </c:pt>
              </c:numCache>
            </c:numRef>
          </c:val>
          <c:smooth val="0"/>
          <c:extLst>
            <c:ext xmlns:c16="http://schemas.microsoft.com/office/drawing/2014/chart" uri="{C3380CC4-5D6E-409C-BE32-E72D297353CC}">
              <c16:uniqueId val="{00000001-142B-4A48-AD4A-3B8E4144DF81}"/>
            </c:ext>
          </c:extLst>
        </c:ser>
        <c:ser>
          <c:idx val="2"/>
          <c:order val="2"/>
          <c:tx>
            <c:strRef>
              <c:f>'3'!$H$1</c:f>
              <c:strCache>
                <c:ptCount val="1"/>
                <c:pt idx="0">
                  <c:v>LSL</c:v>
                </c:pt>
              </c:strCache>
            </c:strRef>
          </c:tx>
          <c:spPr>
            <a:ln w="25400">
              <a:solidFill>
                <a:srgbClr val="FFF58C"/>
              </a:solidFill>
              <a:prstDash val="solid"/>
            </a:ln>
          </c:spPr>
          <c:marker>
            <c:symbol val="none"/>
          </c:marker>
          <c:val>
            <c:numRef>
              <c:f>'3'!$H$2:$H$31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142B-4A48-AD4A-3B8E4144DF81}"/>
            </c:ext>
          </c:extLst>
        </c:ser>
        <c:ser>
          <c:idx val="3"/>
          <c:order val="3"/>
          <c:tx>
            <c:strRef>
              <c:f>'3'!$I$1</c:f>
              <c:strCache>
                <c:ptCount val="1"/>
                <c:pt idx="0">
                  <c:v>Rango</c:v>
                </c:pt>
              </c:strCache>
            </c:strRef>
          </c:tx>
          <c:spPr>
            <a:ln w="25400">
              <a:solidFill>
                <a:srgbClr val="4EE257"/>
              </a:solidFill>
              <a:prstDash val="solid"/>
            </a:ln>
          </c:spPr>
          <c:marker>
            <c:symbol val="x"/>
            <c:size val="5"/>
            <c:spPr>
              <a:noFill/>
              <a:ln>
                <a:solidFill>
                  <a:srgbClr val="000000"/>
                </a:solidFill>
                <a:prstDash val="solid"/>
              </a:ln>
              <a:effectLst>
                <a:outerShdw dist="35921" dir="2700000" algn="br">
                  <a:srgbClr val="000000"/>
                </a:outerShdw>
              </a:effectLst>
            </c:spPr>
          </c:marker>
          <c:val>
            <c:numRef>
              <c:f>'3'!$I$2:$I$31</c:f>
              <c:numCache>
                <c:formatCode>0.000</c:formatCode>
                <c:ptCount val="30"/>
                <c:pt idx="0">
                  <c:v>1.6</c:v>
                </c:pt>
                <c:pt idx="1">
                  <c:v>2.2000000000000002</c:v>
                </c:pt>
                <c:pt idx="2">
                  <c:v>2.2999999999999998</c:v>
                </c:pt>
                <c:pt idx="3">
                  <c:v>2.6</c:v>
                </c:pt>
                <c:pt idx="4">
                  <c:v>3.3</c:v>
                </c:pt>
                <c:pt idx="5">
                  <c:v>4.7</c:v>
                </c:pt>
                <c:pt idx="6">
                  <c:v>3</c:v>
                </c:pt>
                <c:pt idx="7">
                  <c:v>2.4</c:v>
                </c:pt>
                <c:pt idx="8">
                  <c:v>4.3</c:v>
                </c:pt>
                <c:pt idx="9">
                  <c:v>2.8</c:v>
                </c:pt>
                <c:pt idx="10">
                  <c:v>2.6</c:v>
                </c:pt>
                <c:pt idx="11">
                  <c:v>4.4000000000000004</c:v>
                </c:pt>
                <c:pt idx="12">
                  <c:v>1.8</c:v>
                </c:pt>
                <c:pt idx="13">
                  <c:v>2.9</c:v>
                </c:pt>
                <c:pt idx="14">
                  <c:v>2.4</c:v>
                </c:pt>
                <c:pt idx="15">
                  <c:v>4.3</c:v>
                </c:pt>
                <c:pt idx="16">
                  <c:v>1.8</c:v>
                </c:pt>
                <c:pt idx="17">
                  <c:v>4.4000000000000004</c:v>
                </c:pt>
                <c:pt idx="18">
                  <c:v>2.2999999999999998</c:v>
                </c:pt>
                <c:pt idx="19">
                  <c:v>1.9</c:v>
                </c:pt>
                <c:pt idx="20">
                  <c:v>1.8</c:v>
                </c:pt>
                <c:pt idx="21">
                  <c:v>3.5</c:v>
                </c:pt>
                <c:pt idx="22">
                  <c:v>3.7</c:v>
                </c:pt>
                <c:pt idx="23">
                  <c:v>2.1</c:v>
                </c:pt>
                <c:pt idx="24">
                  <c:v>1.5</c:v>
                </c:pt>
                <c:pt idx="25">
                  <c:v>1.9</c:v>
                </c:pt>
                <c:pt idx="26">
                  <c:v>2.1</c:v>
                </c:pt>
                <c:pt idx="27">
                  <c:v>1.9</c:v>
                </c:pt>
                <c:pt idx="28">
                  <c:v>3</c:v>
                </c:pt>
                <c:pt idx="29">
                  <c:v>1.5</c:v>
                </c:pt>
              </c:numCache>
            </c:numRef>
          </c:val>
          <c:smooth val="0"/>
          <c:extLst>
            <c:ext xmlns:c16="http://schemas.microsoft.com/office/drawing/2014/chart" uri="{C3380CC4-5D6E-409C-BE32-E72D297353CC}">
              <c16:uniqueId val="{00000003-142B-4A48-AD4A-3B8E4144DF81}"/>
            </c:ext>
          </c:extLst>
        </c:ser>
        <c:dLbls>
          <c:showLegendKey val="0"/>
          <c:showVal val="0"/>
          <c:showCatName val="0"/>
          <c:showSerName val="0"/>
          <c:showPercent val="0"/>
          <c:showBubbleSize val="0"/>
        </c:dLbls>
        <c:smooth val="0"/>
        <c:axId val="1116194472"/>
        <c:axId val="1046832584"/>
      </c:lineChart>
      <c:catAx>
        <c:axId val="1116194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046832584"/>
        <c:crosses val="autoZero"/>
        <c:auto val="1"/>
        <c:lblAlgn val="ctr"/>
        <c:lblOffset val="100"/>
        <c:tickLblSkip val="2"/>
        <c:tickMarkSkip val="1"/>
        <c:noMultiLvlLbl val="0"/>
      </c:catAx>
      <c:valAx>
        <c:axId val="1046832584"/>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116194472"/>
        <c:crosses val="autoZero"/>
        <c:crossBetween val="between"/>
      </c:valAx>
      <c:spPr>
        <a:solidFill>
          <a:srgbClr val="CDCDCD"/>
        </a:solidFill>
        <a:ln w="12700">
          <a:solidFill>
            <a:srgbClr val="808080"/>
          </a:solidFill>
          <a:prstDash val="solid"/>
        </a:ln>
      </c:spPr>
    </c:plotArea>
    <c:legend>
      <c:legendPos val="r"/>
      <c:layout>
        <c:manualLayout>
          <c:xMode val="edge"/>
          <c:yMode val="edge"/>
          <c:x val="0.30843373493975901"/>
          <c:y val="0.91666666666666696"/>
          <c:w val="0.45783132530120502"/>
          <c:h val="6.0185185185185203E-2"/>
        </c:manualLayout>
      </c:layout>
      <c:overlay val="0"/>
      <c:spPr>
        <a:solidFill>
          <a:srgbClr val="FFFFFF"/>
        </a:solidFill>
        <a:ln w="25400">
          <a:noFill/>
        </a:ln>
      </c:spPr>
      <c:txPr>
        <a:bodyPr/>
        <a:lstStyle/>
        <a:p>
          <a:pPr>
            <a:defRPr sz="735"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Verdana"/>
                <a:ea typeface="Verdana"/>
                <a:cs typeface="Verdana"/>
              </a:defRPr>
            </a:pPr>
            <a:r>
              <a:rPr lang="en-US"/>
              <a:t>Gráfica x</a:t>
            </a:r>
          </a:p>
        </c:rich>
      </c:tx>
      <c:layout>
        <c:manualLayout>
          <c:xMode val="edge"/>
          <c:yMode val="edge"/>
          <c:x val="0.44600920483531098"/>
          <c:y val="3.8647342995169101E-2"/>
        </c:manualLayout>
      </c:layout>
      <c:overlay val="0"/>
      <c:spPr>
        <a:noFill/>
        <a:ln w="25400">
          <a:noFill/>
        </a:ln>
      </c:spPr>
    </c:title>
    <c:autoTitleDeleted val="0"/>
    <c:plotArea>
      <c:layout>
        <c:manualLayout>
          <c:layoutTarget val="inner"/>
          <c:xMode val="edge"/>
          <c:yMode val="edge"/>
          <c:x val="0.115023441218433"/>
          <c:y val="0.20772971360029999"/>
          <c:w val="0.85915468338666501"/>
          <c:h val="0.57487990507990006"/>
        </c:manualLayout>
      </c:layout>
      <c:lineChart>
        <c:grouping val="standard"/>
        <c:varyColors val="0"/>
        <c:ser>
          <c:idx val="0"/>
          <c:order val="0"/>
          <c:tx>
            <c:strRef>
              <c:f>'3'!$A$1</c:f>
              <c:strCache>
                <c:ptCount val="1"/>
                <c:pt idx="0">
                  <c:v>Promedio</c:v>
                </c:pt>
              </c:strCache>
            </c:strRef>
          </c:tx>
          <c:spPr>
            <a:ln w="25400">
              <a:solidFill>
                <a:srgbClr val="63AAFE"/>
              </a:solidFill>
              <a:prstDash val="solid"/>
            </a:ln>
          </c:spPr>
          <c:marker>
            <c:symbol val="x"/>
            <c:size val="5"/>
            <c:spPr>
              <a:noFill/>
              <a:ln>
                <a:solidFill>
                  <a:srgbClr val="000000"/>
                </a:solidFill>
                <a:prstDash val="solid"/>
              </a:ln>
              <a:effectLst>
                <a:outerShdw dist="35921" dir="2700000" algn="br">
                  <a:srgbClr val="000000"/>
                </a:outerShdw>
              </a:effectLst>
            </c:spPr>
          </c:marker>
          <c:val>
            <c:numRef>
              <c:f>'3'!$A$2:$A$31</c:f>
              <c:numCache>
                <c:formatCode>0.00</c:formatCode>
                <c:ptCount val="30"/>
                <c:pt idx="0">
                  <c:v>100.2</c:v>
                </c:pt>
                <c:pt idx="1">
                  <c:v>100.4</c:v>
                </c:pt>
                <c:pt idx="2">
                  <c:v>99.58</c:v>
                </c:pt>
                <c:pt idx="3">
                  <c:v>100.04</c:v>
                </c:pt>
                <c:pt idx="4">
                  <c:v>99.12</c:v>
                </c:pt>
                <c:pt idx="5">
                  <c:v>103.12</c:v>
                </c:pt>
                <c:pt idx="6">
                  <c:v>98.88</c:v>
                </c:pt>
                <c:pt idx="7">
                  <c:v>99.78</c:v>
                </c:pt>
                <c:pt idx="8">
                  <c:v>100.84</c:v>
                </c:pt>
                <c:pt idx="9">
                  <c:v>99.66</c:v>
                </c:pt>
                <c:pt idx="10">
                  <c:v>101.16</c:v>
                </c:pt>
                <c:pt idx="11">
                  <c:v>100.08</c:v>
                </c:pt>
                <c:pt idx="12">
                  <c:v>102.56</c:v>
                </c:pt>
                <c:pt idx="13">
                  <c:v>99.3</c:v>
                </c:pt>
                <c:pt idx="14">
                  <c:v>100.4</c:v>
                </c:pt>
                <c:pt idx="15">
                  <c:v>100.1</c:v>
                </c:pt>
                <c:pt idx="16">
                  <c:v>100.64</c:v>
                </c:pt>
                <c:pt idx="17">
                  <c:v>99.94</c:v>
                </c:pt>
                <c:pt idx="18">
                  <c:v>99.98</c:v>
                </c:pt>
                <c:pt idx="19">
                  <c:v>101.1</c:v>
                </c:pt>
                <c:pt idx="20">
                  <c:v>100.14</c:v>
                </c:pt>
                <c:pt idx="21">
                  <c:v>99.68</c:v>
                </c:pt>
                <c:pt idx="22">
                  <c:v>99.6</c:v>
                </c:pt>
                <c:pt idx="23">
                  <c:v>101.58</c:v>
                </c:pt>
                <c:pt idx="24">
                  <c:v>100</c:v>
                </c:pt>
                <c:pt idx="25">
                  <c:v>101.3</c:v>
                </c:pt>
                <c:pt idx="26">
                  <c:v>101.6</c:v>
                </c:pt>
                <c:pt idx="27">
                  <c:v>101.9</c:v>
                </c:pt>
                <c:pt idx="28">
                  <c:v>102.3</c:v>
                </c:pt>
                <c:pt idx="29">
                  <c:v>102.5</c:v>
                </c:pt>
              </c:numCache>
            </c:numRef>
          </c:val>
          <c:smooth val="0"/>
          <c:extLst>
            <c:ext xmlns:c16="http://schemas.microsoft.com/office/drawing/2014/chart" uri="{C3380CC4-5D6E-409C-BE32-E72D297353CC}">
              <c16:uniqueId val="{00000000-B383-774A-9FD3-2EEEFCBAB58D}"/>
            </c:ext>
          </c:extLst>
        </c:ser>
        <c:ser>
          <c:idx val="1"/>
          <c:order val="1"/>
          <c:tx>
            <c:strRef>
              <c:f>'3'!$B$1</c:f>
              <c:strCache>
                <c:ptCount val="1"/>
                <c:pt idx="0">
                  <c:v>USL</c:v>
                </c:pt>
              </c:strCache>
            </c:strRef>
          </c:tx>
          <c:spPr>
            <a:ln w="25400">
              <a:solidFill>
                <a:srgbClr val="DD2D32"/>
              </a:solidFill>
              <a:prstDash val="solid"/>
            </a:ln>
          </c:spPr>
          <c:marker>
            <c:symbol val="none"/>
          </c:marker>
          <c:val>
            <c:numRef>
              <c:f>'3'!$B$2:$B$31</c:f>
              <c:numCache>
                <c:formatCode>0.000</c:formatCode>
                <c:ptCount val="30"/>
                <c:pt idx="0">
                  <c:v>102.14866666666667</c:v>
                </c:pt>
                <c:pt idx="1">
                  <c:v>102.14866666666667</c:v>
                </c:pt>
                <c:pt idx="2">
                  <c:v>102.14866666666667</c:v>
                </c:pt>
                <c:pt idx="3">
                  <c:v>102.14866666666667</c:v>
                </c:pt>
                <c:pt idx="4">
                  <c:v>102.14866666666667</c:v>
                </c:pt>
                <c:pt idx="5">
                  <c:v>102.14866666666667</c:v>
                </c:pt>
                <c:pt idx="6">
                  <c:v>102.14866666666667</c:v>
                </c:pt>
                <c:pt idx="7">
                  <c:v>102.14866666666667</c:v>
                </c:pt>
                <c:pt idx="8">
                  <c:v>102.14866666666667</c:v>
                </c:pt>
                <c:pt idx="9">
                  <c:v>102.14866666666667</c:v>
                </c:pt>
                <c:pt idx="10">
                  <c:v>102.14866666666667</c:v>
                </c:pt>
                <c:pt idx="11">
                  <c:v>102.14866666666667</c:v>
                </c:pt>
                <c:pt idx="12">
                  <c:v>102.14866666666667</c:v>
                </c:pt>
                <c:pt idx="13">
                  <c:v>102.14866666666667</c:v>
                </c:pt>
                <c:pt idx="14">
                  <c:v>102.14866666666667</c:v>
                </c:pt>
                <c:pt idx="15">
                  <c:v>102.14866666666667</c:v>
                </c:pt>
                <c:pt idx="16">
                  <c:v>102.14866666666667</c:v>
                </c:pt>
                <c:pt idx="17">
                  <c:v>102.14866666666667</c:v>
                </c:pt>
                <c:pt idx="18">
                  <c:v>102.14866666666667</c:v>
                </c:pt>
                <c:pt idx="19">
                  <c:v>102.14866666666667</c:v>
                </c:pt>
                <c:pt idx="20">
                  <c:v>102.14866666666667</c:v>
                </c:pt>
                <c:pt idx="21">
                  <c:v>102.14866666666667</c:v>
                </c:pt>
                <c:pt idx="22">
                  <c:v>102.14866666666667</c:v>
                </c:pt>
                <c:pt idx="23">
                  <c:v>102.14866666666667</c:v>
                </c:pt>
                <c:pt idx="24">
                  <c:v>102.14866666666667</c:v>
                </c:pt>
                <c:pt idx="25">
                  <c:v>102.14866666666667</c:v>
                </c:pt>
                <c:pt idx="26">
                  <c:v>102.14866666666667</c:v>
                </c:pt>
                <c:pt idx="27">
                  <c:v>102.14866666666667</c:v>
                </c:pt>
                <c:pt idx="28">
                  <c:v>102.14866666666667</c:v>
                </c:pt>
                <c:pt idx="29">
                  <c:v>102.14866666666667</c:v>
                </c:pt>
              </c:numCache>
            </c:numRef>
          </c:val>
          <c:smooth val="0"/>
          <c:extLst>
            <c:ext xmlns:c16="http://schemas.microsoft.com/office/drawing/2014/chart" uri="{C3380CC4-5D6E-409C-BE32-E72D297353CC}">
              <c16:uniqueId val="{00000001-B383-774A-9FD3-2EEEFCBAB58D}"/>
            </c:ext>
          </c:extLst>
        </c:ser>
        <c:ser>
          <c:idx val="2"/>
          <c:order val="2"/>
          <c:tx>
            <c:strRef>
              <c:f>'3'!$C$1</c:f>
              <c:strCache>
                <c:ptCount val="1"/>
                <c:pt idx="0">
                  <c:v>CSL</c:v>
                </c:pt>
              </c:strCache>
            </c:strRef>
          </c:tx>
          <c:spPr>
            <a:ln w="25400">
              <a:solidFill>
                <a:srgbClr val="FFF58C"/>
              </a:solidFill>
              <a:prstDash val="solid"/>
            </a:ln>
          </c:spPr>
          <c:marker>
            <c:symbol val="none"/>
          </c:marker>
          <c:val>
            <c:numRef>
              <c:f>'3'!$C$2:$C$31</c:f>
              <c:numCache>
                <c:formatCode>0.000</c:formatCode>
                <c:ptCount val="30"/>
                <c:pt idx="0">
                  <c:v>100.58266666666667</c:v>
                </c:pt>
                <c:pt idx="1">
                  <c:v>100.58266666666667</c:v>
                </c:pt>
                <c:pt idx="2">
                  <c:v>100.58266666666667</c:v>
                </c:pt>
                <c:pt idx="3">
                  <c:v>100.58266666666667</c:v>
                </c:pt>
                <c:pt idx="4">
                  <c:v>100.58266666666667</c:v>
                </c:pt>
                <c:pt idx="5">
                  <c:v>100.58266666666667</c:v>
                </c:pt>
                <c:pt idx="6">
                  <c:v>100.58266666666667</c:v>
                </c:pt>
                <c:pt idx="7">
                  <c:v>100.58266666666667</c:v>
                </c:pt>
                <c:pt idx="8">
                  <c:v>100.58266666666667</c:v>
                </c:pt>
                <c:pt idx="9">
                  <c:v>100.58266666666667</c:v>
                </c:pt>
                <c:pt idx="10">
                  <c:v>100.58266666666667</c:v>
                </c:pt>
                <c:pt idx="11">
                  <c:v>100.58266666666667</c:v>
                </c:pt>
                <c:pt idx="12">
                  <c:v>100.58266666666667</c:v>
                </c:pt>
                <c:pt idx="13">
                  <c:v>100.58266666666667</c:v>
                </c:pt>
                <c:pt idx="14">
                  <c:v>100.58266666666667</c:v>
                </c:pt>
                <c:pt idx="15">
                  <c:v>100.58266666666667</c:v>
                </c:pt>
                <c:pt idx="16">
                  <c:v>100.58266666666667</c:v>
                </c:pt>
                <c:pt idx="17">
                  <c:v>100.58266666666667</c:v>
                </c:pt>
                <c:pt idx="18">
                  <c:v>100.58266666666667</c:v>
                </c:pt>
                <c:pt idx="19">
                  <c:v>100.58266666666667</c:v>
                </c:pt>
                <c:pt idx="20">
                  <c:v>100.58266666666667</c:v>
                </c:pt>
                <c:pt idx="21">
                  <c:v>100.58266666666667</c:v>
                </c:pt>
                <c:pt idx="22">
                  <c:v>100.58266666666667</c:v>
                </c:pt>
                <c:pt idx="23">
                  <c:v>100.58266666666667</c:v>
                </c:pt>
                <c:pt idx="24">
                  <c:v>100.58266666666667</c:v>
                </c:pt>
                <c:pt idx="25">
                  <c:v>100.58266666666667</c:v>
                </c:pt>
                <c:pt idx="26">
                  <c:v>100.58266666666667</c:v>
                </c:pt>
                <c:pt idx="27">
                  <c:v>100.58266666666667</c:v>
                </c:pt>
                <c:pt idx="28">
                  <c:v>100.58266666666667</c:v>
                </c:pt>
                <c:pt idx="29">
                  <c:v>100.58266666666667</c:v>
                </c:pt>
              </c:numCache>
            </c:numRef>
          </c:val>
          <c:smooth val="0"/>
          <c:extLst>
            <c:ext xmlns:c16="http://schemas.microsoft.com/office/drawing/2014/chart" uri="{C3380CC4-5D6E-409C-BE32-E72D297353CC}">
              <c16:uniqueId val="{00000002-B383-774A-9FD3-2EEEFCBAB58D}"/>
            </c:ext>
          </c:extLst>
        </c:ser>
        <c:ser>
          <c:idx val="3"/>
          <c:order val="3"/>
          <c:tx>
            <c:strRef>
              <c:f>'3'!$D$1</c:f>
              <c:strCache>
                <c:ptCount val="1"/>
                <c:pt idx="0">
                  <c:v>LSL</c:v>
                </c:pt>
              </c:strCache>
            </c:strRef>
          </c:tx>
          <c:spPr>
            <a:ln w="25400">
              <a:solidFill>
                <a:srgbClr val="4EE257"/>
              </a:solidFill>
              <a:prstDash val="solid"/>
            </a:ln>
          </c:spPr>
          <c:marker>
            <c:symbol val="none"/>
          </c:marker>
          <c:val>
            <c:numRef>
              <c:f>'3'!$D$2:$D$31</c:f>
              <c:numCache>
                <c:formatCode>0.000</c:formatCode>
                <c:ptCount val="30"/>
                <c:pt idx="0">
                  <c:v>99.016666666666666</c:v>
                </c:pt>
                <c:pt idx="1">
                  <c:v>99.016666666666666</c:v>
                </c:pt>
                <c:pt idx="2">
                  <c:v>99.016666666666666</c:v>
                </c:pt>
                <c:pt idx="3">
                  <c:v>99.016666666666666</c:v>
                </c:pt>
                <c:pt idx="4">
                  <c:v>99.016666666666666</c:v>
                </c:pt>
                <c:pt idx="5">
                  <c:v>99.016666666666666</c:v>
                </c:pt>
                <c:pt idx="6">
                  <c:v>99.016666666666666</c:v>
                </c:pt>
                <c:pt idx="7">
                  <c:v>99.016666666666666</c:v>
                </c:pt>
                <c:pt idx="8">
                  <c:v>99.016666666666666</c:v>
                </c:pt>
                <c:pt idx="9">
                  <c:v>99.016666666666666</c:v>
                </c:pt>
                <c:pt idx="10">
                  <c:v>99.016666666666666</c:v>
                </c:pt>
                <c:pt idx="11">
                  <c:v>99.016666666666666</c:v>
                </c:pt>
                <c:pt idx="12">
                  <c:v>99.016666666666666</c:v>
                </c:pt>
                <c:pt idx="13">
                  <c:v>99.016666666666666</c:v>
                </c:pt>
                <c:pt idx="14">
                  <c:v>99.016666666666666</c:v>
                </c:pt>
                <c:pt idx="15">
                  <c:v>99.016666666666666</c:v>
                </c:pt>
                <c:pt idx="16">
                  <c:v>99.016666666666666</c:v>
                </c:pt>
                <c:pt idx="17">
                  <c:v>99.016666666666666</c:v>
                </c:pt>
                <c:pt idx="18">
                  <c:v>99.016666666666666</c:v>
                </c:pt>
                <c:pt idx="19">
                  <c:v>99.016666666666666</c:v>
                </c:pt>
                <c:pt idx="20">
                  <c:v>99.016666666666666</c:v>
                </c:pt>
                <c:pt idx="21">
                  <c:v>99.016666666666666</c:v>
                </c:pt>
                <c:pt idx="22">
                  <c:v>99.016666666666666</c:v>
                </c:pt>
                <c:pt idx="23">
                  <c:v>99.016666666666666</c:v>
                </c:pt>
                <c:pt idx="24">
                  <c:v>99.016666666666666</c:v>
                </c:pt>
                <c:pt idx="25">
                  <c:v>99.016666666666666</c:v>
                </c:pt>
                <c:pt idx="26">
                  <c:v>99.016666666666666</c:v>
                </c:pt>
                <c:pt idx="27">
                  <c:v>99.016666666666666</c:v>
                </c:pt>
                <c:pt idx="28">
                  <c:v>99.016666666666666</c:v>
                </c:pt>
                <c:pt idx="29">
                  <c:v>99.016666666666666</c:v>
                </c:pt>
              </c:numCache>
            </c:numRef>
          </c:val>
          <c:smooth val="0"/>
          <c:extLst>
            <c:ext xmlns:c16="http://schemas.microsoft.com/office/drawing/2014/chart" uri="{C3380CC4-5D6E-409C-BE32-E72D297353CC}">
              <c16:uniqueId val="{00000003-B383-774A-9FD3-2EEEFCBAB58D}"/>
            </c:ext>
          </c:extLst>
        </c:ser>
        <c:dLbls>
          <c:showLegendKey val="0"/>
          <c:showVal val="0"/>
          <c:showCatName val="0"/>
          <c:showSerName val="0"/>
          <c:showPercent val="0"/>
          <c:showBubbleSize val="0"/>
        </c:dLbls>
        <c:marker val="1"/>
        <c:smooth val="0"/>
        <c:axId val="1116085352"/>
        <c:axId val="1116088792"/>
      </c:lineChart>
      <c:catAx>
        <c:axId val="1116085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116088792"/>
        <c:crosses val="autoZero"/>
        <c:auto val="1"/>
        <c:lblAlgn val="ctr"/>
        <c:lblOffset val="100"/>
        <c:tickLblSkip val="2"/>
        <c:tickMarkSkip val="1"/>
        <c:noMultiLvlLbl val="0"/>
      </c:catAx>
      <c:valAx>
        <c:axId val="111608879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116085352"/>
        <c:crosses val="autoZero"/>
        <c:crossBetween val="between"/>
      </c:valAx>
      <c:spPr>
        <a:solidFill>
          <a:srgbClr val="CDCDCD"/>
        </a:solidFill>
        <a:ln w="12700">
          <a:solidFill>
            <a:srgbClr val="808080"/>
          </a:solidFill>
          <a:prstDash val="solid"/>
        </a:ln>
      </c:spPr>
    </c:plotArea>
    <c:legend>
      <c:legendPos val="r"/>
      <c:layout>
        <c:manualLayout>
          <c:xMode val="edge"/>
          <c:yMode val="edge"/>
          <c:x val="0.30751173708920199"/>
          <c:y val="0.91304347826086896"/>
          <c:w val="0.474178403755869"/>
          <c:h val="6.2801932367149704E-2"/>
        </c:manualLayout>
      </c:layout>
      <c:overlay val="0"/>
      <c:spPr>
        <a:solidFill>
          <a:srgbClr val="FFFFFF"/>
        </a:solidFill>
        <a:ln w="25400">
          <a:noFill/>
        </a:ln>
      </c:spPr>
      <c:txPr>
        <a:bodyPr/>
        <a:lstStyle/>
        <a:p>
          <a:pPr>
            <a:defRPr sz="735"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Verdana"/>
                <a:ea typeface="Verdana"/>
                <a:cs typeface="Verdana"/>
              </a:defRPr>
            </a:pPr>
            <a:r>
              <a:rPr lang="en-US"/>
              <a:t>Gráfica x, 24 valores</a:t>
            </a:r>
          </a:p>
        </c:rich>
      </c:tx>
      <c:layout>
        <c:manualLayout>
          <c:xMode val="edge"/>
          <c:yMode val="edge"/>
          <c:x val="0.36867507826581902"/>
          <c:y val="3.5999999999999997E-2"/>
        </c:manualLayout>
      </c:layout>
      <c:overlay val="0"/>
      <c:spPr>
        <a:noFill/>
        <a:ln w="25400">
          <a:noFill/>
        </a:ln>
      </c:spPr>
    </c:title>
    <c:autoTitleDeleted val="0"/>
    <c:plotArea>
      <c:layout>
        <c:manualLayout>
          <c:layoutTarget val="inner"/>
          <c:xMode val="edge"/>
          <c:yMode val="edge"/>
          <c:x val="0.11807242807844"/>
          <c:y val="0.17999982421892199"/>
          <c:w val="0.855422693221354"/>
          <c:h val="0.63999937500060999"/>
        </c:manualLayout>
      </c:layout>
      <c:lineChart>
        <c:grouping val="standard"/>
        <c:varyColors val="0"/>
        <c:ser>
          <c:idx val="0"/>
          <c:order val="0"/>
          <c:tx>
            <c:strRef>
              <c:f>'3'!$R$1</c:f>
              <c:strCache>
                <c:ptCount val="1"/>
                <c:pt idx="0">
                  <c:v>Promedio</c:v>
                </c:pt>
              </c:strCache>
            </c:strRef>
          </c:tx>
          <c:spPr>
            <a:ln w="25400">
              <a:solidFill>
                <a:srgbClr val="63AAFE"/>
              </a:solidFill>
              <a:prstDash val="solid"/>
            </a:ln>
          </c:spPr>
          <c:marker>
            <c:symbol val="x"/>
            <c:size val="5"/>
            <c:spPr>
              <a:noFill/>
              <a:ln>
                <a:solidFill>
                  <a:srgbClr val="000000"/>
                </a:solidFill>
                <a:prstDash val="solid"/>
              </a:ln>
              <a:effectLst>
                <a:outerShdw dist="35921" dir="2700000" algn="br">
                  <a:srgbClr val="000000"/>
                </a:outerShdw>
              </a:effectLst>
            </c:spPr>
          </c:marker>
          <c:val>
            <c:numRef>
              <c:f>'3'!$R$2:$R$26</c:f>
              <c:numCache>
                <c:formatCode>0.00</c:formatCode>
                <c:ptCount val="25"/>
                <c:pt idx="0">
                  <c:v>100.2</c:v>
                </c:pt>
                <c:pt idx="1">
                  <c:v>100.4</c:v>
                </c:pt>
                <c:pt idx="2">
                  <c:v>99.58</c:v>
                </c:pt>
                <c:pt idx="3">
                  <c:v>100.04</c:v>
                </c:pt>
                <c:pt idx="4">
                  <c:v>99.12</c:v>
                </c:pt>
                <c:pt idx="5">
                  <c:v>99.78</c:v>
                </c:pt>
                <c:pt idx="6">
                  <c:v>100.84</c:v>
                </c:pt>
                <c:pt idx="7">
                  <c:v>99.66</c:v>
                </c:pt>
                <c:pt idx="8">
                  <c:v>101.16</c:v>
                </c:pt>
                <c:pt idx="9">
                  <c:v>100.08</c:v>
                </c:pt>
                <c:pt idx="10">
                  <c:v>99.3</c:v>
                </c:pt>
                <c:pt idx="11">
                  <c:v>100.4</c:v>
                </c:pt>
                <c:pt idx="12">
                  <c:v>100.1</c:v>
                </c:pt>
                <c:pt idx="13">
                  <c:v>100.64</c:v>
                </c:pt>
                <c:pt idx="14">
                  <c:v>99.94</c:v>
                </c:pt>
                <c:pt idx="15">
                  <c:v>99.98</c:v>
                </c:pt>
                <c:pt idx="16">
                  <c:v>101.1</c:v>
                </c:pt>
                <c:pt idx="17">
                  <c:v>100.14</c:v>
                </c:pt>
                <c:pt idx="18">
                  <c:v>99.68</c:v>
                </c:pt>
                <c:pt idx="19">
                  <c:v>99.6</c:v>
                </c:pt>
                <c:pt idx="20">
                  <c:v>101.58</c:v>
                </c:pt>
                <c:pt idx="21">
                  <c:v>100</c:v>
                </c:pt>
                <c:pt idx="22">
                  <c:v>101.3</c:v>
                </c:pt>
                <c:pt idx="23">
                  <c:v>101.6</c:v>
                </c:pt>
                <c:pt idx="24">
                  <c:v>101.9</c:v>
                </c:pt>
              </c:numCache>
            </c:numRef>
          </c:val>
          <c:smooth val="0"/>
          <c:extLst>
            <c:ext xmlns:c16="http://schemas.microsoft.com/office/drawing/2014/chart" uri="{C3380CC4-5D6E-409C-BE32-E72D297353CC}">
              <c16:uniqueId val="{00000000-8C51-E04F-8516-FB9D3EE43EFB}"/>
            </c:ext>
          </c:extLst>
        </c:ser>
        <c:ser>
          <c:idx val="1"/>
          <c:order val="1"/>
          <c:tx>
            <c:strRef>
              <c:f>'3'!$S$1</c:f>
              <c:strCache>
                <c:ptCount val="1"/>
                <c:pt idx="0">
                  <c:v>USL</c:v>
                </c:pt>
              </c:strCache>
            </c:strRef>
          </c:tx>
          <c:spPr>
            <a:ln w="25400">
              <a:solidFill>
                <a:srgbClr val="DD2D32"/>
              </a:solidFill>
              <a:prstDash val="solid"/>
            </a:ln>
          </c:spPr>
          <c:marker>
            <c:symbol val="none"/>
          </c:marker>
          <c:val>
            <c:numRef>
              <c:f>'3'!$S$2:$S$26</c:f>
              <c:numCache>
                <c:formatCode>0.000</c:formatCode>
                <c:ptCount val="25"/>
                <c:pt idx="0">
                  <c:v>101.89080000000001</c:v>
                </c:pt>
                <c:pt idx="1">
                  <c:v>101.89080000000001</c:v>
                </c:pt>
                <c:pt idx="2">
                  <c:v>101.89080000000001</c:v>
                </c:pt>
                <c:pt idx="3">
                  <c:v>101.89080000000001</c:v>
                </c:pt>
                <c:pt idx="4">
                  <c:v>101.89080000000001</c:v>
                </c:pt>
                <c:pt idx="5">
                  <c:v>101.89080000000001</c:v>
                </c:pt>
                <c:pt idx="6">
                  <c:v>101.89080000000001</c:v>
                </c:pt>
                <c:pt idx="7">
                  <c:v>101.89080000000001</c:v>
                </c:pt>
                <c:pt idx="8">
                  <c:v>101.89080000000001</c:v>
                </c:pt>
                <c:pt idx="9">
                  <c:v>101.89080000000001</c:v>
                </c:pt>
                <c:pt idx="10">
                  <c:v>101.89080000000001</c:v>
                </c:pt>
                <c:pt idx="11">
                  <c:v>101.89080000000001</c:v>
                </c:pt>
                <c:pt idx="12">
                  <c:v>101.89080000000001</c:v>
                </c:pt>
                <c:pt idx="13">
                  <c:v>101.89080000000001</c:v>
                </c:pt>
                <c:pt idx="14">
                  <c:v>101.89080000000001</c:v>
                </c:pt>
                <c:pt idx="15">
                  <c:v>101.89080000000001</c:v>
                </c:pt>
                <c:pt idx="16">
                  <c:v>101.89080000000001</c:v>
                </c:pt>
                <c:pt idx="17">
                  <c:v>101.89080000000001</c:v>
                </c:pt>
                <c:pt idx="18">
                  <c:v>101.89080000000001</c:v>
                </c:pt>
                <c:pt idx="19">
                  <c:v>101.89080000000001</c:v>
                </c:pt>
                <c:pt idx="20">
                  <c:v>101.89080000000001</c:v>
                </c:pt>
                <c:pt idx="21">
                  <c:v>101.89080000000001</c:v>
                </c:pt>
                <c:pt idx="22">
                  <c:v>101.89080000000001</c:v>
                </c:pt>
                <c:pt idx="23">
                  <c:v>101.89080000000001</c:v>
                </c:pt>
                <c:pt idx="24">
                  <c:v>101.89080000000001</c:v>
                </c:pt>
              </c:numCache>
            </c:numRef>
          </c:val>
          <c:smooth val="0"/>
          <c:extLst>
            <c:ext xmlns:c16="http://schemas.microsoft.com/office/drawing/2014/chart" uri="{C3380CC4-5D6E-409C-BE32-E72D297353CC}">
              <c16:uniqueId val="{00000001-8C51-E04F-8516-FB9D3EE43EFB}"/>
            </c:ext>
          </c:extLst>
        </c:ser>
        <c:ser>
          <c:idx val="2"/>
          <c:order val="2"/>
          <c:tx>
            <c:strRef>
              <c:f>'3'!$T$1</c:f>
              <c:strCache>
                <c:ptCount val="1"/>
                <c:pt idx="0">
                  <c:v>CSL</c:v>
                </c:pt>
              </c:strCache>
            </c:strRef>
          </c:tx>
          <c:spPr>
            <a:ln w="25400">
              <a:solidFill>
                <a:srgbClr val="FFF58C"/>
              </a:solidFill>
              <a:prstDash val="solid"/>
            </a:ln>
          </c:spPr>
          <c:marker>
            <c:symbol val="none"/>
          </c:marker>
          <c:val>
            <c:numRef>
              <c:f>'3'!$T$2:$T$26</c:f>
              <c:numCache>
                <c:formatCode>0.000</c:formatCode>
                <c:ptCount val="25"/>
                <c:pt idx="0">
                  <c:v>100.32480000000001</c:v>
                </c:pt>
                <c:pt idx="1">
                  <c:v>100.32480000000001</c:v>
                </c:pt>
                <c:pt idx="2">
                  <c:v>100.32480000000001</c:v>
                </c:pt>
                <c:pt idx="3">
                  <c:v>100.32480000000001</c:v>
                </c:pt>
                <c:pt idx="4">
                  <c:v>100.32480000000001</c:v>
                </c:pt>
                <c:pt idx="5">
                  <c:v>100.32480000000001</c:v>
                </c:pt>
                <c:pt idx="6">
                  <c:v>100.32480000000001</c:v>
                </c:pt>
                <c:pt idx="7">
                  <c:v>100.32480000000001</c:v>
                </c:pt>
                <c:pt idx="8">
                  <c:v>100.32480000000001</c:v>
                </c:pt>
                <c:pt idx="9">
                  <c:v>100.32480000000001</c:v>
                </c:pt>
                <c:pt idx="10">
                  <c:v>100.32480000000001</c:v>
                </c:pt>
                <c:pt idx="11">
                  <c:v>100.32480000000001</c:v>
                </c:pt>
                <c:pt idx="12">
                  <c:v>100.32480000000001</c:v>
                </c:pt>
                <c:pt idx="13">
                  <c:v>100.32480000000001</c:v>
                </c:pt>
                <c:pt idx="14">
                  <c:v>100.32480000000001</c:v>
                </c:pt>
                <c:pt idx="15">
                  <c:v>100.32480000000001</c:v>
                </c:pt>
                <c:pt idx="16">
                  <c:v>100.32480000000001</c:v>
                </c:pt>
                <c:pt idx="17">
                  <c:v>100.32480000000001</c:v>
                </c:pt>
                <c:pt idx="18">
                  <c:v>100.32480000000001</c:v>
                </c:pt>
                <c:pt idx="19">
                  <c:v>100.32480000000001</c:v>
                </c:pt>
                <c:pt idx="20">
                  <c:v>100.32480000000001</c:v>
                </c:pt>
                <c:pt idx="21">
                  <c:v>100.32480000000001</c:v>
                </c:pt>
                <c:pt idx="22">
                  <c:v>100.32480000000001</c:v>
                </c:pt>
                <c:pt idx="23">
                  <c:v>100.32480000000001</c:v>
                </c:pt>
                <c:pt idx="24">
                  <c:v>100.32480000000001</c:v>
                </c:pt>
              </c:numCache>
            </c:numRef>
          </c:val>
          <c:smooth val="0"/>
          <c:extLst>
            <c:ext xmlns:c16="http://schemas.microsoft.com/office/drawing/2014/chart" uri="{C3380CC4-5D6E-409C-BE32-E72D297353CC}">
              <c16:uniqueId val="{00000002-8C51-E04F-8516-FB9D3EE43EFB}"/>
            </c:ext>
          </c:extLst>
        </c:ser>
        <c:ser>
          <c:idx val="3"/>
          <c:order val="3"/>
          <c:tx>
            <c:strRef>
              <c:f>'3'!$U$1</c:f>
              <c:strCache>
                <c:ptCount val="1"/>
                <c:pt idx="0">
                  <c:v>LSL</c:v>
                </c:pt>
              </c:strCache>
            </c:strRef>
          </c:tx>
          <c:spPr>
            <a:ln w="25400">
              <a:solidFill>
                <a:srgbClr val="4EE257"/>
              </a:solidFill>
              <a:prstDash val="solid"/>
            </a:ln>
          </c:spPr>
          <c:marker>
            <c:symbol val="none"/>
          </c:marker>
          <c:val>
            <c:numRef>
              <c:f>'3'!$U$2:$U$26</c:f>
              <c:numCache>
                <c:formatCode>0.000</c:formatCode>
                <c:ptCount val="25"/>
                <c:pt idx="0">
                  <c:v>98.758800000000008</c:v>
                </c:pt>
                <c:pt idx="1">
                  <c:v>98.758800000000008</c:v>
                </c:pt>
                <c:pt idx="2">
                  <c:v>98.758800000000008</c:v>
                </c:pt>
                <c:pt idx="3">
                  <c:v>98.758800000000008</c:v>
                </c:pt>
                <c:pt idx="4">
                  <c:v>98.758800000000008</c:v>
                </c:pt>
                <c:pt idx="5">
                  <c:v>98.758800000000008</c:v>
                </c:pt>
                <c:pt idx="6">
                  <c:v>98.758800000000008</c:v>
                </c:pt>
                <c:pt idx="7">
                  <c:v>98.758800000000008</c:v>
                </c:pt>
                <c:pt idx="8">
                  <c:v>98.758800000000008</c:v>
                </c:pt>
                <c:pt idx="9">
                  <c:v>98.758800000000008</c:v>
                </c:pt>
                <c:pt idx="10">
                  <c:v>98.758800000000008</c:v>
                </c:pt>
                <c:pt idx="11">
                  <c:v>98.758800000000008</c:v>
                </c:pt>
                <c:pt idx="12">
                  <c:v>98.758800000000008</c:v>
                </c:pt>
                <c:pt idx="13">
                  <c:v>98.758800000000008</c:v>
                </c:pt>
                <c:pt idx="14">
                  <c:v>98.758800000000008</c:v>
                </c:pt>
                <c:pt idx="15">
                  <c:v>98.758800000000008</c:v>
                </c:pt>
                <c:pt idx="16">
                  <c:v>98.758800000000008</c:v>
                </c:pt>
                <c:pt idx="17">
                  <c:v>98.758800000000008</c:v>
                </c:pt>
                <c:pt idx="18">
                  <c:v>98.758800000000008</c:v>
                </c:pt>
                <c:pt idx="19">
                  <c:v>98.758800000000008</c:v>
                </c:pt>
                <c:pt idx="20">
                  <c:v>98.758800000000008</c:v>
                </c:pt>
                <c:pt idx="21">
                  <c:v>98.758800000000008</c:v>
                </c:pt>
                <c:pt idx="22">
                  <c:v>98.758800000000008</c:v>
                </c:pt>
                <c:pt idx="23">
                  <c:v>98.758800000000008</c:v>
                </c:pt>
                <c:pt idx="24">
                  <c:v>98.758800000000008</c:v>
                </c:pt>
              </c:numCache>
            </c:numRef>
          </c:val>
          <c:smooth val="0"/>
          <c:extLst>
            <c:ext xmlns:c16="http://schemas.microsoft.com/office/drawing/2014/chart" uri="{C3380CC4-5D6E-409C-BE32-E72D297353CC}">
              <c16:uniqueId val="{00000003-8C51-E04F-8516-FB9D3EE43EFB}"/>
            </c:ext>
          </c:extLst>
        </c:ser>
        <c:dLbls>
          <c:showLegendKey val="0"/>
          <c:showVal val="0"/>
          <c:showCatName val="0"/>
          <c:showSerName val="0"/>
          <c:showPercent val="0"/>
          <c:showBubbleSize val="0"/>
        </c:dLbls>
        <c:marker val="1"/>
        <c:smooth val="0"/>
        <c:axId val="1116511976"/>
        <c:axId val="1116515416"/>
      </c:lineChart>
      <c:catAx>
        <c:axId val="1116511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116515416"/>
        <c:crosses val="autoZero"/>
        <c:auto val="1"/>
        <c:lblAlgn val="ctr"/>
        <c:lblOffset val="100"/>
        <c:tickLblSkip val="2"/>
        <c:tickMarkSkip val="1"/>
        <c:noMultiLvlLbl val="0"/>
      </c:catAx>
      <c:valAx>
        <c:axId val="111651541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116511976"/>
        <c:crosses val="autoZero"/>
        <c:crossBetween val="between"/>
      </c:valAx>
      <c:spPr>
        <a:solidFill>
          <a:srgbClr val="CDCDCD"/>
        </a:solidFill>
        <a:ln w="12700">
          <a:solidFill>
            <a:srgbClr val="808080"/>
          </a:solidFill>
          <a:prstDash val="solid"/>
        </a:ln>
      </c:spPr>
    </c:plotArea>
    <c:legend>
      <c:legendPos val="r"/>
      <c:layout>
        <c:manualLayout>
          <c:xMode val="edge"/>
          <c:yMode val="edge"/>
          <c:x val="0.30120481927710802"/>
          <c:y val="0.92800000000000005"/>
          <c:w val="0.48915662650602398"/>
          <c:h val="5.1999999999999998E-2"/>
        </c:manualLayout>
      </c:layout>
      <c:overlay val="0"/>
      <c:spPr>
        <a:solidFill>
          <a:srgbClr val="FFFFFF"/>
        </a:solidFill>
        <a:ln w="25400">
          <a:noFill/>
        </a:ln>
      </c:spPr>
      <c:txPr>
        <a:bodyPr/>
        <a:lstStyle/>
        <a:p>
          <a:pPr>
            <a:defRPr sz="735"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Verdana"/>
                <a:ea typeface="Verdana"/>
                <a:cs typeface="Verdana"/>
              </a:defRPr>
            </a:pPr>
            <a:r>
              <a:rPr lang="en-US"/>
              <a:t>Gráfica X, 23</a:t>
            </a:r>
            <a:r>
              <a:rPr lang="en-US" baseline="0"/>
              <a:t> </a:t>
            </a:r>
            <a:r>
              <a:rPr lang="en-US"/>
              <a:t>valores</a:t>
            </a:r>
          </a:p>
        </c:rich>
      </c:tx>
      <c:layout>
        <c:manualLayout>
          <c:xMode val="edge"/>
          <c:yMode val="edge"/>
          <c:x val="0.36867507826581902"/>
          <c:y val="3.6885245901639302E-2"/>
        </c:manualLayout>
      </c:layout>
      <c:overlay val="0"/>
      <c:spPr>
        <a:noFill/>
        <a:ln w="25400">
          <a:noFill/>
        </a:ln>
      </c:spPr>
    </c:title>
    <c:autoTitleDeleted val="0"/>
    <c:plotArea>
      <c:layout>
        <c:manualLayout>
          <c:layoutTarget val="inner"/>
          <c:xMode val="edge"/>
          <c:yMode val="edge"/>
          <c:x val="0.11807242807844"/>
          <c:y val="0.184426598573976"/>
          <c:w val="0.855422693221354"/>
          <c:h val="0.63114880400871698"/>
        </c:manualLayout>
      </c:layout>
      <c:lineChart>
        <c:grouping val="standard"/>
        <c:varyColors val="0"/>
        <c:ser>
          <c:idx val="0"/>
          <c:order val="0"/>
          <c:tx>
            <c:strRef>
              <c:f>'3'!$AA$1</c:f>
              <c:strCache>
                <c:ptCount val="1"/>
                <c:pt idx="0">
                  <c:v>Promedio</c:v>
                </c:pt>
              </c:strCache>
            </c:strRef>
          </c:tx>
          <c:spPr>
            <a:ln w="25400">
              <a:solidFill>
                <a:srgbClr val="63AAFE"/>
              </a:solidFill>
              <a:prstDash val="solid"/>
            </a:ln>
          </c:spPr>
          <c:marker>
            <c:symbol val="diamond"/>
            <c:size val="5"/>
            <c:spPr>
              <a:noFill/>
              <a:ln>
                <a:solidFill>
                  <a:srgbClr val="000000"/>
                </a:solidFill>
                <a:prstDash val="solid"/>
              </a:ln>
              <a:effectLst>
                <a:outerShdw dist="35921" dir="2700000" algn="br">
                  <a:srgbClr val="000000"/>
                </a:outerShdw>
              </a:effectLst>
            </c:spPr>
          </c:marker>
          <c:val>
            <c:numRef>
              <c:f>'3'!$AA$2:$AA$25</c:f>
              <c:numCache>
                <c:formatCode>0.00</c:formatCode>
                <c:ptCount val="24"/>
                <c:pt idx="0">
                  <c:v>100.2</c:v>
                </c:pt>
                <c:pt idx="1">
                  <c:v>100.4</c:v>
                </c:pt>
                <c:pt idx="2">
                  <c:v>99.58</c:v>
                </c:pt>
                <c:pt idx="3">
                  <c:v>100.04</c:v>
                </c:pt>
                <c:pt idx="4">
                  <c:v>99.12</c:v>
                </c:pt>
                <c:pt idx="5">
                  <c:v>99.78</c:v>
                </c:pt>
                <c:pt idx="6">
                  <c:v>100.84</c:v>
                </c:pt>
                <c:pt idx="7">
                  <c:v>99.66</c:v>
                </c:pt>
                <c:pt idx="8">
                  <c:v>101.16</c:v>
                </c:pt>
                <c:pt idx="9">
                  <c:v>100.08</c:v>
                </c:pt>
                <c:pt idx="10">
                  <c:v>99.3</c:v>
                </c:pt>
                <c:pt idx="11">
                  <c:v>100.4</c:v>
                </c:pt>
                <c:pt idx="12">
                  <c:v>100.1</c:v>
                </c:pt>
                <c:pt idx="13">
                  <c:v>100.64</c:v>
                </c:pt>
                <c:pt idx="14">
                  <c:v>99.94</c:v>
                </c:pt>
                <c:pt idx="15">
                  <c:v>99.98</c:v>
                </c:pt>
                <c:pt idx="16">
                  <c:v>101.1</c:v>
                </c:pt>
                <c:pt idx="17">
                  <c:v>100.14</c:v>
                </c:pt>
                <c:pt idx="18">
                  <c:v>99.68</c:v>
                </c:pt>
                <c:pt idx="19">
                  <c:v>99.6</c:v>
                </c:pt>
                <c:pt idx="20">
                  <c:v>101.58</c:v>
                </c:pt>
                <c:pt idx="21">
                  <c:v>100</c:v>
                </c:pt>
                <c:pt idx="22">
                  <c:v>101.3</c:v>
                </c:pt>
                <c:pt idx="23">
                  <c:v>101.6</c:v>
                </c:pt>
              </c:numCache>
            </c:numRef>
          </c:val>
          <c:smooth val="0"/>
          <c:extLst>
            <c:ext xmlns:c16="http://schemas.microsoft.com/office/drawing/2014/chart" uri="{C3380CC4-5D6E-409C-BE32-E72D297353CC}">
              <c16:uniqueId val="{00000000-2130-6744-B1C5-72A59F66162A}"/>
            </c:ext>
          </c:extLst>
        </c:ser>
        <c:ser>
          <c:idx val="1"/>
          <c:order val="1"/>
          <c:tx>
            <c:strRef>
              <c:f>'3'!$AB$1</c:f>
              <c:strCache>
                <c:ptCount val="1"/>
                <c:pt idx="0">
                  <c:v>USL</c:v>
                </c:pt>
              </c:strCache>
            </c:strRef>
          </c:tx>
          <c:spPr>
            <a:ln w="25400">
              <a:solidFill>
                <a:srgbClr val="DD2D32"/>
              </a:solidFill>
              <a:prstDash val="solid"/>
            </a:ln>
          </c:spPr>
          <c:marker>
            <c:symbol val="none"/>
          </c:marker>
          <c:val>
            <c:numRef>
              <c:f>'3'!$AB$2:$AB$25</c:f>
              <c:numCache>
                <c:formatCode>0.000</c:formatCode>
                <c:ptCount val="24"/>
                <c:pt idx="0">
                  <c:v>101.82516666666668</c:v>
                </c:pt>
                <c:pt idx="1">
                  <c:v>101.82516666666668</c:v>
                </c:pt>
                <c:pt idx="2">
                  <c:v>101.82516666666668</c:v>
                </c:pt>
                <c:pt idx="3">
                  <c:v>101.82516666666668</c:v>
                </c:pt>
                <c:pt idx="4">
                  <c:v>101.82516666666668</c:v>
                </c:pt>
                <c:pt idx="5">
                  <c:v>101.82516666666668</c:v>
                </c:pt>
                <c:pt idx="6">
                  <c:v>101.82516666666668</c:v>
                </c:pt>
                <c:pt idx="7">
                  <c:v>101.82516666666668</c:v>
                </c:pt>
                <c:pt idx="8">
                  <c:v>101.82516666666668</c:v>
                </c:pt>
                <c:pt idx="9">
                  <c:v>101.82516666666668</c:v>
                </c:pt>
                <c:pt idx="10">
                  <c:v>101.82516666666668</c:v>
                </c:pt>
                <c:pt idx="11">
                  <c:v>101.82516666666668</c:v>
                </c:pt>
                <c:pt idx="12">
                  <c:v>101.82516666666668</c:v>
                </c:pt>
                <c:pt idx="13">
                  <c:v>101.82516666666668</c:v>
                </c:pt>
                <c:pt idx="14">
                  <c:v>101.82516666666668</c:v>
                </c:pt>
                <c:pt idx="15">
                  <c:v>101.82516666666668</c:v>
                </c:pt>
                <c:pt idx="16">
                  <c:v>101.82516666666668</c:v>
                </c:pt>
                <c:pt idx="17">
                  <c:v>101.82516666666668</c:v>
                </c:pt>
                <c:pt idx="18">
                  <c:v>101.82516666666668</c:v>
                </c:pt>
                <c:pt idx="19">
                  <c:v>101.82516666666668</c:v>
                </c:pt>
                <c:pt idx="20">
                  <c:v>101.82516666666668</c:v>
                </c:pt>
                <c:pt idx="21">
                  <c:v>101.82516666666668</c:v>
                </c:pt>
                <c:pt idx="22">
                  <c:v>101.82516666666668</c:v>
                </c:pt>
                <c:pt idx="23">
                  <c:v>101.82516666666668</c:v>
                </c:pt>
              </c:numCache>
            </c:numRef>
          </c:val>
          <c:smooth val="0"/>
          <c:extLst>
            <c:ext xmlns:c16="http://schemas.microsoft.com/office/drawing/2014/chart" uri="{C3380CC4-5D6E-409C-BE32-E72D297353CC}">
              <c16:uniqueId val="{00000001-2130-6744-B1C5-72A59F66162A}"/>
            </c:ext>
          </c:extLst>
        </c:ser>
        <c:ser>
          <c:idx val="2"/>
          <c:order val="2"/>
          <c:tx>
            <c:strRef>
              <c:f>'3'!$AC$1</c:f>
              <c:strCache>
                <c:ptCount val="1"/>
                <c:pt idx="0">
                  <c:v>CSL</c:v>
                </c:pt>
              </c:strCache>
            </c:strRef>
          </c:tx>
          <c:spPr>
            <a:ln w="25400">
              <a:solidFill>
                <a:srgbClr val="FFF58C"/>
              </a:solidFill>
              <a:prstDash val="solid"/>
            </a:ln>
          </c:spPr>
          <c:marker>
            <c:symbol val="none"/>
          </c:marker>
          <c:val>
            <c:numRef>
              <c:f>'3'!$AC$2:$AC$25</c:f>
              <c:numCache>
                <c:formatCode>0.000</c:formatCode>
                <c:ptCount val="24"/>
                <c:pt idx="0">
                  <c:v>100.25916666666667</c:v>
                </c:pt>
                <c:pt idx="1">
                  <c:v>100.25916666666667</c:v>
                </c:pt>
                <c:pt idx="2">
                  <c:v>100.25916666666667</c:v>
                </c:pt>
                <c:pt idx="3">
                  <c:v>100.25916666666667</c:v>
                </c:pt>
                <c:pt idx="4">
                  <c:v>100.25916666666667</c:v>
                </c:pt>
                <c:pt idx="5">
                  <c:v>100.25916666666667</c:v>
                </c:pt>
                <c:pt idx="6">
                  <c:v>100.25916666666667</c:v>
                </c:pt>
                <c:pt idx="7">
                  <c:v>100.25916666666667</c:v>
                </c:pt>
                <c:pt idx="8">
                  <c:v>100.25916666666667</c:v>
                </c:pt>
                <c:pt idx="9">
                  <c:v>100.25916666666667</c:v>
                </c:pt>
                <c:pt idx="10">
                  <c:v>100.25916666666667</c:v>
                </c:pt>
                <c:pt idx="11">
                  <c:v>100.25916666666667</c:v>
                </c:pt>
                <c:pt idx="12">
                  <c:v>100.25916666666667</c:v>
                </c:pt>
                <c:pt idx="13">
                  <c:v>100.25916666666667</c:v>
                </c:pt>
                <c:pt idx="14">
                  <c:v>100.25916666666667</c:v>
                </c:pt>
                <c:pt idx="15">
                  <c:v>100.25916666666667</c:v>
                </c:pt>
                <c:pt idx="16">
                  <c:v>100.25916666666667</c:v>
                </c:pt>
                <c:pt idx="17">
                  <c:v>100.25916666666667</c:v>
                </c:pt>
                <c:pt idx="18">
                  <c:v>100.25916666666667</c:v>
                </c:pt>
                <c:pt idx="19">
                  <c:v>100.25916666666667</c:v>
                </c:pt>
                <c:pt idx="20">
                  <c:v>100.25916666666667</c:v>
                </c:pt>
                <c:pt idx="21">
                  <c:v>100.25916666666667</c:v>
                </c:pt>
                <c:pt idx="22">
                  <c:v>100.25916666666667</c:v>
                </c:pt>
                <c:pt idx="23">
                  <c:v>100.25916666666667</c:v>
                </c:pt>
              </c:numCache>
            </c:numRef>
          </c:val>
          <c:smooth val="0"/>
          <c:extLst>
            <c:ext xmlns:c16="http://schemas.microsoft.com/office/drawing/2014/chart" uri="{C3380CC4-5D6E-409C-BE32-E72D297353CC}">
              <c16:uniqueId val="{00000002-2130-6744-B1C5-72A59F66162A}"/>
            </c:ext>
          </c:extLst>
        </c:ser>
        <c:ser>
          <c:idx val="3"/>
          <c:order val="3"/>
          <c:tx>
            <c:strRef>
              <c:f>'3'!$AD$1</c:f>
              <c:strCache>
                <c:ptCount val="1"/>
                <c:pt idx="0">
                  <c:v>LSL</c:v>
                </c:pt>
              </c:strCache>
            </c:strRef>
          </c:tx>
          <c:spPr>
            <a:ln w="25400">
              <a:solidFill>
                <a:srgbClr val="4EE257"/>
              </a:solidFill>
              <a:prstDash val="solid"/>
            </a:ln>
          </c:spPr>
          <c:marker>
            <c:symbol val="none"/>
          </c:marker>
          <c:val>
            <c:numRef>
              <c:f>'3'!$AD$2:$AD$25</c:f>
              <c:numCache>
                <c:formatCode>0.000</c:formatCode>
                <c:ptCount val="24"/>
                <c:pt idx="0">
                  <c:v>98.69316666666667</c:v>
                </c:pt>
                <c:pt idx="1">
                  <c:v>98.69316666666667</c:v>
                </c:pt>
                <c:pt idx="2">
                  <c:v>98.69316666666667</c:v>
                </c:pt>
                <c:pt idx="3">
                  <c:v>98.69316666666667</c:v>
                </c:pt>
                <c:pt idx="4">
                  <c:v>98.69316666666667</c:v>
                </c:pt>
                <c:pt idx="5">
                  <c:v>98.69316666666667</c:v>
                </c:pt>
                <c:pt idx="6">
                  <c:v>98.69316666666667</c:v>
                </c:pt>
                <c:pt idx="7">
                  <c:v>98.69316666666667</c:v>
                </c:pt>
                <c:pt idx="8">
                  <c:v>98.69316666666667</c:v>
                </c:pt>
                <c:pt idx="9">
                  <c:v>98.69316666666667</c:v>
                </c:pt>
                <c:pt idx="10">
                  <c:v>98.69316666666667</c:v>
                </c:pt>
                <c:pt idx="11">
                  <c:v>98.69316666666667</c:v>
                </c:pt>
                <c:pt idx="12">
                  <c:v>98.69316666666667</c:v>
                </c:pt>
                <c:pt idx="13">
                  <c:v>98.69316666666667</c:v>
                </c:pt>
                <c:pt idx="14">
                  <c:v>98.69316666666667</c:v>
                </c:pt>
                <c:pt idx="15">
                  <c:v>98.69316666666667</c:v>
                </c:pt>
                <c:pt idx="16">
                  <c:v>98.69316666666667</c:v>
                </c:pt>
                <c:pt idx="17">
                  <c:v>98.69316666666667</c:v>
                </c:pt>
                <c:pt idx="18">
                  <c:v>98.69316666666667</c:v>
                </c:pt>
                <c:pt idx="19">
                  <c:v>98.69316666666667</c:v>
                </c:pt>
                <c:pt idx="20">
                  <c:v>98.69316666666667</c:v>
                </c:pt>
                <c:pt idx="21">
                  <c:v>98.69316666666667</c:v>
                </c:pt>
                <c:pt idx="22">
                  <c:v>98.69316666666667</c:v>
                </c:pt>
                <c:pt idx="23">
                  <c:v>98.69316666666667</c:v>
                </c:pt>
              </c:numCache>
            </c:numRef>
          </c:val>
          <c:smooth val="0"/>
          <c:extLst>
            <c:ext xmlns:c16="http://schemas.microsoft.com/office/drawing/2014/chart" uri="{C3380CC4-5D6E-409C-BE32-E72D297353CC}">
              <c16:uniqueId val="{00000003-2130-6744-B1C5-72A59F66162A}"/>
            </c:ext>
          </c:extLst>
        </c:ser>
        <c:dLbls>
          <c:showLegendKey val="0"/>
          <c:showVal val="0"/>
          <c:showCatName val="0"/>
          <c:showSerName val="0"/>
          <c:showPercent val="0"/>
          <c:showBubbleSize val="0"/>
        </c:dLbls>
        <c:marker val="1"/>
        <c:smooth val="0"/>
        <c:axId val="1116563288"/>
        <c:axId val="1116566728"/>
      </c:lineChart>
      <c:catAx>
        <c:axId val="1116563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116566728"/>
        <c:crosses val="autoZero"/>
        <c:auto val="1"/>
        <c:lblAlgn val="ctr"/>
        <c:lblOffset val="100"/>
        <c:tickLblSkip val="2"/>
        <c:tickMarkSkip val="1"/>
        <c:noMultiLvlLbl val="0"/>
      </c:catAx>
      <c:valAx>
        <c:axId val="111656672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CR"/>
          </a:p>
        </c:txPr>
        <c:crossAx val="1116563288"/>
        <c:crosses val="autoZero"/>
        <c:crossBetween val="between"/>
      </c:valAx>
      <c:spPr>
        <a:solidFill>
          <a:srgbClr val="CDCDCD"/>
        </a:solidFill>
        <a:ln w="12700">
          <a:solidFill>
            <a:srgbClr val="808080"/>
          </a:solidFill>
          <a:prstDash val="solid"/>
        </a:ln>
      </c:spPr>
    </c:plotArea>
    <c:legend>
      <c:legendPos val="r"/>
      <c:layout>
        <c:manualLayout>
          <c:xMode val="edge"/>
          <c:yMode val="edge"/>
          <c:x val="0.30120481927710802"/>
          <c:y val="0.92622950819672101"/>
          <c:w val="0.48915662650602398"/>
          <c:h val="5.3278688524590202E-2"/>
        </c:manualLayout>
      </c:layout>
      <c:overlay val="0"/>
      <c:spPr>
        <a:solidFill>
          <a:srgbClr val="FFFFFF"/>
        </a:solidFill>
        <a:ln w="25400">
          <a:noFill/>
        </a:ln>
      </c:spPr>
      <c:txPr>
        <a:bodyPr/>
        <a:lstStyle/>
        <a:p>
          <a:pPr>
            <a:defRPr sz="735" b="0" i="0" u="none" strike="noStrike" baseline="0">
              <a:solidFill>
                <a:srgbClr val="000000"/>
              </a:solidFill>
              <a:latin typeface="Verdana"/>
              <a:ea typeface="Verdana"/>
              <a:cs typeface="Verdana"/>
            </a:defRPr>
          </a:pPr>
          <a:endParaRPr lang="en-C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emf"/></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3</xdr:col>
      <xdr:colOff>444500</xdr:colOff>
      <xdr:row>29</xdr:row>
      <xdr:rowOff>127000</xdr:rowOff>
    </xdr:from>
    <xdr:to>
      <xdr:col>9</xdr:col>
      <xdr:colOff>660400</xdr:colOff>
      <xdr:row>43</xdr:row>
      <xdr:rowOff>12700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444500</xdr:colOff>
      <xdr:row>44</xdr:row>
      <xdr:rowOff>25400</xdr:rowOff>
    </xdr:from>
    <xdr:to>
      <xdr:col>10</xdr:col>
      <xdr:colOff>25400</xdr:colOff>
      <xdr:row>56</xdr:row>
      <xdr:rowOff>88900</xdr:rowOff>
    </xdr:to>
    <xdr:graphicFrame macro="">
      <xdr:nvGraphicFramePr>
        <xdr:cNvPr id="3" name="Chart 6">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215900</xdr:colOff>
      <xdr:row>36</xdr:row>
      <xdr:rowOff>76200</xdr:rowOff>
    </xdr:from>
    <xdr:to>
      <xdr:col>9</xdr:col>
      <xdr:colOff>520700</xdr:colOff>
      <xdr:row>36</xdr:row>
      <xdr:rowOff>76200</xdr:rowOff>
    </xdr:to>
    <xdr:sp macro="" textlink="">
      <xdr:nvSpPr>
        <xdr:cNvPr id="4" name="Line 7">
          <a:extLst>
            <a:ext uri="{FF2B5EF4-FFF2-40B4-BE49-F238E27FC236}">
              <a16:creationId xmlns:a16="http://schemas.microsoft.com/office/drawing/2014/main" id="{00000000-0008-0000-0000-000004000000}"/>
            </a:ext>
          </a:extLst>
        </xdr:cNvPr>
        <xdr:cNvSpPr>
          <a:spLocks noChangeShapeType="1"/>
        </xdr:cNvSpPr>
      </xdr:nvSpPr>
      <xdr:spPr bwMode="auto">
        <a:xfrm>
          <a:off x="3340100" y="1143000"/>
          <a:ext cx="3670300"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4</xdr:col>
      <xdr:colOff>215900</xdr:colOff>
      <xdr:row>33</xdr:row>
      <xdr:rowOff>88900</xdr:rowOff>
    </xdr:from>
    <xdr:to>
      <xdr:col>9</xdr:col>
      <xdr:colOff>520700</xdr:colOff>
      <xdr:row>33</xdr:row>
      <xdr:rowOff>88900</xdr:rowOff>
    </xdr:to>
    <xdr:sp macro="" textlink="">
      <xdr:nvSpPr>
        <xdr:cNvPr id="5" name="Line 8">
          <a:extLst>
            <a:ext uri="{FF2B5EF4-FFF2-40B4-BE49-F238E27FC236}">
              <a16:creationId xmlns:a16="http://schemas.microsoft.com/office/drawing/2014/main" id="{00000000-0008-0000-0000-000005000000}"/>
            </a:ext>
          </a:extLst>
        </xdr:cNvPr>
        <xdr:cNvSpPr>
          <a:spLocks noChangeShapeType="1"/>
        </xdr:cNvSpPr>
      </xdr:nvSpPr>
      <xdr:spPr bwMode="auto">
        <a:xfrm>
          <a:off x="3340100" y="698500"/>
          <a:ext cx="3670300"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4</xdr:col>
      <xdr:colOff>228600</xdr:colOff>
      <xdr:row>38</xdr:row>
      <xdr:rowOff>114300</xdr:rowOff>
    </xdr:from>
    <xdr:to>
      <xdr:col>9</xdr:col>
      <xdr:colOff>457200</xdr:colOff>
      <xdr:row>38</xdr:row>
      <xdr:rowOff>114300</xdr:rowOff>
    </xdr:to>
    <xdr:sp macro="" textlink="">
      <xdr:nvSpPr>
        <xdr:cNvPr id="6" name="Line 9">
          <a:extLst>
            <a:ext uri="{FF2B5EF4-FFF2-40B4-BE49-F238E27FC236}">
              <a16:creationId xmlns:a16="http://schemas.microsoft.com/office/drawing/2014/main" id="{00000000-0008-0000-0000-000006000000}"/>
            </a:ext>
          </a:extLst>
        </xdr:cNvPr>
        <xdr:cNvSpPr>
          <a:spLocks noChangeShapeType="1"/>
        </xdr:cNvSpPr>
      </xdr:nvSpPr>
      <xdr:spPr bwMode="auto">
        <a:xfrm>
          <a:off x="3352800" y="1485900"/>
          <a:ext cx="3594100"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1</xdr:col>
      <xdr:colOff>317500</xdr:colOff>
      <xdr:row>44</xdr:row>
      <xdr:rowOff>12700</xdr:rowOff>
    </xdr:from>
    <xdr:to>
      <xdr:col>1</xdr:col>
      <xdr:colOff>406400</xdr:colOff>
      <xdr:row>44</xdr:row>
      <xdr:rowOff>12700</xdr:rowOff>
    </xdr:to>
    <xdr:sp macro="" textlink="">
      <xdr:nvSpPr>
        <xdr:cNvPr id="7" name="Line 10">
          <a:extLst>
            <a:ext uri="{FF2B5EF4-FFF2-40B4-BE49-F238E27FC236}">
              <a16:creationId xmlns:a16="http://schemas.microsoft.com/office/drawing/2014/main" id="{00000000-0008-0000-0000-000007000000}"/>
            </a:ext>
          </a:extLst>
        </xdr:cNvPr>
        <xdr:cNvSpPr>
          <a:spLocks noChangeShapeType="1"/>
        </xdr:cNvSpPr>
      </xdr:nvSpPr>
      <xdr:spPr bwMode="auto">
        <a:xfrm>
          <a:off x="1117600" y="2298700"/>
          <a:ext cx="88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4</xdr:col>
      <xdr:colOff>215900</xdr:colOff>
      <xdr:row>47</xdr:row>
      <xdr:rowOff>63500</xdr:rowOff>
    </xdr:from>
    <xdr:to>
      <xdr:col>9</xdr:col>
      <xdr:colOff>495300</xdr:colOff>
      <xdr:row>47</xdr:row>
      <xdr:rowOff>63500</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bwMode="auto">
        <a:xfrm>
          <a:off x="3340100" y="2806700"/>
          <a:ext cx="3644900"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4</xdr:col>
      <xdr:colOff>215900</xdr:colOff>
      <xdr:row>52</xdr:row>
      <xdr:rowOff>25400</xdr:rowOff>
    </xdr:from>
    <xdr:to>
      <xdr:col>9</xdr:col>
      <xdr:colOff>533400</xdr:colOff>
      <xdr:row>52</xdr:row>
      <xdr:rowOff>25400</xdr:rowOff>
    </xdr:to>
    <xdr:sp macro="" textlink="">
      <xdr:nvSpPr>
        <xdr:cNvPr id="9" name="Line 12">
          <a:extLst>
            <a:ext uri="{FF2B5EF4-FFF2-40B4-BE49-F238E27FC236}">
              <a16:creationId xmlns:a16="http://schemas.microsoft.com/office/drawing/2014/main" id="{00000000-0008-0000-0000-000009000000}"/>
            </a:ext>
          </a:extLst>
        </xdr:cNvPr>
        <xdr:cNvSpPr>
          <a:spLocks noChangeShapeType="1"/>
        </xdr:cNvSpPr>
      </xdr:nvSpPr>
      <xdr:spPr bwMode="auto">
        <a:xfrm>
          <a:off x="3340100" y="3530600"/>
          <a:ext cx="3683000"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4</xdr:col>
      <xdr:colOff>241300</xdr:colOff>
      <xdr:row>54</xdr:row>
      <xdr:rowOff>38100</xdr:rowOff>
    </xdr:from>
    <xdr:to>
      <xdr:col>9</xdr:col>
      <xdr:colOff>520700</xdr:colOff>
      <xdr:row>54</xdr:row>
      <xdr:rowOff>38100</xdr:rowOff>
    </xdr:to>
    <xdr:sp macro="" textlink="">
      <xdr:nvSpPr>
        <xdr:cNvPr id="10" name="Line 13">
          <a:extLst>
            <a:ext uri="{FF2B5EF4-FFF2-40B4-BE49-F238E27FC236}">
              <a16:creationId xmlns:a16="http://schemas.microsoft.com/office/drawing/2014/main" id="{00000000-0008-0000-0000-00000A000000}"/>
            </a:ext>
          </a:extLst>
        </xdr:cNvPr>
        <xdr:cNvSpPr>
          <a:spLocks noChangeShapeType="1"/>
        </xdr:cNvSpPr>
      </xdr:nvSpPr>
      <xdr:spPr bwMode="auto">
        <a:xfrm>
          <a:off x="3365500" y="3848100"/>
          <a:ext cx="3644900"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0</xdr:col>
      <xdr:colOff>381000</xdr:colOff>
      <xdr:row>17</xdr:row>
      <xdr:rowOff>38100</xdr:rowOff>
    </xdr:from>
    <xdr:to>
      <xdr:col>0</xdr:col>
      <xdr:colOff>495300</xdr:colOff>
      <xdr:row>17</xdr:row>
      <xdr:rowOff>38100</xdr:rowOff>
    </xdr:to>
    <xdr:sp macro="" textlink="">
      <xdr:nvSpPr>
        <xdr:cNvPr id="16" name="Line 2">
          <a:extLst>
            <a:ext uri="{FF2B5EF4-FFF2-40B4-BE49-F238E27FC236}">
              <a16:creationId xmlns:a16="http://schemas.microsoft.com/office/drawing/2014/main" id="{00000000-0008-0000-0000-000010000000}"/>
            </a:ext>
          </a:extLst>
        </xdr:cNvPr>
        <xdr:cNvSpPr>
          <a:spLocks noChangeShapeType="1"/>
        </xdr:cNvSpPr>
      </xdr:nvSpPr>
      <xdr:spPr bwMode="auto">
        <a:xfrm>
          <a:off x="381000" y="2476500"/>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2</xdr:col>
      <xdr:colOff>114300</xdr:colOff>
      <xdr:row>2</xdr:row>
      <xdr:rowOff>0</xdr:rowOff>
    </xdr:from>
    <xdr:to>
      <xdr:col>11</xdr:col>
      <xdr:colOff>127000</xdr:colOff>
      <xdr:row>22</xdr:row>
      <xdr:rowOff>50800</xdr:rowOff>
    </xdr:to>
    <xdr:graphicFrame macro="">
      <xdr:nvGraphicFramePr>
        <xdr:cNvPr id="17" name="Chart 3">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50800</xdr:colOff>
      <xdr:row>16</xdr:row>
      <xdr:rowOff>63500</xdr:rowOff>
    </xdr:from>
    <xdr:to>
      <xdr:col>10</xdr:col>
      <xdr:colOff>609600</xdr:colOff>
      <xdr:row>16</xdr:row>
      <xdr:rowOff>63500</xdr:rowOff>
    </xdr:to>
    <xdr:sp macro="" textlink="">
      <xdr:nvSpPr>
        <xdr:cNvPr id="18" name="Line 6">
          <a:extLst>
            <a:ext uri="{FF2B5EF4-FFF2-40B4-BE49-F238E27FC236}">
              <a16:creationId xmlns:a16="http://schemas.microsoft.com/office/drawing/2014/main" id="{00000000-0008-0000-0000-000012000000}"/>
            </a:ext>
          </a:extLst>
        </xdr:cNvPr>
        <xdr:cNvSpPr>
          <a:spLocks noChangeShapeType="1"/>
        </xdr:cNvSpPr>
      </xdr:nvSpPr>
      <xdr:spPr bwMode="auto">
        <a:xfrm>
          <a:off x="2540000" y="2349500"/>
          <a:ext cx="527050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3</xdr:col>
      <xdr:colOff>38100</xdr:colOff>
      <xdr:row>11</xdr:row>
      <xdr:rowOff>101600</xdr:rowOff>
    </xdr:from>
    <xdr:to>
      <xdr:col>10</xdr:col>
      <xdr:colOff>647700</xdr:colOff>
      <xdr:row>11</xdr:row>
      <xdr:rowOff>101600</xdr:rowOff>
    </xdr:to>
    <xdr:sp macro="" textlink="">
      <xdr:nvSpPr>
        <xdr:cNvPr id="19" name="Line 7">
          <a:extLst>
            <a:ext uri="{FF2B5EF4-FFF2-40B4-BE49-F238E27FC236}">
              <a16:creationId xmlns:a16="http://schemas.microsoft.com/office/drawing/2014/main" id="{00000000-0008-0000-0000-000013000000}"/>
            </a:ext>
          </a:extLst>
        </xdr:cNvPr>
        <xdr:cNvSpPr>
          <a:spLocks noChangeShapeType="1"/>
        </xdr:cNvSpPr>
      </xdr:nvSpPr>
      <xdr:spPr bwMode="auto">
        <a:xfrm>
          <a:off x="2527300" y="1625600"/>
          <a:ext cx="532130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6</xdr:col>
      <xdr:colOff>654050</xdr:colOff>
      <xdr:row>15</xdr:row>
      <xdr:rowOff>133350</xdr:rowOff>
    </xdr:from>
    <xdr:to>
      <xdr:col>7</xdr:col>
      <xdr:colOff>273050</xdr:colOff>
      <xdr:row>17</xdr:row>
      <xdr:rowOff>69850</xdr:rowOff>
    </xdr:to>
    <xdr:sp macro="" textlink="">
      <xdr:nvSpPr>
        <xdr:cNvPr id="20" name="Oval 8">
          <a:extLst>
            <a:ext uri="{FF2B5EF4-FFF2-40B4-BE49-F238E27FC236}">
              <a16:creationId xmlns:a16="http://schemas.microsoft.com/office/drawing/2014/main" id="{00000000-0008-0000-0000-000014000000}"/>
            </a:ext>
          </a:extLst>
        </xdr:cNvPr>
        <xdr:cNvSpPr>
          <a:spLocks noChangeArrowheads="1"/>
        </xdr:cNvSpPr>
      </xdr:nvSpPr>
      <xdr:spPr bwMode="auto">
        <a:xfrm>
          <a:off x="5124450" y="2419350"/>
          <a:ext cx="292100" cy="2413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txBody>
        <a:bodyPr rtlCol="0"/>
        <a:lstStyle/>
        <a:p>
          <a:pPr algn="ctr"/>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685801</xdr:colOff>
      <xdr:row>0</xdr:row>
      <xdr:rowOff>184150</xdr:rowOff>
    </xdr:from>
    <xdr:to>
      <xdr:col>21</xdr:col>
      <xdr:colOff>16933</xdr:colOff>
      <xdr:row>23</xdr:row>
      <xdr:rowOff>50800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656168</xdr:colOff>
      <xdr:row>24</xdr:row>
      <xdr:rowOff>99483</xdr:rowOff>
    </xdr:from>
    <xdr:to>
      <xdr:col>21</xdr:col>
      <xdr:colOff>16934</xdr:colOff>
      <xdr:row>46</xdr:row>
      <xdr:rowOff>101600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812800</xdr:colOff>
      <xdr:row>27</xdr:row>
      <xdr:rowOff>44450</xdr:rowOff>
    </xdr:from>
    <xdr:to>
      <xdr:col>29</xdr:col>
      <xdr:colOff>241300</xdr:colOff>
      <xdr:row>48</xdr:row>
      <xdr:rowOff>76200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609600</xdr:colOff>
      <xdr:row>48</xdr:row>
      <xdr:rowOff>69850</xdr:rowOff>
    </xdr:from>
    <xdr:to>
      <xdr:col>21</xdr:col>
      <xdr:colOff>50800</xdr:colOff>
      <xdr:row>67</xdr:row>
      <xdr:rowOff>152400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304800</xdr:colOff>
      <xdr:row>4</xdr:row>
      <xdr:rowOff>19050</xdr:rowOff>
    </xdr:from>
    <xdr:to>
      <xdr:col>15</xdr:col>
      <xdr:colOff>355600</xdr:colOff>
      <xdr:row>28</xdr:row>
      <xdr:rowOff>25400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228600</xdr:colOff>
      <xdr:row>31</xdr:row>
      <xdr:rowOff>158750</xdr:rowOff>
    </xdr:from>
    <xdr:to>
      <xdr:col>15</xdr:col>
      <xdr:colOff>406400</xdr:colOff>
      <xdr:row>54</xdr:row>
      <xdr:rowOff>127000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25400</xdr:colOff>
      <xdr:row>4</xdr:row>
      <xdr:rowOff>19050</xdr:rowOff>
    </xdr:from>
    <xdr:to>
      <xdr:col>22</xdr:col>
      <xdr:colOff>533400</xdr:colOff>
      <xdr:row>28</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618066</xdr:colOff>
      <xdr:row>1</xdr:row>
      <xdr:rowOff>4233</xdr:rowOff>
    </xdr:from>
    <xdr:to>
      <xdr:col>18</xdr:col>
      <xdr:colOff>101599</xdr:colOff>
      <xdr:row>14</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601134</xdr:colOff>
      <xdr:row>14</xdr:row>
      <xdr:rowOff>182031</xdr:rowOff>
    </xdr:from>
    <xdr:to>
      <xdr:col>18</xdr:col>
      <xdr:colOff>143933</xdr:colOff>
      <xdr:row>28</xdr:row>
      <xdr:rowOff>93132</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15240</xdr:colOff>
      <xdr:row>1</xdr:row>
      <xdr:rowOff>50800</xdr:rowOff>
    </xdr:from>
    <xdr:to>
      <xdr:col>19</xdr:col>
      <xdr:colOff>340360</xdr:colOff>
      <xdr:row>24</xdr:row>
      <xdr:rowOff>17780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12700</xdr:colOff>
      <xdr:row>24</xdr:row>
      <xdr:rowOff>114300</xdr:rowOff>
    </xdr:from>
    <xdr:to>
      <xdr:col>19</xdr:col>
      <xdr:colOff>368300</xdr:colOff>
      <xdr:row>48</xdr:row>
      <xdr:rowOff>25400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25400</xdr:colOff>
      <xdr:row>0</xdr:row>
      <xdr:rowOff>177800</xdr:rowOff>
    </xdr:from>
    <xdr:to>
      <xdr:col>10</xdr:col>
      <xdr:colOff>63500</xdr:colOff>
      <xdr:row>17</xdr:row>
      <xdr:rowOff>101600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3124200" y="177800"/>
          <a:ext cx="4991100" cy="3327400"/>
        </a:xfrm>
        <a:prstGeom prst="rect">
          <a:avLst/>
        </a:prstGeom>
      </xdr:spPr>
    </xdr:pic>
    <xdr:clientData/>
  </xdr:twoCellAnchor>
  <xdr:twoCellAnchor editAs="oneCell">
    <xdr:from>
      <xdr:col>4</xdr:col>
      <xdr:colOff>12700</xdr:colOff>
      <xdr:row>19</xdr:row>
      <xdr:rowOff>152400</xdr:rowOff>
    </xdr:from>
    <xdr:to>
      <xdr:col>10</xdr:col>
      <xdr:colOff>31750</xdr:colOff>
      <xdr:row>37</xdr:row>
      <xdr:rowOff>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3111500" y="3949700"/>
          <a:ext cx="4972050" cy="33147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162560</xdr:colOff>
      <xdr:row>0</xdr:row>
      <xdr:rowOff>155786</xdr:rowOff>
    </xdr:from>
    <xdr:to>
      <xdr:col>23</xdr:col>
      <xdr:colOff>161292</xdr:colOff>
      <xdr:row>23</xdr:row>
      <xdr:rowOff>178119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7122160" y="155786"/>
          <a:ext cx="6602732" cy="440383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774699</xdr:colOff>
      <xdr:row>18</xdr:row>
      <xdr:rowOff>93133</xdr:rowOff>
    </xdr:from>
    <xdr:to>
      <xdr:col>8</xdr:col>
      <xdr:colOff>171450</xdr:colOff>
      <xdr:row>40</xdr:row>
      <xdr:rowOff>156634</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774699" y="4068233"/>
          <a:ext cx="6381751" cy="4254501"/>
        </a:xfrm>
        <a:prstGeom prst="rect">
          <a:avLst/>
        </a:prstGeom>
      </xdr:spPr>
    </xdr:pic>
    <xdr:clientData/>
  </xdr:twoCellAnchor>
  <xdr:twoCellAnchor editAs="oneCell">
    <xdr:from>
      <xdr:col>8</xdr:col>
      <xdr:colOff>165100</xdr:colOff>
      <xdr:row>18</xdr:row>
      <xdr:rowOff>76199</xdr:rowOff>
    </xdr:from>
    <xdr:to>
      <xdr:col>15</xdr:col>
      <xdr:colOff>768352</xdr:colOff>
      <xdr:row>40</xdr:row>
      <xdr:rowOff>139701</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7150100" y="4051299"/>
          <a:ext cx="6381752" cy="4254502"/>
        </a:xfrm>
        <a:prstGeom prst="rect">
          <a:avLst/>
        </a:prstGeom>
      </xdr:spPr>
    </xdr:pic>
    <xdr:clientData/>
  </xdr:twoCellAnchor>
  <xdr:twoCellAnchor editAs="oneCell">
    <xdr:from>
      <xdr:col>5</xdr:col>
      <xdr:colOff>685800</xdr:colOff>
      <xdr:row>6</xdr:row>
      <xdr:rowOff>0</xdr:rowOff>
    </xdr:from>
    <xdr:to>
      <xdr:col>16</xdr:col>
      <xdr:colOff>504372</xdr:colOff>
      <xdr:row>6</xdr:row>
      <xdr:rowOff>292100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3"/>
        <a:stretch>
          <a:fillRect/>
        </a:stretch>
      </xdr:blipFill>
      <xdr:spPr>
        <a:xfrm>
          <a:off x="5080000" y="1155700"/>
          <a:ext cx="9013372" cy="292100"/>
        </a:xfrm>
        <a:prstGeom prst="rect">
          <a:avLst/>
        </a:prstGeom>
      </xdr:spPr>
    </xdr:pic>
    <xdr:clientData/>
  </xdr:twoCellAnchor>
  <xdr:twoCellAnchor editAs="oneCell">
    <xdr:from>
      <xdr:col>5</xdr:col>
      <xdr:colOff>711199</xdr:colOff>
      <xdr:row>7</xdr:row>
      <xdr:rowOff>0</xdr:rowOff>
    </xdr:from>
    <xdr:to>
      <xdr:col>16</xdr:col>
      <xdr:colOff>529770</xdr:colOff>
      <xdr:row>8</xdr:row>
      <xdr:rowOff>55033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4"/>
        <a:stretch>
          <a:fillRect/>
        </a:stretch>
      </xdr:blipFill>
      <xdr:spPr>
        <a:xfrm>
          <a:off x="5105399" y="1473200"/>
          <a:ext cx="9013371" cy="309033"/>
        </a:xfrm>
        <a:prstGeom prst="rect">
          <a:avLst/>
        </a:prstGeom>
      </xdr:spPr>
    </xdr:pic>
    <xdr:clientData/>
  </xdr:twoCellAnchor>
  <xdr:twoCellAnchor>
    <xdr:from>
      <xdr:col>12</xdr:col>
      <xdr:colOff>800100</xdr:colOff>
      <xdr:row>6</xdr:row>
      <xdr:rowOff>12700</xdr:rowOff>
    </xdr:from>
    <xdr:to>
      <xdr:col>12</xdr:col>
      <xdr:colOff>800100</xdr:colOff>
      <xdr:row>12</xdr:row>
      <xdr:rowOff>0</xdr:rowOff>
    </xdr:to>
    <xdr:cxnSp macro="">
      <xdr:nvCxnSpPr>
        <xdr:cNvPr id="6" name="Straight Connector 5">
          <a:extLst>
            <a:ext uri="{FF2B5EF4-FFF2-40B4-BE49-F238E27FC236}">
              <a16:creationId xmlns:a16="http://schemas.microsoft.com/office/drawing/2014/main" id="{00000000-0008-0000-0D00-000006000000}"/>
            </a:ext>
          </a:extLst>
        </xdr:cNvPr>
        <xdr:cNvCxnSpPr/>
      </xdr:nvCxnSpPr>
      <xdr:spPr>
        <a:xfrm>
          <a:off x="11087100" y="1168400"/>
          <a:ext cx="0" cy="1587500"/>
        </a:xfrm>
        <a:prstGeom prst="line">
          <a:avLst/>
        </a:prstGeom>
        <a:ln>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25400</xdr:colOff>
      <xdr:row>8</xdr:row>
      <xdr:rowOff>88900</xdr:rowOff>
    </xdr:from>
    <xdr:to>
      <xdr:col>16</xdr:col>
      <xdr:colOff>50800</xdr:colOff>
      <xdr:row>8</xdr:row>
      <xdr:rowOff>101600</xdr:rowOff>
    </xdr:to>
    <xdr:cxnSp macro="">
      <xdr:nvCxnSpPr>
        <xdr:cNvPr id="7" name="Straight Connector 6">
          <a:extLst>
            <a:ext uri="{FF2B5EF4-FFF2-40B4-BE49-F238E27FC236}">
              <a16:creationId xmlns:a16="http://schemas.microsoft.com/office/drawing/2014/main" id="{00000000-0008-0000-0D00-000007000000}"/>
            </a:ext>
          </a:extLst>
        </xdr:cNvPr>
        <xdr:cNvCxnSpPr/>
      </xdr:nvCxnSpPr>
      <xdr:spPr>
        <a:xfrm flipV="1">
          <a:off x="10312400" y="1816100"/>
          <a:ext cx="3327400" cy="12700"/>
        </a:xfrm>
        <a:prstGeom prst="line">
          <a:avLst/>
        </a:prstGeom>
        <a:ln>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723900</xdr:colOff>
      <xdr:row>9</xdr:row>
      <xdr:rowOff>50800</xdr:rowOff>
    </xdr:from>
    <xdr:to>
      <xdr:col>12</xdr:col>
      <xdr:colOff>139700</xdr:colOff>
      <xdr:row>10</xdr:row>
      <xdr:rowOff>63500</xdr:rowOff>
    </xdr:to>
    <xdr:sp macro="" textlink="">
      <xdr:nvSpPr>
        <xdr:cNvPr id="8" name="4-Point Star 7">
          <a:extLst>
            <a:ext uri="{FF2B5EF4-FFF2-40B4-BE49-F238E27FC236}">
              <a16:creationId xmlns:a16="http://schemas.microsoft.com/office/drawing/2014/main" id="{00000000-0008-0000-0D00-000008000000}"/>
            </a:ext>
          </a:extLst>
        </xdr:cNvPr>
        <xdr:cNvSpPr/>
      </xdr:nvSpPr>
      <xdr:spPr>
        <a:xfrm>
          <a:off x="10185400" y="2044700"/>
          <a:ext cx="241300" cy="266700"/>
        </a:xfrm>
        <a:prstGeom prst="star4">
          <a:avLst/>
        </a:prstGeom>
        <a:solidFill>
          <a:srgbClr val="FF0000"/>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397932</xdr:colOff>
      <xdr:row>1</xdr:row>
      <xdr:rowOff>160867</xdr:rowOff>
    </xdr:from>
    <xdr:to>
      <xdr:col>22</xdr:col>
      <xdr:colOff>67733</xdr:colOff>
      <xdr:row>24</xdr:row>
      <xdr:rowOff>67733</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372534</xdr:colOff>
      <xdr:row>25</xdr:row>
      <xdr:rowOff>8464</xdr:rowOff>
    </xdr:from>
    <xdr:to>
      <xdr:col>22</xdr:col>
      <xdr:colOff>135467</xdr:colOff>
      <xdr:row>47</xdr:row>
      <xdr:rowOff>101598</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16933</xdr:colOff>
      <xdr:row>52</xdr:row>
      <xdr:rowOff>0</xdr:rowOff>
    </xdr:from>
    <xdr:to>
      <xdr:col>7</xdr:col>
      <xdr:colOff>156633</xdr:colOff>
      <xdr:row>52</xdr:row>
      <xdr:rowOff>63500</xdr:rowOff>
    </xdr:to>
    <xdr:sp macro="" textlink="">
      <xdr:nvSpPr>
        <xdr:cNvPr id="4" name="Freeform 5">
          <a:extLst>
            <a:ext uri="{FF2B5EF4-FFF2-40B4-BE49-F238E27FC236}">
              <a16:creationId xmlns:a16="http://schemas.microsoft.com/office/drawing/2014/main" id="{00000000-0008-0000-1200-000004000000}"/>
            </a:ext>
          </a:extLst>
        </xdr:cNvPr>
        <xdr:cNvSpPr>
          <a:spLocks/>
        </xdr:cNvSpPr>
      </xdr:nvSpPr>
      <xdr:spPr bwMode="auto">
        <a:xfrm>
          <a:off x="5795433" y="10058400"/>
          <a:ext cx="139700" cy="63500"/>
        </a:xfrm>
        <a:custGeom>
          <a:avLst/>
          <a:gdLst>
            <a:gd name="T0" fmla="*/ 0 w 11"/>
            <a:gd name="T1" fmla="*/ 5 h 5"/>
            <a:gd name="T2" fmla="*/ 6 w 11"/>
            <a:gd name="T3" fmla="*/ 0 h 5"/>
            <a:gd name="T4" fmla="*/ 11 w 11"/>
            <a:gd name="T5" fmla="*/ 5 h 5"/>
          </a:gdLst>
          <a:ahLst/>
          <a:cxnLst>
            <a:cxn ang="0">
              <a:pos x="T0" y="T1"/>
            </a:cxn>
            <a:cxn ang="0">
              <a:pos x="T2" y="T3"/>
            </a:cxn>
            <a:cxn ang="0">
              <a:pos x="T4" y="T5"/>
            </a:cxn>
          </a:cxnLst>
          <a:rect l="0" t="0" r="r" b="b"/>
          <a:pathLst>
            <a:path w="11" h="5">
              <a:moveTo>
                <a:pt x="0" y="5"/>
              </a:moveTo>
              <a:cubicBezTo>
                <a:pt x="2" y="2"/>
                <a:pt x="4" y="0"/>
                <a:pt x="6" y="0"/>
              </a:cubicBezTo>
              <a:cubicBezTo>
                <a:pt x="8" y="0"/>
                <a:pt x="9" y="2"/>
                <a:pt x="11" y="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lang="en-US"/>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444500</xdr:colOff>
      <xdr:row>2</xdr:row>
      <xdr:rowOff>42332</xdr:rowOff>
    </xdr:from>
    <xdr:to>
      <xdr:col>16</xdr:col>
      <xdr:colOff>342900</xdr:colOff>
      <xdr:row>27</xdr:row>
      <xdr:rowOff>165099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5956300" y="423332"/>
          <a:ext cx="7327900" cy="4885267"/>
        </a:xfrm>
        <a:prstGeom prst="rect">
          <a:avLst/>
        </a:prstGeom>
      </xdr:spPr>
    </xdr:pic>
    <xdr:clientData/>
  </xdr:twoCellAnchor>
  <xdr:twoCellAnchor editAs="oneCell">
    <xdr:from>
      <xdr:col>7</xdr:col>
      <xdr:colOff>393699</xdr:colOff>
      <xdr:row>29</xdr:row>
      <xdr:rowOff>76200</xdr:rowOff>
    </xdr:from>
    <xdr:to>
      <xdr:col>16</xdr:col>
      <xdr:colOff>618066</xdr:colOff>
      <xdr:row>46</xdr:row>
      <xdr:rowOff>76200</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stretch>
          <a:fillRect/>
        </a:stretch>
      </xdr:blipFill>
      <xdr:spPr>
        <a:xfrm>
          <a:off x="5905499" y="5613400"/>
          <a:ext cx="7653867" cy="3289300"/>
        </a:xfrm>
        <a:prstGeom prst="rect">
          <a:avLst/>
        </a:prstGeom>
      </xdr:spPr>
    </xdr:pic>
    <xdr:clientData/>
  </xdr:twoCellAnchor>
  <xdr:twoCellAnchor editAs="oneCell">
    <xdr:from>
      <xdr:col>16</xdr:col>
      <xdr:colOff>673100</xdr:colOff>
      <xdr:row>29</xdr:row>
      <xdr:rowOff>8466</xdr:rowOff>
    </xdr:from>
    <xdr:to>
      <xdr:col>22</xdr:col>
      <xdr:colOff>711200</xdr:colOff>
      <xdr:row>46</xdr:row>
      <xdr:rowOff>88693</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3"/>
        <a:stretch>
          <a:fillRect/>
        </a:stretch>
      </xdr:blipFill>
      <xdr:spPr>
        <a:xfrm>
          <a:off x="13614400" y="5545666"/>
          <a:ext cx="4991100" cy="336952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916940</xdr:colOff>
      <xdr:row>23</xdr:row>
      <xdr:rowOff>127000</xdr:rowOff>
    </xdr:from>
    <xdr:to>
      <xdr:col>3</xdr:col>
      <xdr:colOff>650240</xdr:colOff>
      <xdr:row>23</xdr:row>
      <xdr:rowOff>127000</xdr:rowOff>
    </xdr:to>
    <xdr:sp macro="" textlink="">
      <xdr:nvSpPr>
        <xdr:cNvPr id="2" name="Line 3">
          <a:extLst>
            <a:ext uri="{FF2B5EF4-FFF2-40B4-BE49-F238E27FC236}">
              <a16:creationId xmlns:a16="http://schemas.microsoft.com/office/drawing/2014/main" id="{00000000-0008-0000-1500-000002000000}"/>
            </a:ext>
          </a:extLst>
        </xdr:cNvPr>
        <xdr:cNvSpPr>
          <a:spLocks noChangeShapeType="1"/>
        </xdr:cNvSpPr>
      </xdr:nvSpPr>
      <xdr:spPr bwMode="auto">
        <a:xfrm>
          <a:off x="828040" y="3924300"/>
          <a:ext cx="2895600" cy="0"/>
        </a:xfrm>
        <a:prstGeom prst="line">
          <a:avLst/>
        </a:prstGeom>
        <a:noFill/>
        <a:ln w="25400">
          <a:solidFill>
            <a:srgbClr val="000000"/>
          </a:solidFill>
          <a:round/>
          <a:headEnd/>
          <a:tailEnd/>
        </a:ln>
      </xdr:spPr>
      <xdr:txBody>
        <a:bodyPr vertOverflow="clip" wrap="square" lIns="18288" tIns="0" rIns="0" bIns="0" rtlCol="0" anchor="ctr" upright="1"/>
        <a:lstStyle/>
        <a:p>
          <a:pPr algn="ctr"/>
          <a:endParaRPr lang="en-US"/>
        </a:p>
      </xdr:txBody>
    </xdr:sp>
    <xdr:clientData/>
  </xdr:twoCellAnchor>
  <xdr:twoCellAnchor>
    <xdr:from>
      <xdr:col>3</xdr:col>
      <xdr:colOff>58420</xdr:colOff>
      <xdr:row>21</xdr:row>
      <xdr:rowOff>88900</xdr:rowOff>
    </xdr:from>
    <xdr:to>
      <xdr:col>3</xdr:col>
      <xdr:colOff>58420</xdr:colOff>
      <xdr:row>25</xdr:row>
      <xdr:rowOff>63500</xdr:rowOff>
    </xdr:to>
    <xdr:sp macro="" textlink="">
      <xdr:nvSpPr>
        <xdr:cNvPr id="3" name="Line 4">
          <a:extLst>
            <a:ext uri="{FF2B5EF4-FFF2-40B4-BE49-F238E27FC236}">
              <a16:creationId xmlns:a16="http://schemas.microsoft.com/office/drawing/2014/main" id="{00000000-0008-0000-1500-000003000000}"/>
            </a:ext>
          </a:extLst>
        </xdr:cNvPr>
        <xdr:cNvSpPr>
          <a:spLocks noChangeShapeType="1"/>
        </xdr:cNvSpPr>
      </xdr:nvSpPr>
      <xdr:spPr bwMode="auto">
        <a:xfrm>
          <a:off x="3131820" y="3556000"/>
          <a:ext cx="0" cy="635000"/>
        </a:xfrm>
        <a:prstGeom prst="line">
          <a:avLst/>
        </a:prstGeom>
        <a:noFill/>
        <a:ln w="9525">
          <a:solidFill>
            <a:srgbClr val="DD0806"/>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538480</xdr:colOff>
      <xdr:row>21</xdr:row>
      <xdr:rowOff>114300</xdr:rowOff>
    </xdr:from>
    <xdr:to>
      <xdr:col>1</xdr:col>
      <xdr:colOff>538480</xdr:colOff>
      <xdr:row>25</xdr:row>
      <xdr:rowOff>88900</xdr:rowOff>
    </xdr:to>
    <xdr:sp macro="" textlink="">
      <xdr:nvSpPr>
        <xdr:cNvPr id="4" name="Line 5">
          <a:extLst>
            <a:ext uri="{FF2B5EF4-FFF2-40B4-BE49-F238E27FC236}">
              <a16:creationId xmlns:a16="http://schemas.microsoft.com/office/drawing/2014/main" id="{00000000-0008-0000-1500-000004000000}"/>
            </a:ext>
          </a:extLst>
        </xdr:cNvPr>
        <xdr:cNvSpPr>
          <a:spLocks noChangeShapeType="1"/>
        </xdr:cNvSpPr>
      </xdr:nvSpPr>
      <xdr:spPr bwMode="auto">
        <a:xfrm>
          <a:off x="1363980" y="3581400"/>
          <a:ext cx="0" cy="635000"/>
        </a:xfrm>
        <a:prstGeom prst="line">
          <a:avLst/>
        </a:prstGeom>
        <a:noFill/>
        <a:ln w="9525">
          <a:solidFill>
            <a:srgbClr val="DD0806"/>
          </a:solidFill>
          <a:round/>
          <a:headEnd/>
          <a:tailEnd/>
        </a:ln>
      </xdr:spPr>
      <xdr:txBody>
        <a:bodyPr vertOverflow="clip" wrap="square" lIns="18288" tIns="0" rIns="0" bIns="0" rtlCol="0" anchor="ctr" upright="1"/>
        <a:lstStyle/>
        <a:p>
          <a:pPr algn="ctr"/>
          <a:endParaRPr lang="en-US"/>
        </a:p>
      </xdr:txBody>
    </xdr:sp>
    <xdr:clientData/>
  </xdr:twoCellAnchor>
  <xdr:oneCellAnchor>
    <xdr:from>
      <xdr:col>0</xdr:col>
      <xdr:colOff>535940</xdr:colOff>
      <xdr:row>24</xdr:row>
      <xdr:rowOff>12700</xdr:rowOff>
    </xdr:from>
    <xdr:ext cx="881037" cy="175578"/>
    <xdr:sp macro="" textlink="">
      <xdr:nvSpPr>
        <xdr:cNvPr id="5" name="Text Box 6">
          <a:extLst>
            <a:ext uri="{FF2B5EF4-FFF2-40B4-BE49-F238E27FC236}">
              <a16:creationId xmlns:a16="http://schemas.microsoft.com/office/drawing/2014/main" id="{00000000-0008-0000-1500-000005000000}"/>
            </a:ext>
          </a:extLst>
        </xdr:cNvPr>
        <xdr:cNvSpPr txBox="1">
          <a:spLocks noChangeArrowheads="1"/>
        </xdr:cNvSpPr>
      </xdr:nvSpPr>
      <xdr:spPr bwMode="auto">
        <a:xfrm>
          <a:off x="535940" y="3975100"/>
          <a:ext cx="881037" cy="175578"/>
        </a:xfrm>
        <a:prstGeom prst="rect">
          <a:avLst/>
        </a:prstGeom>
        <a:noFill/>
        <a:ln w="9525">
          <a:noFill/>
          <a:miter lim="800000"/>
          <a:headEnd/>
          <a:tailEnd/>
        </a:ln>
      </xdr:spPr>
      <xdr:txBody>
        <a:bodyPr wrap="none" lIns="27432" tIns="22860" rIns="0" bIns="0" anchor="t" upright="1">
          <a:spAutoFit/>
        </a:bodyPr>
        <a:lstStyle/>
        <a:p>
          <a:pPr algn="l" rtl="0">
            <a:defRPr sz="1000"/>
          </a:pPr>
          <a:r>
            <a:rPr lang="en-US" sz="1000" b="0" i="0" strike="noStrike">
              <a:solidFill>
                <a:srgbClr val="000000"/>
              </a:solidFill>
              <a:latin typeface="Verdana"/>
              <a:ea typeface="Verdana"/>
              <a:cs typeface="Verdana"/>
            </a:rPr>
            <a:t>remaquinado</a:t>
          </a:r>
        </a:p>
      </xdr:txBody>
    </xdr:sp>
    <xdr:clientData/>
  </xdr:oneCellAnchor>
  <xdr:oneCellAnchor>
    <xdr:from>
      <xdr:col>3</xdr:col>
      <xdr:colOff>68580</xdr:colOff>
      <xdr:row>24</xdr:row>
      <xdr:rowOff>20320</xdr:rowOff>
    </xdr:from>
    <xdr:ext cx="812800" cy="188119"/>
    <xdr:sp macro="" textlink="">
      <xdr:nvSpPr>
        <xdr:cNvPr id="6" name="Text Box 7">
          <a:extLst>
            <a:ext uri="{FF2B5EF4-FFF2-40B4-BE49-F238E27FC236}">
              <a16:creationId xmlns:a16="http://schemas.microsoft.com/office/drawing/2014/main" id="{00000000-0008-0000-1500-000006000000}"/>
            </a:ext>
          </a:extLst>
        </xdr:cNvPr>
        <xdr:cNvSpPr txBox="1">
          <a:spLocks noChangeArrowheads="1"/>
        </xdr:cNvSpPr>
      </xdr:nvSpPr>
      <xdr:spPr bwMode="auto">
        <a:xfrm>
          <a:off x="3141980" y="3982720"/>
          <a:ext cx="812800" cy="188119"/>
        </a:xfrm>
        <a:prstGeom prst="rect">
          <a:avLst/>
        </a:prstGeom>
        <a:noFill/>
        <a:ln w="9525">
          <a:noFill/>
          <a:miter lim="800000"/>
          <a:headEnd/>
          <a:tailEnd/>
        </a:ln>
      </xdr:spPr>
      <xdr:txBody>
        <a:bodyPr wrap="none" lIns="27432" tIns="22860" rIns="0" bIns="0" anchor="t" upright="1">
          <a:spAutoFit/>
        </a:bodyPr>
        <a:lstStyle/>
        <a:p>
          <a:pPr algn="l" rtl="0">
            <a:defRPr sz="1000"/>
          </a:pPr>
          <a:r>
            <a:rPr lang="en-US" sz="1000" b="0" i="0" strike="noStrike">
              <a:solidFill>
                <a:srgbClr val="000000"/>
              </a:solidFill>
              <a:latin typeface="Verdana"/>
              <a:ea typeface="Verdana"/>
              <a:cs typeface="Verdana"/>
            </a:rPr>
            <a:t>defectuosas</a:t>
          </a:r>
        </a:p>
      </xdr:txBody>
    </xdr:sp>
    <xdr:clientData/>
  </xdr:oneCellAnchor>
  <xdr:oneCellAnchor>
    <xdr:from>
      <xdr:col>2</xdr:col>
      <xdr:colOff>266700</xdr:colOff>
      <xdr:row>20</xdr:row>
      <xdr:rowOff>12700</xdr:rowOff>
    </xdr:from>
    <xdr:ext cx="508000" cy="175578"/>
    <xdr:sp macro="" textlink="">
      <xdr:nvSpPr>
        <xdr:cNvPr id="7" name="Text Box 8">
          <a:extLst>
            <a:ext uri="{FF2B5EF4-FFF2-40B4-BE49-F238E27FC236}">
              <a16:creationId xmlns:a16="http://schemas.microsoft.com/office/drawing/2014/main" id="{00000000-0008-0000-1500-000007000000}"/>
            </a:ext>
          </a:extLst>
        </xdr:cNvPr>
        <xdr:cNvSpPr txBox="1">
          <a:spLocks noChangeArrowheads="1"/>
        </xdr:cNvSpPr>
      </xdr:nvSpPr>
      <xdr:spPr bwMode="auto">
        <a:xfrm>
          <a:off x="1917700" y="3314700"/>
          <a:ext cx="508000" cy="175578"/>
        </a:xfrm>
        <a:prstGeom prst="rect">
          <a:avLst/>
        </a:prstGeom>
        <a:noFill/>
        <a:ln w="9525">
          <a:noFill/>
          <a:miter lim="800000"/>
          <a:headEnd/>
          <a:tailEnd/>
        </a:ln>
      </xdr:spPr>
      <xdr:txBody>
        <a:bodyPr wrap="none" lIns="27432" tIns="22860" rIns="0" bIns="0" anchor="t" upright="1">
          <a:spAutoFit/>
        </a:bodyPr>
        <a:lstStyle/>
        <a:p>
          <a:pPr algn="l" rtl="0">
            <a:defRPr sz="1000"/>
          </a:pPr>
          <a:r>
            <a:rPr lang="en-US" sz="1000" b="0" i="0" strike="noStrike">
              <a:solidFill>
                <a:srgbClr val="000000"/>
              </a:solidFill>
              <a:latin typeface="Verdana"/>
              <a:ea typeface="Verdana"/>
              <a:cs typeface="Verdana"/>
            </a:rPr>
            <a:t>Buenas</a:t>
          </a:r>
        </a:p>
      </xdr:txBody>
    </xdr:sp>
    <xdr:clientData/>
  </xdr:oneCellAnchor>
  <mc:AlternateContent xmlns:mc="http://schemas.openxmlformats.org/markup-compatibility/2006">
    <mc:Choice xmlns:a14="http://schemas.microsoft.com/office/drawing/2010/main" Requires="a14">
      <xdr:twoCellAnchor>
        <xdr:from>
          <xdr:col>0</xdr:col>
          <xdr:colOff>812800</xdr:colOff>
          <xdr:row>15</xdr:row>
          <xdr:rowOff>88900</xdr:rowOff>
        </xdr:from>
        <xdr:to>
          <xdr:col>4</xdr:col>
          <xdr:colOff>0</xdr:colOff>
          <xdr:row>25</xdr:row>
          <xdr:rowOff>0</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1500-000001580000}"/>
                </a:ext>
              </a:extLst>
            </xdr:cNvPr>
            <xdr:cNvSpPr/>
          </xdr:nvSpPr>
          <xdr:spPr bwMode="auto">
            <a:xfrm>
              <a:off x="0" y="0"/>
              <a:ext cx="0" cy="0"/>
            </a:xfrm>
            <a:prstGeom prst="rect">
              <a:avLst/>
            </a:prstGeom>
            <a:noFill/>
            <a:effectLst/>
            <a:extLst>
              <a:ext uri="{909E8E84-426E-40DD-AFC4-6F175D3DCCD1}">
                <a14:hiddenFill>
                  <a:solidFill>
                    <a:srgbClr val="00E4A8"/>
                  </a:solidFill>
                </a14:hiddenFill>
              </a:ext>
              <a:ext uri="{AF507438-7753-43E0-B8FC-AC1667EBCBE1}">
                <a14:hiddenEffects>
                  <a:effectLst>
                    <a:outerShdw dist="35921" dir="2700000" algn="ctr" rotWithShape="0">
                      <a:srgbClr val="1C1C1C"/>
                    </a:outerShdw>
                  </a:effectLst>
                </a14:hiddenEffects>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0.09365</cdr:x>
      <cdr:y>0.24462</cdr:y>
    </cdr:from>
    <cdr:to>
      <cdr:x>0.97272</cdr:x>
      <cdr:y>0.24462</cdr:y>
    </cdr:to>
    <cdr:sp macro="" textlink="">
      <cdr:nvSpPr>
        <cdr:cNvPr id="2049" name="Line 1"/>
        <cdr:cNvSpPr>
          <a:spLocks xmlns:a="http://schemas.openxmlformats.org/drawingml/2006/main" noChangeShapeType="1"/>
        </cdr:cNvSpPr>
      </cdr:nvSpPr>
      <cdr:spPr bwMode="auto">
        <a:xfrm xmlns:a="http://schemas.openxmlformats.org/drawingml/2006/main">
          <a:off x="569712" y="761136"/>
          <a:ext cx="5347640" cy="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FF0000" mc:Ignorable="a14" a14:legacySpreadsheetColorIndex="10"/>
          </a:solidFill>
          <a:round/>
          <a:headEnd/>
          <a:tailEnd/>
        </a:ln>
        <a:extLst xmlns:a="http://schemas.openxmlformats.org/drawingml/2006/main">
          <a:ext uri="{909E8E84-426E-40dd-AFC4-6F175D3DCCD1}">
            <a14:hiddenFill xmlns="" xmlns:a14="http://schemas.microsoft.com/office/drawing/2010/main">
              <a:noFill/>
            </a14:hiddenFill>
          </a:ext>
        </a:extLst>
      </cdr:spPr>
    </cdr:sp>
  </cdr:relSizeAnchor>
</c:userShapes>
</file>

<file path=xl/drawings/drawing3.xml><?xml version="1.0" encoding="utf-8"?>
<xdr:wsDr xmlns:xdr="http://schemas.openxmlformats.org/drawingml/2006/spreadsheetDrawing" xmlns:a="http://schemas.openxmlformats.org/drawingml/2006/main">
  <xdr:twoCellAnchor>
    <xdr:from>
      <xdr:col>9</xdr:col>
      <xdr:colOff>101600</xdr:colOff>
      <xdr:row>3</xdr:row>
      <xdr:rowOff>101600</xdr:rowOff>
    </xdr:from>
    <xdr:to>
      <xdr:col>18</xdr:col>
      <xdr:colOff>76200</xdr:colOff>
      <xdr:row>25</xdr:row>
      <xdr:rowOff>101600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127000</xdr:colOff>
      <xdr:row>28</xdr:row>
      <xdr:rowOff>25400</xdr:rowOff>
    </xdr:from>
    <xdr:to>
      <xdr:col>18</xdr:col>
      <xdr:colOff>76200</xdr:colOff>
      <xdr:row>50</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342900</xdr:colOff>
      <xdr:row>1</xdr:row>
      <xdr:rowOff>12700</xdr:rowOff>
    </xdr:from>
    <xdr:to>
      <xdr:col>16</xdr:col>
      <xdr:colOff>749300</xdr:colOff>
      <xdr:row>29</xdr:row>
      <xdr:rowOff>12700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30</xdr:row>
      <xdr:rowOff>152400</xdr:rowOff>
    </xdr:from>
    <xdr:to>
      <xdr:col>17</xdr:col>
      <xdr:colOff>0</xdr:colOff>
      <xdr:row>60</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139700</xdr:colOff>
      <xdr:row>38</xdr:row>
      <xdr:rowOff>0</xdr:rowOff>
    </xdr:from>
    <xdr:to>
      <xdr:col>11</xdr:col>
      <xdr:colOff>419100</xdr:colOff>
      <xdr:row>39</xdr:row>
      <xdr:rowOff>114300</xdr:rowOff>
    </xdr:to>
    <xdr:sp macro="" textlink="">
      <xdr:nvSpPr>
        <xdr:cNvPr id="4" name="Oval 3">
          <a:extLst>
            <a:ext uri="{FF2B5EF4-FFF2-40B4-BE49-F238E27FC236}">
              <a16:creationId xmlns:a16="http://schemas.microsoft.com/office/drawing/2014/main" id="{00000000-0008-0000-0200-000004000000}"/>
            </a:ext>
          </a:extLst>
        </xdr:cNvPr>
        <xdr:cNvSpPr>
          <a:spLocks noChangeArrowheads="1"/>
        </xdr:cNvSpPr>
      </xdr:nvSpPr>
      <xdr:spPr bwMode="auto">
        <a:xfrm>
          <a:off x="8115300" y="6273800"/>
          <a:ext cx="279400" cy="279400"/>
        </a:xfrm>
        <a:prstGeom prst="ellipse">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571500</xdr:colOff>
      <xdr:row>39</xdr:row>
      <xdr:rowOff>25400</xdr:rowOff>
    </xdr:from>
    <xdr:to>
      <xdr:col>13</xdr:col>
      <xdr:colOff>63500</xdr:colOff>
      <xdr:row>41</xdr:row>
      <xdr:rowOff>12700</xdr:rowOff>
    </xdr:to>
    <xdr:sp macro="" textlink="">
      <xdr:nvSpPr>
        <xdr:cNvPr id="5" name="Oval 4">
          <a:extLst>
            <a:ext uri="{FF2B5EF4-FFF2-40B4-BE49-F238E27FC236}">
              <a16:creationId xmlns:a16="http://schemas.microsoft.com/office/drawing/2014/main" id="{00000000-0008-0000-0200-000005000000}"/>
            </a:ext>
          </a:extLst>
        </xdr:cNvPr>
        <xdr:cNvSpPr>
          <a:spLocks noChangeArrowheads="1"/>
        </xdr:cNvSpPr>
      </xdr:nvSpPr>
      <xdr:spPr bwMode="auto">
        <a:xfrm>
          <a:off x="9372600" y="6464300"/>
          <a:ext cx="317500" cy="317500"/>
        </a:xfrm>
        <a:prstGeom prst="ellipse">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16</xdr:col>
      <xdr:colOff>215900</xdr:colOff>
      <xdr:row>38</xdr:row>
      <xdr:rowOff>127000</xdr:rowOff>
    </xdr:from>
    <xdr:to>
      <xdr:col>17</xdr:col>
      <xdr:colOff>12700</xdr:colOff>
      <xdr:row>41</xdr:row>
      <xdr:rowOff>12700</xdr:rowOff>
    </xdr:to>
    <xdr:sp macro="" textlink="">
      <xdr:nvSpPr>
        <xdr:cNvPr id="6" name="Oval 5">
          <a:extLst>
            <a:ext uri="{FF2B5EF4-FFF2-40B4-BE49-F238E27FC236}">
              <a16:creationId xmlns:a16="http://schemas.microsoft.com/office/drawing/2014/main" id="{00000000-0008-0000-0200-000006000000}"/>
            </a:ext>
          </a:extLst>
        </xdr:cNvPr>
        <xdr:cNvSpPr>
          <a:spLocks noChangeArrowheads="1"/>
        </xdr:cNvSpPr>
      </xdr:nvSpPr>
      <xdr:spPr bwMode="auto">
        <a:xfrm>
          <a:off x="12319000" y="6400800"/>
          <a:ext cx="622300" cy="381000"/>
        </a:xfrm>
        <a:prstGeom prst="ellipse">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17</xdr:col>
      <xdr:colOff>190500</xdr:colOff>
      <xdr:row>31</xdr:row>
      <xdr:rowOff>25400</xdr:rowOff>
    </xdr:from>
    <xdr:to>
      <xdr:col>26</xdr:col>
      <xdr:colOff>342900</xdr:colOff>
      <xdr:row>60</xdr:row>
      <xdr:rowOff>0</xdr:rowOff>
    </xdr:to>
    <xdr:graphicFrame macro="">
      <xdr:nvGraphicFramePr>
        <xdr:cNvPr id="7" name="Chart 8">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762000</xdr:colOff>
      <xdr:row>37</xdr:row>
      <xdr:rowOff>76200</xdr:rowOff>
    </xdr:from>
    <xdr:to>
      <xdr:col>26</xdr:col>
      <xdr:colOff>228600</xdr:colOff>
      <xdr:row>39</xdr:row>
      <xdr:rowOff>25400</xdr:rowOff>
    </xdr:to>
    <xdr:sp macro="" textlink="">
      <xdr:nvSpPr>
        <xdr:cNvPr id="8" name="Oval 9">
          <a:extLst>
            <a:ext uri="{FF2B5EF4-FFF2-40B4-BE49-F238E27FC236}">
              <a16:creationId xmlns:a16="http://schemas.microsoft.com/office/drawing/2014/main" id="{00000000-0008-0000-0200-000008000000}"/>
            </a:ext>
          </a:extLst>
        </xdr:cNvPr>
        <xdr:cNvSpPr>
          <a:spLocks noChangeArrowheads="1"/>
        </xdr:cNvSpPr>
      </xdr:nvSpPr>
      <xdr:spPr bwMode="auto">
        <a:xfrm>
          <a:off x="18656300" y="6184900"/>
          <a:ext cx="279400" cy="279400"/>
        </a:xfrm>
        <a:prstGeom prst="ellipse">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26</xdr:col>
      <xdr:colOff>533400</xdr:colOff>
      <xdr:row>31</xdr:row>
      <xdr:rowOff>38100</xdr:rowOff>
    </xdr:from>
    <xdr:to>
      <xdr:col>35</xdr:col>
      <xdr:colOff>266700</xdr:colOff>
      <xdr:row>60</xdr:row>
      <xdr:rowOff>0</xdr:rowOff>
    </xdr:to>
    <xdr:graphicFrame macro="">
      <xdr:nvGraphicFramePr>
        <xdr:cNvPr id="9" name="Chart 10">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304800</xdr:colOff>
      <xdr:row>46</xdr:row>
      <xdr:rowOff>152400</xdr:rowOff>
    </xdr:from>
    <xdr:to>
      <xdr:col>11</xdr:col>
      <xdr:colOff>660400</xdr:colOff>
      <xdr:row>48</xdr:row>
      <xdr:rowOff>114300</xdr:rowOff>
    </xdr:to>
    <xdr:sp macro="" textlink="">
      <xdr:nvSpPr>
        <xdr:cNvPr id="14" name="Oval 19">
          <a:extLst>
            <a:ext uri="{FF2B5EF4-FFF2-40B4-BE49-F238E27FC236}">
              <a16:creationId xmlns:a16="http://schemas.microsoft.com/office/drawing/2014/main" id="{00000000-0008-0000-0200-00000E000000}"/>
            </a:ext>
          </a:extLst>
        </xdr:cNvPr>
        <xdr:cNvSpPr>
          <a:spLocks noChangeArrowheads="1"/>
        </xdr:cNvSpPr>
      </xdr:nvSpPr>
      <xdr:spPr bwMode="auto">
        <a:xfrm>
          <a:off x="8280400" y="7747000"/>
          <a:ext cx="355600" cy="292100"/>
        </a:xfrm>
        <a:prstGeom prst="ellipse">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203200</xdr:colOff>
      <xdr:row>9</xdr:row>
      <xdr:rowOff>50800</xdr:rowOff>
    </xdr:from>
    <xdr:to>
      <xdr:col>11</xdr:col>
      <xdr:colOff>482600</xdr:colOff>
      <xdr:row>11</xdr:row>
      <xdr:rowOff>0</xdr:rowOff>
    </xdr:to>
    <xdr:sp macro="" textlink="">
      <xdr:nvSpPr>
        <xdr:cNvPr id="13" name="Oval 12">
          <a:extLst>
            <a:ext uri="{FF2B5EF4-FFF2-40B4-BE49-F238E27FC236}">
              <a16:creationId xmlns:a16="http://schemas.microsoft.com/office/drawing/2014/main" id="{00000000-0008-0000-0200-00000D000000}"/>
            </a:ext>
          </a:extLst>
        </xdr:cNvPr>
        <xdr:cNvSpPr>
          <a:spLocks noChangeArrowheads="1"/>
        </xdr:cNvSpPr>
      </xdr:nvSpPr>
      <xdr:spPr bwMode="auto">
        <a:xfrm>
          <a:off x="8178800" y="1536700"/>
          <a:ext cx="279400" cy="279400"/>
        </a:xfrm>
        <a:prstGeom prst="ellipse">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0.22441</cdr:x>
      <cdr:y>0.53439</cdr:y>
    </cdr:from>
    <cdr:to>
      <cdr:x>0.26772</cdr:x>
      <cdr:y>0.59259</cdr:y>
    </cdr:to>
    <cdr:sp macro="" textlink="">
      <cdr:nvSpPr>
        <cdr:cNvPr id="2" name="Oval 1"/>
        <cdr:cNvSpPr>
          <a:spLocks xmlns:a="http://schemas.openxmlformats.org/drawingml/2006/main" noChangeArrowheads="1"/>
        </cdr:cNvSpPr>
      </cdr:nvSpPr>
      <cdr:spPr bwMode="auto">
        <a:xfrm xmlns:a="http://schemas.openxmlformats.org/drawingml/2006/main">
          <a:off x="1447800" y="2565400"/>
          <a:ext cx="279400" cy="279400"/>
        </a:xfrm>
        <a:prstGeom xmlns:a="http://schemas.openxmlformats.org/drawingml/2006/main" prst="ellipse">
          <a:avLst/>
        </a:prstGeom>
        <a:noFill xmlns:a="http://schemas.openxmlformats.org/drawingml/2006/main"/>
        <a:ln xmlns:a="http://schemas.openxmlformats.org/drawingml/2006/main" w="9525">
          <a:solidFill>
            <a:srgbClr val="000000"/>
          </a:solidFill>
          <a:round/>
          <a:headEnd/>
          <a:tailEnd/>
        </a:ln>
        <a:extLst xmlns:a="http://schemas.openxmlformats.org/drawingml/2006/main">
          <a:ext uri="{909E8E84-426E-40dd-AFC4-6F175D3DCCD1}">
            <a14:hiddenFill xmlns="" xmlns:a14="http://schemas.microsoft.com/office/drawing/2010/main">
              <a:solidFill>
                <a:srgbClr val="FFFFFF"/>
              </a:solid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635000</xdr:colOff>
      <xdr:row>61</xdr:row>
      <xdr:rowOff>38100</xdr:rowOff>
    </xdr:from>
    <xdr:to>
      <xdr:col>1</xdr:col>
      <xdr:colOff>812800</xdr:colOff>
      <xdr:row>62</xdr:row>
      <xdr:rowOff>12700</xdr:rowOff>
    </xdr:to>
    <xdr:sp macro="" textlink="">
      <xdr:nvSpPr>
        <xdr:cNvPr id="2" name="AutoShape 11">
          <a:extLst>
            <a:ext uri="{FF2B5EF4-FFF2-40B4-BE49-F238E27FC236}">
              <a16:creationId xmlns:a16="http://schemas.microsoft.com/office/drawing/2014/main" id="{00000000-0008-0000-0300-000002000000}"/>
            </a:ext>
          </a:extLst>
        </xdr:cNvPr>
        <xdr:cNvSpPr>
          <a:spLocks noChangeArrowheads="1"/>
        </xdr:cNvSpPr>
      </xdr:nvSpPr>
      <xdr:spPr bwMode="auto">
        <a:xfrm>
          <a:off x="1943100" y="10109200"/>
          <a:ext cx="177800" cy="139700"/>
        </a:xfrm>
        <a:prstGeom prst="star5">
          <a:avLst/>
        </a:prstGeom>
        <a:solidFill>
          <a:srgbClr val="DD0806"/>
        </a:solidFill>
        <a:ln w="9525">
          <a:solidFill>
            <a:srgbClr val="000000"/>
          </a:solidFill>
          <a:miter lim="800000"/>
          <a:headEnd/>
          <a:tailEnd/>
        </a:ln>
      </xdr:spPr>
      <xdr:txBody>
        <a:bodyPr vertOverflow="clip" wrap="square" lIns="18288" tIns="0" rIns="0" bIns="0" rtlCol="0" anchor="ctr" upright="1"/>
        <a:lstStyle/>
        <a:p>
          <a:endParaRPr lang="en-US"/>
        </a:p>
      </xdr:txBody>
    </xdr:sp>
    <xdr:clientData/>
  </xdr:twoCellAnchor>
  <xdr:oneCellAnchor>
    <xdr:from>
      <xdr:col>1</xdr:col>
      <xdr:colOff>812800</xdr:colOff>
      <xdr:row>60</xdr:row>
      <xdr:rowOff>114300</xdr:rowOff>
    </xdr:from>
    <xdr:ext cx="904042" cy="175578"/>
    <xdr:sp macro="" textlink="">
      <xdr:nvSpPr>
        <xdr:cNvPr id="3" name="Text Box 12">
          <a:extLst>
            <a:ext uri="{FF2B5EF4-FFF2-40B4-BE49-F238E27FC236}">
              <a16:creationId xmlns:a16="http://schemas.microsoft.com/office/drawing/2014/main" id="{00000000-0008-0000-0300-000003000000}"/>
            </a:ext>
          </a:extLst>
        </xdr:cNvPr>
        <xdr:cNvSpPr txBox="1">
          <a:spLocks noChangeArrowheads="1"/>
        </xdr:cNvSpPr>
      </xdr:nvSpPr>
      <xdr:spPr bwMode="auto">
        <a:xfrm>
          <a:off x="2120900" y="10020300"/>
          <a:ext cx="904042" cy="175578"/>
        </a:xfrm>
        <a:prstGeom prst="rect">
          <a:avLst/>
        </a:prstGeom>
        <a:noFill/>
        <a:ln w="9525">
          <a:noFill/>
          <a:miter lim="800000"/>
          <a:headEnd/>
          <a:tailEnd/>
        </a:ln>
      </xdr:spPr>
      <xdr:txBody>
        <a:bodyPr wrap="none" lIns="27432" tIns="22860" rIns="0" bIns="0" anchor="t" upright="1">
          <a:spAutoFit/>
        </a:bodyPr>
        <a:lstStyle/>
        <a:p>
          <a:pPr algn="l" rtl="0">
            <a:defRPr sz="1000"/>
          </a:pPr>
          <a:r>
            <a:rPr lang="en-US" sz="1000" b="0" i="0" u="none" strike="noStrike" baseline="0">
              <a:solidFill>
                <a:srgbClr val="000000"/>
              </a:solidFill>
              <a:latin typeface="Verdana"/>
              <a:ea typeface="Verdana"/>
              <a:cs typeface="Verdana"/>
            </a:rPr>
            <a:t>Aquí estamos</a:t>
          </a:r>
        </a:p>
      </xdr:txBody>
    </xdr:sp>
    <xdr:clientData/>
  </xdr:oneCellAnchor>
  <xdr:twoCellAnchor>
    <xdr:from>
      <xdr:col>9</xdr:col>
      <xdr:colOff>50800</xdr:colOff>
      <xdr:row>0</xdr:row>
      <xdr:rowOff>139700</xdr:rowOff>
    </xdr:from>
    <xdr:to>
      <xdr:col>16</xdr:col>
      <xdr:colOff>635000</xdr:colOff>
      <xdr:row>27</xdr:row>
      <xdr:rowOff>88900</xdr:rowOff>
    </xdr:to>
    <xdr:graphicFrame macro="">
      <xdr:nvGraphicFramePr>
        <xdr:cNvPr id="4" name="Chart 14">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190500</xdr:colOff>
      <xdr:row>28</xdr:row>
      <xdr:rowOff>114300</xdr:rowOff>
    </xdr:from>
    <xdr:to>
      <xdr:col>16</xdr:col>
      <xdr:colOff>774700</xdr:colOff>
      <xdr:row>55</xdr:row>
      <xdr:rowOff>38100</xdr:rowOff>
    </xdr:to>
    <xdr:graphicFrame macro="">
      <xdr:nvGraphicFramePr>
        <xdr:cNvPr id="5" name="Chart 15">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520700</xdr:colOff>
      <xdr:row>1</xdr:row>
      <xdr:rowOff>53340</xdr:rowOff>
    </xdr:from>
    <xdr:to>
      <xdr:col>16</xdr:col>
      <xdr:colOff>294640</xdr:colOff>
      <xdr:row>24</xdr:row>
      <xdr:rowOff>50800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508000</xdr:colOff>
      <xdr:row>25</xdr:row>
      <xdr:rowOff>38100</xdr:rowOff>
    </xdr:from>
    <xdr:to>
      <xdr:col>16</xdr:col>
      <xdr:colOff>294640</xdr:colOff>
      <xdr:row>48</xdr:row>
      <xdr:rowOff>20320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16</xdr:col>
      <xdr:colOff>914400</xdr:colOff>
      <xdr:row>0</xdr:row>
      <xdr:rowOff>0</xdr:rowOff>
    </xdr:from>
    <xdr:to>
      <xdr:col>24</xdr:col>
      <xdr:colOff>330200</xdr:colOff>
      <xdr:row>24</xdr:row>
      <xdr:rowOff>25400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50800</xdr:colOff>
      <xdr:row>25</xdr:row>
      <xdr:rowOff>63500</xdr:rowOff>
    </xdr:from>
    <xdr:to>
      <xdr:col>24</xdr:col>
      <xdr:colOff>431800</xdr:colOff>
      <xdr:row>47</xdr:row>
      <xdr:rowOff>190500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596900</xdr:colOff>
      <xdr:row>8</xdr:row>
      <xdr:rowOff>63500</xdr:rowOff>
    </xdr:from>
    <xdr:to>
      <xdr:col>19</xdr:col>
      <xdr:colOff>546100</xdr:colOff>
      <xdr:row>30</xdr:row>
      <xdr:rowOff>38100</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647700</xdr:colOff>
      <xdr:row>31</xdr:row>
      <xdr:rowOff>88900</xdr:rowOff>
    </xdr:from>
    <xdr:to>
      <xdr:col>19</xdr:col>
      <xdr:colOff>584200</xdr:colOff>
      <xdr:row>53</xdr:row>
      <xdr:rowOff>38100</xdr:rowOff>
    </xdr:to>
    <xdr:graphicFrame macro="">
      <xdr:nvGraphicFramePr>
        <xdr:cNvPr id="3" name="Chart 13">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rique/Documents/UCR/Profesor/Exa&#769;menes/Solucio&#769;n%20de%20Exa&#769;menes/Gerencia%20de%20Operaciones/Tercer%20Parcial%20b-II-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nrique/Documents/UCR/Profesor/Ex&#225;menes/Soluci&#243;n%20de%20Ex&#225;menes/Gerencia%20de%20Operaciones/3p-I-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nrique/Documents/UCR/Profesor/Ex&#225;menes/Soluci&#243;n%20de%20Ex&#225;menes/Gerencia%20de%20Operaciones/3p-II-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egunta"/>
      <sheetName val="Segunda pregunta"/>
      <sheetName val="Tercera pregunta"/>
      <sheetName val="Cuarta pregunta"/>
    </sheetNames>
    <sheetDataSet>
      <sheetData sheetId="0">
        <row r="5">
          <cell r="E5" t="str">
            <v>hour</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gunta 2"/>
      <sheetName val="Pregunta 3"/>
      <sheetName val="Pregunta 4"/>
      <sheetName val="Pregunta 5"/>
    </sheetNames>
    <sheetDataSet>
      <sheetData sheetId="0">
        <row r="6">
          <cell r="G6" t="str">
            <v>Media</v>
          </cell>
        </row>
        <row r="8">
          <cell r="I8">
            <v>0.1</v>
          </cell>
        </row>
        <row r="9">
          <cell r="I9">
            <v>0.3620685445722831</v>
          </cell>
        </row>
        <row r="10">
          <cell r="I10">
            <v>0.22192754905850398</v>
          </cell>
        </row>
        <row r="11">
          <cell r="I11">
            <v>0.36999114963225199</v>
          </cell>
        </row>
        <row r="12">
          <cell r="I12">
            <v>0.14270149845881527</v>
          </cell>
        </row>
        <row r="13">
          <cell r="I13">
            <v>0.30663472396008179</v>
          </cell>
        </row>
        <row r="14">
          <cell r="I14">
            <v>0.29586779381695</v>
          </cell>
        </row>
        <row r="15">
          <cell r="I15">
            <v>0.34098635822626422</v>
          </cell>
        </row>
        <row r="16">
          <cell r="I16">
            <v>0.24797814874721519</v>
          </cell>
        </row>
        <row r="17">
          <cell r="I17">
            <v>0.20266426587725456</v>
          </cell>
        </row>
        <row r="18">
          <cell r="I18">
            <v>0.24967497787408066</v>
          </cell>
        </row>
        <row r="19">
          <cell r="I19">
            <v>0.4302346873378704</v>
          </cell>
        </row>
        <row r="20">
          <cell r="I20">
            <v>0.16908169804986725</v>
          </cell>
        </row>
        <row r="21">
          <cell r="I21">
            <v>0.21911984618671224</v>
          </cell>
        </row>
        <row r="22">
          <cell r="I22">
            <v>0.35741752372814117</v>
          </cell>
        </row>
        <row r="23">
          <cell r="I23">
            <v>0.41586657307657093</v>
          </cell>
        </row>
        <row r="24">
          <cell r="I24">
            <v>0.49512924588763085</v>
          </cell>
        </row>
        <row r="25">
          <cell r="I25">
            <v>0.42023682363353376</v>
          </cell>
        </row>
        <row r="26">
          <cell r="I26">
            <v>0.2856990264595477</v>
          </cell>
        </row>
        <row r="27">
          <cell r="I27">
            <v>0.31559495834223461</v>
          </cell>
        </row>
        <row r="28">
          <cell r="I28">
            <v>0.35020294808801544</v>
          </cell>
        </row>
        <row r="29">
          <cell r="I29">
            <v>0.1999908444471572</v>
          </cell>
        </row>
        <row r="30">
          <cell r="I30">
            <v>0.38156376842555007</v>
          </cell>
        </row>
        <row r="31">
          <cell r="I31">
            <v>0.38651997436445207</v>
          </cell>
        </row>
        <row r="32">
          <cell r="I32">
            <v>0.49180883205664239</v>
          </cell>
        </row>
        <row r="33">
          <cell r="I33">
            <v>0.23160802026429028</v>
          </cell>
        </row>
        <row r="34">
          <cell r="I34">
            <v>0.27817926572466201</v>
          </cell>
        </row>
        <row r="35">
          <cell r="I35">
            <v>0.38335825678273872</v>
          </cell>
        </row>
        <row r="36">
          <cell r="I36">
            <v>0.3959562974944304</v>
          </cell>
        </row>
        <row r="37">
          <cell r="I37">
            <v>0.16910611285744803</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egunta"/>
      <sheetName val="Segunda pregunta"/>
      <sheetName val="Tercera pregunta"/>
      <sheetName val="Cuarta pregunta"/>
      <sheetName val="Quinta pregunta"/>
    </sheetNames>
    <sheetDataSet>
      <sheetData sheetId="0"/>
      <sheetData sheetId="1">
        <row r="3">
          <cell r="D3" t="str">
            <v>Fracción</v>
          </cell>
          <cell r="E3" t="str">
            <v>LCL</v>
          </cell>
          <cell r="F3" t="str">
            <v>CCL</v>
          </cell>
          <cell r="G3" t="str">
            <v>UCL</v>
          </cell>
        </row>
        <row r="4">
          <cell r="D4">
            <v>7.0588235294117646E-2</v>
          </cell>
          <cell r="E4">
            <v>3.842721039033839E-2</v>
          </cell>
          <cell r="F4">
            <v>0.11058823529411765</v>
          </cell>
          <cell r="G4">
            <v>0.18274926019789692</v>
          </cell>
        </row>
        <row r="5">
          <cell r="D5">
            <v>0.12941176470588237</v>
          </cell>
          <cell r="E5">
            <v>3.842721039033839E-2</v>
          </cell>
          <cell r="F5">
            <v>0.11058823529411765</v>
          </cell>
          <cell r="G5">
            <v>0.18274926019789692</v>
          </cell>
        </row>
        <row r="6">
          <cell r="D6">
            <v>5.8823529411764705E-2</v>
          </cell>
          <cell r="E6">
            <v>3.842721039033839E-2</v>
          </cell>
          <cell r="F6">
            <v>0.11058823529411765</v>
          </cell>
          <cell r="G6">
            <v>0.18274926019789692</v>
          </cell>
        </row>
        <row r="7">
          <cell r="D7">
            <v>0.11764705882352941</v>
          </cell>
          <cell r="E7">
            <v>3.842721039033839E-2</v>
          </cell>
          <cell r="F7">
            <v>0.11058823529411765</v>
          </cell>
          <cell r="G7">
            <v>0.18274926019789692</v>
          </cell>
        </row>
        <row r="8">
          <cell r="D8">
            <v>0.14117647058823529</v>
          </cell>
          <cell r="E8">
            <v>3.842721039033839E-2</v>
          </cell>
          <cell r="F8">
            <v>0.11058823529411765</v>
          </cell>
          <cell r="G8">
            <v>0.18274926019789692</v>
          </cell>
        </row>
        <row r="9">
          <cell r="D9">
            <v>5.8823529411764705E-2</v>
          </cell>
          <cell r="E9">
            <v>3.842721039033839E-2</v>
          </cell>
          <cell r="F9">
            <v>0.11058823529411765</v>
          </cell>
          <cell r="G9">
            <v>0.18274926019789692</v>
          </cell>
        </row>
        <row r="10">
          <cell r="D10">
            <v>8.8235294117647065E-2</v>
          </cell>
          <cell r="E10">
            <v>3.842721039033839E-2</v>
          </cell>
          <cell r="F10">
            <v>0.11058823529411765</v>
          </cell>
          <cell r="G10">
            <v>0.18274926019789692</v>
          </cell>
        </row>
        <row r="11">
          <cell r="D11">
            <v>0.12941176470588237</v>
          </cell>
          <cell r="E11">
            <v>3.842721039033839E-2</v>
          </cell>
          <cell r="F11">
            <v>0.11058823529411765</v>
          </cell>
          <cell r="G11">
            <v>0.18274926019789692</v>
          </cell>
        </row>
        <row r="12">
          <cell r="D12">
            <v>6.4705882352941183E-2</v>
          </cell>
          <cell r="E12">
            <v>3.842721039033839E-2</v>
          </cell>
          <cell r="F12">
            <v>0.11058823529411765</v>
          </cell>
          <cell r="G12">
            <v>0.18274926019789692</v>
          </cell>
        </row>
        <row r="13">
          <cell r="D13">
            <v>0.11764705882352941</v>
          </cell>
          <cell r="E13">
            <v>3.842721039033839E-2</v>
          </cell>
          <cell r="F13">
            <v>0.11058823529411765</v>
          </cell>
          <cell r="G13">
            <v>0.18274926019789692</v>
          </cell>
        </row>
        <row r="14">
          <cell r="D14">
            <v>0.19411764705882353</v>
          </cell>
          <cell r="E14">
            <v>3.842721039033839E-2</v>
          </cell>
          <cell r="F14">
            <v>0.11058823529411765</v>
          </cell>
          <cell r="G14">
            <v>0.18274926019789692</v>
          </cell>
        </row>
        <row r="15">
          <cell r="D15">
            <v>0.20588235294117646</v>
          </cell>
          <cell r="E15">
            <v>3.842721039033839E-2</v>
          </cell>
          <cell r="F15">
            <v>0.11058823529411765</v>
          </cell>
          <cell r="G15">
            <v>0.18274926019789692</v>
          </cell>
        </row>
        <row r="16">
          <cell r="D16">
            <v>0.1</v>
          </cell>
          <cell r="E16">
            <v>3.842721039033839E-2</v>
          </cell>
          <cell r="F16">
            <v>0.11058823529411765</v>
          </cell>
          <cell r="G16">
            <v>0.18274926019789692</v>
          </cell>
        </row>
        <row r="17">
          <cell r="D17">
            <v>7.0588235294117646E-2</v>
          </cell>
          <cell r="E17">
            <v>3.842721039033839E-2</v>
          </cell>
          <cell r="F17">
            <v>0.11058823529411765</v>
          </cell>
          <cell r="G17">
            <v>0.18274926019789692</v>
          </cell>
        </row>
        <row r="18">
          <cell r="D18">
            <v>0.14705882352941177</v>
          </cell>
          <cell r="E18">
            <v>3.842721039033839E-2</v>
          </cell>
          <cell r="F18">
            <v>0.11058823529411765</v>
          </cell>
          <cell r="G18">
            <v>0.18274926019789692</v>
          </cell>
        </row>
        <row r="19">
          <cell r="D19">
            <v>6.4705882352941183E-2</v>
          </cell>
          <cell r="E19">
            <v>3.842721039033839E-2</v>
          </cell>
          <cell r="F19">
            <v>0.11058823529411765</v>
          </cell>
          <cell r="G19">
            <v>0.18274926019789692</v>
          </cell>
        </row>
        <row r="20">
          <cell r="D20">
            <v>0.11764705882352941</v>
          </cell>
          <cell r="E20">
            <v>3.842721039033839E-2</v>
          </cell>
          <cell r="F20">
            <v>0.11058823529411765</v>
          </cell>
          <cell r="G20">
            <v>0.18274926019789692</v>
          </cell>
        </row>
        <row r="21">
          <cell r="D21">
            <v>0.1</v>
          </cell>
          <cell r="E21">
            <v>3.842721039033839E-2</v>
          </cell>
          <cell r="F21">
            <v>0.11058823529411765</v>
          </cell>
          <cell r="G21">
            <v>0.18274926019789692</v>
          </cell>
        </row>
        <row r="22">
          <cell r="D22">
            <v>0.12941176470588237</v>
          </cell>
          <cell r="E22">
            <v>3.842721039033839E-2</v>
          </cell>
          <cell r="F22">
            <v>0.11058823529411765</v>
          </cell>
          <cell r="G22">
            <v>0.18274926019789692</v>
          </cell>
        </row>
        <row r="23">
          <cell r="D23">
            <v>0.10588235294117647</v>
          </cell>
          <cell r="E23">
            <v>3.842721039033839E-2</v>
          </cell>
          <cell r="F23">
            <v>0.11058823529411765</v>
          </cell>
          <cell r="G23">
            <v>0.18274926019789692</v>
          </cell>
        </row>
        <row r="26">
          <cell r="D26" t="str">
            <v>Fracción</v>
          </cell>
          <cell r="E26" t="str">
            <v>LCL</v>
          </cell>
          <cell r="F26" t="str">
            <v>CCL</v>
          </cell>
          <cell r="G26" t="str">
            <v>UCL</v>
          </cell>
        </row>
        <row r="27">
          <cell r="D27">
            <v>7.0588235294117646E-2</v>
          </cell>
          <cell r="E27">
            <v>3.1426685786970651E-2</v>
          </cell>
          <cell r="F27">
            <v>0.10065359477124183</v>
          </cell>
          <cell r="G27">
            <v>0.169880503755513</v>
          </cell>
        </row>
        <row r="28">
          <cell r="D28">
            <v>0.12941176470588237</v>
          </cell>
          <cell r="E28">
            <v>3.1426685786970651E-2</v>
          </cell>
          <cell r="F28">
            <v>0.10065359477124183</v>
          </cell>
          <cell r="G28">
            <v>0.169880503755513</v>
          </cell>
        </row>
        <row r="29">
          <cell r="D29">
            <v>5.8823529411764705E-2</v>
          </cell>
          <cell r="E29">
            <v>3.1426685786970651E-2</v>
          </cell>
          <cell r="F29">
            <v>0.10065359477124183</v>
          </cell>
          <cell r="G29">
            <v>0.169880503755513</v>
          </cell>
        </row>
        <row r="30">
          <cell r="D30">
            <v>0.11764705882352941</v>
          </cell>
          <cell r="E30">
            <v>3.1426685786970651E-2</v>
          </cell>
          <cell r="F30">
            <v>0.10065359477124183</v>
          </cell>
          <cell r="G30">
            <v>0.169880503755513</v>
          </cell>
        </row>
        <row r="31">
          <cell r="D31">
            <v>0.14117647058823529</v>
          </cell>
          <cell r="E31">
            <v>3.1426685786970651E-2</v>
          </cell>
          <cell r="F31">
            <v>0.10065359477124183</v>
          </cell>
          <cell r="G31">
            <v>0.169880503755513</v>
          </cell>
        </row>
        <row r="32">
          <cell r="D32">
            <v>5.8823529411764705E-2</v>
          </cell>
          <cell r="E32">
            <v>3.1426685786970651E-2</v>
          </cell>
          <cell r="F32">
            <v>0.10065359477124183</v>
          </cell>
          <cell r="G32">
            <v>0.169880503755513</v>
          </cell>
        </row>
        <row r="33">
          <cell r="D33">
            <v>8.8235294117647065E-2</v>
          </cell>
          <cell r="E33">
            <v>3.1426685786970651E-2</v>
          </cell>
          <cell r="F33">
            <v>0.10065359477124183</v>
          </cell>
          <cell r="G33">
            <v>0.169880503755513</v>
          </cell>
        </row>
        <row r="34">
          <cell r="D34">
            <v>0.12941176470588237</v>
          </cell>
          <cell r="E34">
            <v>3.1426685786970651E-2</v>
          </cell>
          <cell r="F34">
            <v>0.10065359477124183</v>
          </cell>
          <cell r="G34">
            <v>0.169880503755513</v>
          </cell>
        </row>
        <row r="35">
          <cell r="D35">
            <v>6.4705882352941183E-2</v>
          </cell>
          <cell r="E35">
            <v>3.1426685786970651E-2</v>
          </cell>
          <cell r="F35">
            <v>0.10065359477124183</v>
          </cell>
          <cell r="G35">
            <v>0.169880503755513</v>
          </cell>
        </row>
        <row r="36">
          <cell r="D36">
            <v>0.11764705882352941</v>
          </cell>
          <cell r="E36">
            <v>3.1426685786970651E-2</v>
          </cell>
          <cell r="F36">
            <v>0.10065359477124183</v>
          </cell>
          <cell r="G36">
            <v>0.169880503755513</v>
          </cell>
        </row>
        <row r="37">
          <cell r="D37">
            <v>0.1</v>
          </cell>
          <cell r="E37">
            <v>3.1426685786970651E-2</v>
          </cell>
          <cell r="F37">
            <v>0.10065359477124183</v>
          </cell>
          <cell r="G37">
            <v>0.169880503755513</v>
          </cell>
        </row>
        <row r="38">
          <cell r="D38">
            <v>7.0588235294117646E-2</v>
          </cell>
          <cell r="E38">
            <v>3.1426685786970651E-2</v>
          </cell>
          <cell r="F38">
            <v>0.10065359477124183</v>
          </cell>
          <cell r="G38">
            <v>0.169880503755513</v>
          </cell>
        </row>
        <row r="39">
          <cell r="D39">
            <v>0.14705882352941177</v>
          </cell>
          <cell r="E39">
            <v>3.1426685786970651E-2</v>
          </cell>
          <cell r="F39">
            <v>0.10065359477124183</v>
          </cell>
          <cell r="G39">
            <v>0.169880503755513</v>
          </cell>
        </row>
        <row r="40">
          <cell r="D40">
            <v>6.4705882352941183E-2</v>
          </cell>
          <cell r="E40">
            <v>3.1426685786970651E-2</v>
          </cell>
          <cell r="F40">
            <v>0.10065359477124183</v>
          </cell>
          <cell r="G40">
            <v>0.169880503755513</v>
          </cell>
        </row>
        <row r="41">
          <cell r="D41">
            <v>0.11764705882352941</v>
          </cell>
          <cell r="E41">
            <v>3.1426685786970651E-2</v>
          </cell>
          <cell r="F41">
            <v>0.10065359477124183</v>
          </cell>
          <cell r="G41">
            <v>0.169880503755513</v>
          </cell>
        </row>
        <row r="42">
          <cell r="D42">
            <v>0.1</v>
          </cell>
          <cell r="E42">
            <v>3.1426685786970651E-2</v>
          </cell>
          <cell r="F42">
            <v>0.10065359477124183</v>
          </cell>
          <cell r="G42">
            <v>0.169880503755513</v>
          </cell>
        </row>
        <row r="43">
          <cell r="D43">
            <v>0.12941176470588237</v>
          </cell>
          <cell r="E43">
            <v>3.1426685786970651E-2</v>
          </cell>
          <cell r="F43">
            <v>0.10065359477124183</v>
          </cell>
          <cell r="G43">
            <v>0.169880503755513</v>
          </cell>
        </row>
        <row r="44">
          <cell r="D44">
            <v>0.10588235294117647</v>
          </cell>
          <cell r="E44">
            <v>3.1426685786970651E-2</v>
          </cell>
          <cell r="F44">
            <v>0.10065359477124183</v>
          </cell>
          <cell r="G44">
            <v>0.169880503755513</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9.xml"/><Relationship Id="rId4" Type="http://schemas.openxmlformats.org/officeDocument/2006/relationships/image" Target="../media/image11.emf"/></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1"/>
  <sheetViews>
    <sheetView tabSelected="1" workbookViewId="0">
      <selection activeCell="O31" sqref="O31"/>
    </sheetView>
  </sheetViews>
  <sheetFormatPr baseColWidth="10" defaultColWidth="8.83203125" defaultRowHeight="13"/>
  <cols>
    <col min="1" max="1" width="10.5" style="2" customWidth="1"/>
    <col min="2" max="2" width="11" style="2" customWidth="1"/>
    <col min="3" max="3" width="10.6640625" style="2" customWidth="1"/>
    <col min="4" max="16384" width="8.83203125" style="2"/>
  </cols>
  <sheetData>
    <row r="1" spans="1:2">
      <c r="A1" s="2" t="s">
        <v>17</v>
      </c>
    </row>
    <row r="2" spans="1:2">
      <c r="A2" s="1" t="s">
        <v>0</v>
      </c>
      <c r="B2" s="1" t="s">
        <v>1</v>
      </c>
    </row>
    <row r="3" spans="1:2">
      <c r="A3" s="1">
        <v>1</v>
      </c>
      <c r="B3" s="1">
        <v>295</v>
      </c>
    </row>
    <row r="4" spans="1:2">
      <c r="A4" s="1">
        <v>2</v>
      </c>
      <c r="B4" s="1">
        <v>306</v>
      </c>
    </row>
    <row r="5" spans="1:2">
      <c r="A5" s="1">
        <v>3</v>
      </c>
      <c r="B5" s="1">
        <v>292</v>
      </c>
    </row>
    <row r="6" spans="1:2">
      <c r="A6" s="1">
        <v>4</v>
      </c>
      <c r="B6" s="1">
        <v>297</v>
      </c>
    </row>
    <row r="7" spans="1:2">
      <c r="A7" s="1">
        <v>5</v>
      </c>
      <c r="B7" s="1">
        <v>294</v>
      </c>
    </row>
    <row r="8" spans="1:2">
      <c r="A8" s="1">
        <v>6</v>
      </c>
      <c r="B8" s="1">
        <v>343</v>
      </c>
    </row>
    <row r="9" spans="1:2">
      <c r="A9" s="1">
        <v>7</v>
      </c>
      <c r="B9" s="1">
        <v>285</v>
      </c>
    </row>
    <row r="10" spans="1:2">
      <c r="A10" s="1">
        <v>8</v>
      </c>
      <c r="B10" s="1">
        <v>240</v>
      </c>
    </row>
    <row r="11" spans="1:2">
      <c r="A11" s="1">
        <v>9</v>
      </c>
      <c r="B11" s="1">
        <v>329</v>
      </c>
    </row>
    <row r="12" spans="1:2">
      <c r="A12" s="1">
        <v>10</v>
      </c>
      <c r="B12" s="1">
        <v>305</v>
      </c>
    </row>
    <row r="13" spans="1:2">
      <c r="A13" s="1">
        <v>11</v>
      </c>
      <c r="B13" s="1">
        <v>277</v>
      </c>
    </row>
    <row r="14" spans="1:2">
      <c r="A14" s="1">
        <v>12</v>
      </c>
      <c r="B14" s="1">
        <v>260</v>
      </c>
    </row>
    <row r="15" spans="1:2">
      <c r="A15" s="1">
        <v>13</v>
      </c>
      <c r="B15" s="1">
        <v>337</v>
      </c>
    </row>
    <row r="16" spans="1:2">
      <c r="A16" s="1">
        <v>14</v>
      </c>
      <c r="B16" s="1">
        <v>320</v>
      </c>
    </row>
    <row r="17" spans="1:3">
      <c r="A17" s="1"/>
      <c r="B17" s="1">
        <f>SUM(B3:B16)</f>
        <v>4180</v>
      </c>
    </row>
    <row r="18" spans="1:3">
      <c r="A18" s="1" t="s">
        <v>2</v>
      </c>
      <c r="B18" s="3">
        <f>+B17/A16</f>
        <v>298.57142857142856</v>
      </c>
    </row>
    <row r="19" spans="1:3">
      <c r="A19" s="1" t="s">
        <v>3</v>
      </c>
      <c r="B19" s="1">
        <v>350.41</v>
      </c>
    </row>
    <row r="20" spans="1:3">
      <c r="A20" s="1" t="s">
        <v>4</v>
      </c>
      <c r="B20" s="1">
        <v>246.73</v>
      </c>
    </row>
    <row r="24" spans="1:3">
      <c r="A24" s="2" t="s">
        <v>18</v>
      </c>
    </row>
    <row r="25" spans="1:3">
      <c r="A25" s="2" t="s">
        <v>5</v>
      </c>
    </row>
    <row r="26" spans="1:3">
      <c r="A26" s="2" t="s">
        <v>6</v>
      </c>
    </row>
    <row r="27" spans="1:3">
      <c r="A27" s="2" t="s">
        <v>7</v>
      </c>
    </row>
    <row r="28" spans="1:3">
      <c r="A28" s="2" t="s">
        <v>19</v>
      </c>
    </row>
    <row r="30" spans="1:3">
      <c r="A30" s="1" t="s">
        <v>0</v>
      </c>
      <c r="B30" s="1" t="s">
        <v>1</v>
      </c>
      <c r="C30" s="2" t="s">
        <v>8</v>
      </c>
    </row>
    <row r="31" spans="1:3">
      <c r="A31" s="1">
        <v>1</v>
      </c>
      <c r="B31" s="1">
        <v>295</v>
      </c>
    </row>
    <row r="32" spans="1:3">
      <c r="A32" s="1">
        <v>2</v>
      </c>
      <c r="B32" s="1">
        <v>306</v>
      </c>
      <c r="C32" s="1">
        <f>+B32-B31</f>
        <v>11</v>
      </c>
    </row>
    <row r="33" spans="1:3">
      <c r="A33" s="1">
        <v>3</v>
      </c>
      <c r="B33" s="1">
        <v>292</v>
      </c>
      <c r="C33" s="1">
        <v>14</v>
      </c>
    </row>
    <row r="34" spans="1:3">
      <c r="A34" s="1">
        <v>4</v>
      </c>
      <c r="B34" s="1">
        <v>297</v>
      </c>
      <c r="C34" s="1">
        <f>+B34-B33</f>
        <v>5</v>
      </c>
    </row>
    <row r="35" spans="1:3">
      <c r="A35" s="1">
        <v>5</v>
      </c>
      <c r="B35" s="1">
        <v>294</v>
      </c>
      <c r="C35" s="1">
        <v>3</v>
      </c>
    </row>
    <row r="36" spans="1:3">
      <c r="A36" s="1">
        <v>6</v>
      </c>
      <c r="B36" s="1">
        <v>343</v>
      </c>
      <c r="C36" s="1">
        <f>+B36-B35</f>
        <v>49</v>
      </c>
    </row>
    <row r="37" spans="1:3">
      <c r="A37" s="1">
        <v>7</v>
      </c>
      <c r="B37" s="1">
        <v>285</v>
      </c>
      <c r="C37" s="1">
        <v>58</v>
      </c>
    </row>
    <row r="38" spans="1:3">
      <c r="A38" s="1">
        <v>8</v>
      </c>
      <c r="B38" s="1">
        <v>240</v>
      </c>
      <c r="C38" s="1">
        <v>45</v>
      </c>
    </row>
    <row r="39" spans="1:3">
      <c r="A39" s="1">
        <v>9</v>
      </c>
      <c r="B39" s="1">
        <v>329</v>
      </c>
      <c r="C39" s="1">
        <f>+B39-B38</f>
        <v>89</v>
      </c>
    </row>
    <row r="40" spans="1:3">
      <c r="A40" s="1">
        <v>10</v>
      </c>
      <c r="B40" s="1">
        <v>305</v>
      </c>
      <c r="C40" s="1">
        <v>24</v>
      </c>
    </row>
    <row r="41" spans="1:3">
      <c r="A41" s="1">
        <v>11</v>
      </c>
      <c r="B41" s="1">
        <v>277</v>
      </c>
      <c r="C41" s="1">
        <v>28</v>
      </c>
    </row>
    <row r="42" spans="1:3">
      <c r="A42" s="1">
        <v>12</v>
      </c>
      <c r="B42" s="1">
        <v>260</v>
      </c>
      <c r="C42" s="1">
        <v>17</v>
      </c>
    </row>
    <row r="43" spans="1:3">
      <c r="A43" s="1">
        <v>13</v>
      </c>
      <c r="B43" s="1">
        <v>337</v>
      </c>
      <c r="C43" s="1">
        <f>+B43-B42</f>
        <v>77</v>
      </c>
    </row>
    <row r="44" spans="1:3">
      <c r="A44" s="1">
        <v>14</v>
      </c>
      <c r="B44" s="1">
        <v>320</v>
      </c>
      <c r="C44" s="1">
        <v>17</v>
      </c>
    </row>
    <row r="45" spans="1:3">
      <c r="B45" s="1" t="s">
        <v>9</v>
      </c>
      <c r="C45" s="3">
        <f>AVERAGE(C32:C44)</f>
        <v>33.615384615384613</v>
      </c>
    </row>
    <row r="46" spans="1:3">
      <c r="A46" s="1" t="s">
        <v>10</v>
      </c>
      <c r="B46" s="3">
        <f>AVERAGE(B31:B44)</f>
        <v>298.57142857142856</v>
      </c>
      <c r="C46" s="3">
        <f>+C47*B49</f>
        <v>109.82146153846153</v>
      </c>
    </row>
    <row r="47" spans="1:3">
      <c r="A47" s="1" t="s">
        <v>3</v>
      </c>
      <c r="B47" s="3">
        <f>+$B$46+(3*($C$45/1.13))</f>
        <v>387.81581250607798</v>
      </c>
      <c r="C47" s="3">
        <f>+C45</f>
        <v>33.615384615384613</v>
      </c>
    </row>
    <row r="48" spans="1:3">
      <c r="A48" s="1" t="s">
        <v>4</v>
      </c>
      <c r="B48" s="3">
        <f>+$B$46-(3*($C$45/1.13))</f>
        <v>209.32704463677914</v>
      </c>
      <c r="C48" s="1">
        <f>+C47*B50</f>
        <v>0</v>
      </c>
    </row>
    <row r="49" spans="1:2" ht="16">
      <c r="A49" s="1" t="s">
        <v>11</v>
      </c>
      <c r="B49" s="1">
        <v>3.2669999999999999</v>
      </c>
    </row>
    <row r="50" spans="1:2" ht="16">
      <c r="A50" s="1" t="s">
        <v>12</v>
      </c>
      <c r="B50" s="1">
        <v>0</v>
      </c>
    </row>
    <row r="57" spans="1:2">
      <c r="A57" s="2" t="s">
        <v>20</v>
      </c>
    </row>
    <row r="58" spans="1:2">
      <c r="A58" s="2" t="s">
        <v>13</v>
      </c>
    </row>
    <row r="59" spans="1:2">
      <c r="A59" s="2" t="s">
        <v>14</v>
      </c>
    </row>
    <row r="60" spans="1:2">
      <c r="A60" s="2" t="s">
        <v>15</v>
      </c>
    </row>
    <row r="61" spans="1:2">
      <c r="A61" s="2" t="s">
        <v>16</v>
      </c>
    </row>
  </sheetData>
  <pageMargins left="0.45" right="0.75" top="1" bottom="1" header="0.5" footer="0.5"/>
  <pageSetup orientation="landscape" horizontalDpi="4294967293" verticalDpi="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33"/>
  <sheetViews>
    <sheetView topLeftCell="B1" workbookViewId="0">
      <selection activeCell="U26" sqref="U26"/>
    </sheetView>
  </sheetViews>
  <sheetFormatPr baseColWidth="10" defaultRowHeight="16"/>
  <cols>
    <col min="2" max="2" width="9.5" bestFit="1" customWidth="1"/>
    <col min="3" max="3" width="9.6640625" bestFit="1" customWidth="1"/>
    <col min="4" max="4" width="4" customWidth="1"/>
    <col min="5" max="5" width="4.1640625" bestFit="1" customWidth="1"/>
    <col min="6" max="6" width="3.6640625" bestFit="1" customWidth="1"/>
    <col min="7" max="7" width="5.1640625" bestFit="1" customWidth="1"/>
    <col min="8" max="8" width="4.1640625" bestFit="1" customWidth="1"/>
    <col min="9" max="9" width="5.1640625" bestFit="1" customWidth="1"/>
    <col min="10" max="10" width="3.6640625" bestFit="1" customWidth="1"/>
  </cols>
  <sheetData>
    <row r="1" spans="2:10">
      <c r="D1" s="166" t="s">
        <v>90</v>
      </c>
      <c r="E1" s="167"/>
      <c r="F1" s="168"/>
      <c r="H1" s="166" t="s">
        <v>88</v>
      </c>
      <c r="I1" s="167"/>
      <c r="J1" s="168"/>
    </row>
    <row r="2" spans="2:10">
      <c r="B2" t="s">
        <v>122</v>
      </c>
      <c r="C2" t="s">
        <v>123</v>
      </c>
      <c r="D2" t="s">
        <v>43</v>
      </c>
      <c r="E2" t="s">
        <v>10</v>
      </c>
      <c r="F2" t="s">
        <v>44</v>
      </c>
      <c r="G2" t="s">
        <v>89</v>
      </c>
      <c r="H2" t="s">
        <v>43</v>
      </c>
      <c r="I2" t="s">
        <v>10</v>
      </c>
      <c r="J2" t="s">
        <v>44</v>
      </c>
    </row>
    <row r="3" spans="2:10">
      <c r="B3">
        <v>1</v>
      </c>
      <c r="C3">
        <v>3</v>
      </c>
      <c r="D3">
        <v>10</v>
      </c>
      <c r="E3">
        <v>4</v>
      </c>
      <c r="F3">
        <v>0</v>
      </c>
      <c r="G3">
        <f>C3/50</f>
        <v>0.06</v>
      </c>
      <c r="H3" s="49">
        <f>0.08+3*SQRT(0.08/50)</f>
        <v>0.2</v>
      </c>
      <c r="I3">
        <v>0.08</v>
      </c>
      <c r="J3">
        <v>0</v>
      </c>
    </row>
    <row r="4" spans="2:10">
      <c r="B4">
        <v>2</v>
      </c>
      <c r="C4">
        <v>3</v>
      </c>
      <c r="D4">
        <v>10</v>
      </c>
      <c r="E4">
        <v>4</v>
      </c>
      <c r="F4">
        <v>0</v>
      </c>
      <c r="G4">
        <f t="shared" ref="G4:G22" si="0">C4/50</f>
        <v>0.06</v>
      </c>
      <c r="H4">
        <f t="shared" ref="H4:H22" si="1">0.08+3*SQRT(0.08/50)</f>
        <v>0.2</v>
      </c>
      <c r="I4">
        <v>0.08</v>
      </c>
      <c r="J4">
        <v>0</v>
      </c>
    </row>
    <row r="5" spans="2:10">
      <c r="B5">
        <v>3</v>
      </c>
      <c r="C5">
        <v>6</v>
      </c>
      <c r="D5">
        <v>10</v>
      </c>
      <c r="E5">
        <v>4</v>
      </c>
      <c r="F5">
        <v>0</v>
      </c>
      <c r="G5">
        <f t="shared" si="0"/>
        <v>0.12</v>
      </c>
      <c r="H5">
        <f t="shared" si="1"/>
        <v>0.2</v>
      </c>
      <c r="I5">
        <v>0.08</v>
      </c>
      <c r="J5">
        <v>0</v>
      </c>
    </row>
    <row r="6" spans="2:10">
      <c r="B6">
        <v>4</v>
      </c>
      <c r="C6">
        <v>3</v>
      </c>
      <c r="D6">
        <v>10</v>
      </c>
      <c r="E6">
        <v>4</v>
      </c>
      <c r="F6">
        <v>0</v>
      </c>
      <c r="G6">
        <f t="shared" si="0"/>
        <v>0.06</v>
      </c>
      <c r="H6">
        <f t="shared" si="1"/>
        <v>0.2</v>
      </c>
      <c r="I6">
        <v>0.08</v>
      </c>
      <c r="J6">
        <v>0</v>
      </c>
    </row>
    <row r="7" spans="2:10">
      <c r="B7">
        <v>5</v>
      </c>
      <c r="C7">
        <v>1</v>
      </c>
      <c r="D7">
        <v>10</v>
      </c>
      <c r="E7">
        <v>4</v>
      </c>
      <c r="F7">
        <v>0</v>
      </c>
      <c r="G7">
        <f t="shared" si="0"/>
        <v>0.02</v>
      </c>
      <c r="H7">
        <f t="shared" si="1"/>
        <v>0.2</v>
      </c>
      <c r="I7">
        <v>0.08</v>
      </c>
      <c r="J7">
        <v>0</v>
      </c>
    </row>
    <row r="8" spans="2:10">
      <c r="B8">
        <v>6</v>
      </c>
      <c r="C8">
        <v>1</v>
      </c>
      <c r="D8">
        <v>10</v>
      </c>
      <c r="E8">
        <v>4</v>
      </c>
      <c r="F8">
        <v>0</v>
      </c>
      <c r="G8">
        <f t="shared" si="0"/>
        <v>0.02</v>
      </c>
      <c r="H8">
        <f t="shared" si="1"/>
        <v>0.2</v>
      </c>
      <c r="I8">
        <v>0.08</v>
      </c>
      <c r="J8">
        <v>0</v>
      </c>
    </row>
    <row r="9" spans="2:10">
      <c r="B9">
        <v>7</v>
      </c>
      <c r="C9">
        <v>3</v>
      </c>
      <c r="D9">
        <v>10</v>
      </c>
      <c r="E9">
        <v>4</v>
      </c>
      <c r="F9">
        <v>0</v>
      </c>
      <c r="G9">
        <f t="shared" si="0"/>
        <v>0.06</v>
      </c>
      <c r="H9">
        <f t="shared" si="1"/>
        <v>0.2</v>
      </c>
      <c r="I9">
        <v>0.08</v>
      </c>
      <c r="J9">
        <v>0</v>
      </c>
    </row>
    <row r="10" spans="2:10">
      <c r="B10">
        <v>8</v>
      </c>
      <c r="C10">
        <v>5</v>
      </c>
      <c r="D10">
        <v>10</v>
      </c>
      <c r="E10">
        <v>4</v>
      </c>
      <c r="F10">
        <v>0</v>
      </c>
      <c r="G10">
        <f t="shared" si="0"/>
        <v>0.1</v>
      </c>
      <c r="H10">
        <f t="shared" si="1"/>
        <v>0.2</v>
      </c>
      <c r="I10">
        <v>0.08</v>
      </c>
      <c r="J10">
        <v>0</v>
      </c>
    </row>
    <row r="11" spans="2:10">
      <c r="B11">
        <v>9</v>
      </c>
      <c r="C11">
        <v>7</v>
      </c>
      <c r="D11">
        <v>10</v>
      </c>
      <c r="E11">
        <v>4</v>
      </c>
      <c r="F11">
        <v>0</v>
      </c>
      <c r="G11">
        <f t="shared" si="0"/>
        <v>0.14000000000000001</v>
      </c>
      <c r="H11">
        <f t="shared" si="1"/>
        <v>0.2</v>
      </c>
      <c r="I11">
        <v>0.08</v>
      </c>
      <c r="J11">
        <v>0</v>
      </c>
    </row>
    <row r="12" spans="2:10">
      <c r="B12">
        <v>10</v>
      </c>
      <c r="C12">
        <v>8</v>
      </c>
      <c r="D12">
        <v>10</v>
      </c>
      <c r="E12">
        <v>4</v>
      </c>
      <c r="F12">
        <v>0</v>
      </c>
      <c r="G12">
        <f t="shared" si="0"/>
        <v>0.16</v>
      </c>
      <c r="H12">
        <f t="shared" si="1"/>
        <v>0.2</v>
      </c>
      <c r="I12">
        <v>0.08</v>
      </c>
      <c r="J12">
        <v>0</v>
      </c>
    </row>
    <row r="13" spans="2:10">
      <c r="B13">
        <v>11</v>
      </c>
      <c r="C13">
        <v>4</v>
      </c>
      <c r="D13">
        <v>10</v>
      </c>
      <c r="E13">
        <v>4</v>
      </c>
      <c r="F13">
        <v>0</v>
      </c>
      <c r="G13">
        <f t="shared" si="0"/>
        <v>0.08</v>
      </c>
      <c r="H13">
        <f t="shared" si="1"/>
        <v>0.2</v>
      </c>
      <c r="I13">
        <v>0.08</v>
      </c>
      <c r="J13">
        <v>0</v>
      </c>
    </row>
    <row r="14" spans="2:10">
      <c r="B14">
        <v>12</v>
      </c>
      <c r="C14">
        <v>10</v>
      </c>
      <c r="D14">
        <v>10</v>
      </c>
      <c r="E14">
        <v>4</v>
      </c>
      <c r="F14">
        <v>0</v>
      </c>
      <c r="G14">
        <f t="shared" si="0"/>
        <v>0.2</v>
      </c>
      <c r="H14">
        <f t="shared" si="1"/>
        <v>0.2</v>
      </c>
      <c r="I14">
        <v>0.08</v>
      </c>
      <c r="J14">
        <v>0</v>
      </c>
    </row>
    <row r="15" spans="2:10">
      <c r="B15">
        <v>13</v>
      </c>
      <c r="C15">
        <v>5</v>
      </c>
      <c r="D15">
        <v>10</v>
      </c>
      <c r="E15">
        <v>4</v>
      </c>
      <c r="F15">
        <v>0</v>
      </c>
      <c r="G15">
        <f t="shared" si="0"/>
        <v>0.1</v>
      </c>
      <c r="H15">
        <f t="shared" si="1"/>
        <v>0.2</v>
      </c>
      <c r="I15">
        <v>0.08</v>
      </c>
      <c r="J15">
        <v>0</v>
      </c>
    </row>
    <row r="16" spans="2:10">
      <c r="B16">
        <v>14</v>
      </c>
      <c r="C16">
        <v>4</v>
      </c>
      <c r="D16">
        <v>10</v>
      </c>
      <c r="E16">
        <v>4</v>
      </c>
      <c r="F16">
        <v>0</v>
      </c>
      <c r="G16">
        <f t="shared" si="0"/>
        <v>0.08</v>
      </c>
      <c r="H16">
        <f t="shared" si="1"/>
        <v>0.2</v>
      </c>
      <c r="I16">
        <v>0.08</v>
      </c>
      <c r="J16">
        <v>0</v>
      </c>
    </row>
    <row r="17" spans="2:10">
      <c r="B17">
        <v>15</v>
      </c>
      <c r="C17">
        <v>3</v>
      </c>
      <c r="D17">
        <v>10</v>
      </c>
      <c r="E17">
        <v>4</v>
      </c>
      <c r="F17">
        <v>0</v>
      </c>
      <c r="G17">
        <f t="shared" si="0"/>
        <v>0.06</v>
      </c>
      <c r="H17">
        <f t="shared" si="1"/>
        <v>0.2</v>
      </c>
      <c r="I17">
        <v>0.08</v>
      </c>
      <c r="J17">
        <v>0</v>
      </c>
    </row>
    <row r="18" spans="2:10">
      <c r="B18">
        <v>16</v>
      </c>
      <c r="C18">
        <v>1</v>
      </c>
      <c r="D18">
        <v>10</v>
      </c>
      <c r="E18">
        <v>4</v>
      </c>
      <c r="F18">
        <v>0</v>
      </c>
      <c r="G18">
        <f t="shared" si="0"/>
        <v>0.02</v>
      </c>
      <c r="H18">
        <f t="shared" si="1"/>
        <v>0.2</v>
      </c>
      <c r="I18">
        <v>0.08</v>
      </c>
      <c r="J18">
        <v>0</v>
      </c>
    </row>
    <row r="19" spans="2:10">
      <c r="B19">
        <v>17</v>
      </c>
      <c r="C19">
        <v>5</v>
      </c>
      <c r="D19">
        <v>10</v>
      </c>
      <c r="E19">
        <v>4</v>
      </c>
      <c r="F19">
        <v>0</v>
      </c>
      <c r="G19">
        <f t="shared" si="0"/>
        <v>0.1</v>
      </c>
      <c r="H19">
        <f t="shared" si="1"/>
        <v>0.2</v>
      </c>
      <c r="I19">
        <v>0.08</v>
      </c>
      <c r="J19">
        <v>0</v>
      </c>
    </row>
    <row r="20" spans="2:10">
      <c r="B20">
        <v>18</v>
      </c>
      <c r="C20">
        <v>4</v>
      </c>
      <c r="D20">
        <v>10</v>
      </c>
      <c r="E20">
        <v>4</v>
      </c>
      <c r="F20">
        <v>0</v>
      </c>
      <c r="G20">
        <f t="shared" si="0"/>
        <v>0.08</v>
      </c>
      <c r="H20">
        <f t="shared" si="1"/>
        <v>0.2</v>
      </c>
      <c r="I20">
        <v>0.08</v>
      </c>
      <c r="J20">
        <v>0</v>
      </c>
    </row>
    <row r="21" spans="2:10">
      <c r="B21">
        <v>19</v>
      </c>
      <c r="C21">
        <v>1</v>
      </c>
      <c r="D21">
        <v>10</v>
      </c>
      <c r="E21">
        <v>4</v>
      </c>
      <c r="F21">
        <v>0</v>
      </c>
      <c r="G21">
        <f t="shared" si="0"/>
        <v>0.02</v>
      </c>
      <c r="H21">
        <f t="shared" si="1"/>
        <v>0.2</v>
      </c>
      <c r="I21">
        <v>0.08</v>
      </c>
      <c r="J21">
        <v>0</v>
      </c>
    </row>
    <row r="22" spans="2:10">
      <c r="B22">
        <v>20</v>
      </c>
      <c r="C22">
        <v>3</v>
      </c>
      <c r="D22">
        <v>10</v>
      </c>
      <c r="E22">
        <v>4</v>
      </c>
      <c r="F22">
        <v>0</v>
      </c>
      <c r="G22">
        <f t="shared" si="0"/>
        <v>0.06</v>
      </c>
      <c r="H22">
        <f t="shared" si="1"/>
        <v>0.2</v>
      </c>
      <c r="I22">
        <v>0.08</v>
      </c>
      <c r="J22">
        <v>0</v>
      </c>
    </row>
    <row r="23" spans="2:10">
      <c r="B23" t="s">
        <v>124</v>
      </c>
      <c r="C23">
        <f>SUM(C3:C22)</f>
        <v>80</v>
      </c>
    </row>
    <row r="24" spans="2:10">
      <c r="B24" t="s">
        <v>125</v>
      </c>
      <c r="C24">
        <f>AVERAGE(C3:C22)</f>
        <v>4</v>
      </c>
      <c r="G24">
        <f>AVERAGE(G3:G22)</f>
        <v>8.0000000000000029E-2</v>
      </c>
    </row>
    <row r="25" spans="2:10">
      <c r="D25" t="s">
        <v>90</v>
      </c>
    </row>
    <row r="26" spans="2:10">
      <c r="D26" t="s">
        <v>43</v>
      </c>
      <c r="E26">
        <f>4+3*2</f>
        <v>10</v>
      </c>
      <c r="F26" s="50">
        <v>10</v>
      </c>
    </row>
    <row r="27" spans="2:10">
      <c r="D27" t="s">
        <v>10</v>
      </c>
      <c r="E27">
        <v>4</v>
      </c>
      <c r="F27" s="50">
        <v>4</v>
      </c>
    </row>
    <row r="28" spans="2:10">
      <c r="D28" t="s">
        <v>44</v>
      </c>
      <c r="E28">
        <f>4-3*2</f>
        <v>-2</v>
      </c>
      <c r="F28" s="50">
        <v>0</v>
      </c>
    </row>
    <row r="30" spans="2:10">
      <c r="D30" t="s">
        <v>126</v>
      </c>
    </row>
    <row r="31" spans="2:10">
      <c r="D31" t="s">
        <v>127</v>
      </c>
    </row>
    <row r="32" spans="2:10">
      <c r="D32" t="s">
        <v>128</v>
      </c>
    </row>
    <row r="33" spans="4:4">
      <c r="D33" t="s">
        <v>129</v>
      </c>
    </row>
  </sheetData>
  <mergeCells count="2">
    <mergeCell ref="D1:F1"/>
    <mergeCell ref="H1:J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48"/>
  <sheetViews>
    <sheetView workbookViewId="0">
      <selection activeCell="AB42" sqref="AB42"/>
    </sheetView>
  </sheetViews>
  <sheetFormatPr baseColWidth="10" defaultRowHeight="13"/>
  <cols>
    <col min="1" max="1" width="2.83203125" style="7" customWidth="1"/>
    <col min="2" max="4" width="10.83203125" style="7"/>
    <col min="5" max="5" width="13.83203125" style="7" customWidth="1"/>
    <col min="6" max="6" width="8" style="7" customWidth="1"/>
    <col min="7" max="7" width="7" style="7" customWidth="1"/>
    <col min="8" max="8" width="6.83203125" style="7" customWidth="1"/>
    <col min="9" max="9" width="5.1640625" style="7" customWidth="1"/>
    <col min="10" max="10" width="6" style="7" customWidth="1"/>
    <col min="11" max="12" width="6.5" style="7" customWidth="1"/>
    <col min="13" max="19" width="10.83203125" style="7"/>
    <col min="20" max="20" width="9.33203125" style="7" customWidth="1"/>
    <col min="21" max="21" width="12.1640625" style="7" customWidth="1"/>
    <col min="22" max="22" width="11.6640625" style="7" customWidth="1"/>
    <col min="23" max="23" width="5.83203125" style="7" customWidth="1"/>
    <col min="24" max="24" width="6.83203125" style="7" customWidth="1"/>
    <col min="25" max="25" width="5.6640625" style="7" customWidth="1"/>
    <col min="26" max="26" width="6.1640625" style="7" customWidth="1"/>
    <col min="27" max="27" width="4.1640625" style="7" customWidth="1"/>
    <col min="28" max="28" width="6.33203125" style="7" customWidth="1"/>
    <col min="29" max="29" width="7.1640625" style="7" customWidth="1"/>
    <col min="30" max="30" width="6.6640625" style="7" customWidth="1"/>
    <col min="31" max="40" width="10.83203125" style="7"/>
    <col min="41" max="41" width="4.83203125" style="7" customWidth="1"/>
    <col min="42" max="42" width="6.6640625" style="7" customWidth="1"/>
    <col min="43" max="43" width="7" style="7" customWidth="1"/>
    <col min="44" max="44" width="5.6640625" style="7" customWidth="1"/>
    <col min="45" max="54" width="10.83203125" style="7"/>
    <col min="55" max="55" width="4.83203125" style="7" customWidth="1"/>
    <col min="56" max="56" width="6.1640625" style="7" customWidth="1"/>
    <col min="57" max="57" width="5.83203125" style="7" customWidth="1"/>
    <col min="58" max="58" width="6.5" style="7" customWidth="1"/>
    <col min="59" max="68" width="10.83203125" style="7"/>
    <col min="69" max="69" width="6.5" style="7" customWidth="1"/>
    <col min="70" max="70" width="7" style="7" customWidth="1"/>
    <col min="71" max="71" width="6.5" style="7" customWidth="1"/>
    <col min="72" max="72" width="5.83203125" style="7" customWidth="1"/>
    <col min="73" max="73" width="6" style="7" customWidth="1"/>
    <col min="74" max="16384" width="10.83203125" style="7"/>
  </cols>
  <sheetData>
    <row r="1" spans="2:12">
      <c r="F1" s="164" t="s">
        <v>130</v>
      </c>
      <c r="G1" s="164"/>
      <c r="H1" s="164"/>
      <c r="J1" s="164" t="s">
        <v>131</v>
      </c>
      <c r="K1" s="164"/>
      <c r="L1" s="164"/>
    </row>
    <row r="2" spans="2:12">
      <c r="B2" s="7" t="s">
        <v>132</v>
      </c>
      <c r="C2" s="7" t="s">
        <v>133</v>
      </c>
      <c r="D2" s="7" t="s">
        <v>134</v>
      </c>
      <c r="F2" s="7" t="s">
        <v>135</v>
      </c>
      <c r="G2" s="7" t="s">
        <v>136</v>
      </c>
      <c r="H2" s="7" t="s">
        <v>137</v>
      </c>
      <c r="J2" s="7" t="s">
        <v>135</v>
      </c>
      <c r="K2" s="7" t="s">
        <v>136</v>
      </c>
      <c r="L2" s="7" t="s">
        <v>137</v>
      </c>
    </row>
    <row r="3" spans="2:12">
      <c r="B3" s="7">
        <v>1</v>
      </c>
      <c r="C3" s="18">
        <v>125.1</v>
      </c>
      <c r="F3" s="18">
        <f t="shared" ref="F3:F26" si="0">$C$31</f>
        <v>121.25287289983328</v>
      </c>
      <c r="G3" s="18">
        <f t="shared" ref="G3:G26" si="1">$C$30</f>
        <v>127.11666666666667</v>
      </c>
      <c r="H3" s="18">
        <f t="shared" ref="H3:H26" si="2">$C$29</f>
        <v>132.98046043350007</v>
      </c>
      <c r="J3" s="7">
        <f t="shared" ref="J3:J26" si="3">$D$31</f>
        <v>0</v>
      </c>
      <c r="K3" s="18">
        <f t="shared" ref="K3:K26" si="4">$D$30</f>
        <v>2.2086956521739149</v>
      </c>
      <c r="L3" s="18">
        <f t="shared" ref="L3:L26" si="5">$D$29</f>
        <v>7.2224347826087021</v>
      </c>
    </row>
    <row r="4" spans="2:12">
      <c r="B4" s="7">
        <v>2</v>
      </c>
      <c r="C4" s="18">
        <v>127.5</v>
      </c>
      <c r="D4" s="18">
        <f t="shared" ref="D4:D26" si="6">ABS(C4-C3)</f>
        <v>2.4000000000000057</v>
      </c>
      <c r="F4" s="18">
        <f t="shared" si="0"/>
        <v>121.25287289983328</v>
      </c>
      <c r="G4" s="18">
        <f t="shared" si="1"/>
        <v>127.11666666666667</v>
      </c>
      <c r="H4" s="18">
        <f t="shared" si="2"/>
        <v>132.98046043350007</v>
      </c>
      <c r="J4" s="7">
        <f t="shared" si="3"/>
        <v>0</v>
      </c>
      <c r="K4" s="18">
        <f t="shared" si="4"/>
        <v>2.2086956521739149</v>
      </c>
      <c r="L4" s="18">
        <f t="shared" si="5"/>
        <v>7.2224347826087021</v>
      </c>
    </row>
    <row r="5" spans="2:12">
      <c r="B5" s="7">
        <v>3</v>
      </c>
      <c r="C5" s="18">
        <v>122.7</v>
      </c>
      <c r="D5" s="18">
        <f t="shared" si="6"/>
        <v>4.7999999999999972</v>
      </c>
      <c r="F5" s="18">
        <f t="shared" si="0"/>
        <v>121.25287289983328</v>
      </c>
      <c r="G5" s="18">
        <f t="shared" si="1"/>
        <v>127.11666666666667</v>
      </c>
      <c r="H5" s="18">
        <f t="shared" si="2"/>
        <v>132.98046043350007</v>
      </c>
      <c r="J5" s="7">
        <f t="shared" si="3"/>
        <v>0</v>
      </c>
      <c r="K5" s="18">
        <f t="shared" si="4"/>
        <v>2.2086956521739149</v>
      </c>
      <c r="L5" s="18">
        <f t="shared" si="5"/>
        <v>7.2224347826087021</v>
      </c>
    </row>
    <row r="6" spans="2:12">
      <c r="B6" s="7">
        <v>4</v>
      </c>
      <c r="C6" s="18">
        <v>126.4</v>
      </c>
      <c r="D6" s="18">
        <f t="shared" si="6"/>
        <v>3.7000000000000028</v>
      </c>
      <c r="F6" s="18">
        <f t="shared" si="0"/>
        <v>121.25287289983328</v>
      </c>
      <c r="G6" s="18">
        <f t="shared" si="1"/>
        <v>127.11666666666667</v>
      </c>
      <c r="H6" s="18">
        <f t="shared" si="2"/>
        <v>132.98046043350007</v>
      </c>
      <c r="J6" s="7">
        <f t="shared" si="3"/>
        <v>0</v>
      </c>
      <c r="K6" s="18">
        <f t="shared" si="4"/>
        <v>2.2086956521739149</v>
      </c>
      <c r="L6" s="18">
        <f t="shared" si="5"/>
        <v>7.2224347826087021</v>
      </c>
    </row>
    <row r="7" spans="2:12">
      <c r="B7" s="7">
        <v>5</v>
      </c>
      <c r="C7" s="18">
        <v>125.5</v>
      </c>
      <c r="D7" s="18">
        <f t="shared" si="6"/>
        <v>0.90000000000000568</v>
      </c>
      <c r="F7" s="18">
        <f t="shared" si="0"/>
        <v>121.25287289983328</v>
      </c>
      <c r="G7" s="18">
        <f t="shared" si="1"/>
        <v>127.11666666666667</v>
      </c>
      <c r="H7" s="18">
        <f t="shared" si="2"/>
        <v>132.98046043350007</v>
      </c>
      <c r="J7" s="7">
        <f t="shared" si="3"/>
        <v>0</v>
      </c>
      <c r="K7" s="18">
        <f t="shared" si="4"/>
        <v>2.2086956521739149</v>
      </c>
      <c r="L7" s="18">
        <f t="shared" si="5"/>
        <v>7.2224347826087021</v>
      </c>
    </row>
    <row r="8" spans="2:12">
      <c r="B8" s="7">
        <v>6</v>
      </c>
      <c r="C8" s="18">
        <v>130.5</v>
      </c>
      <c r="D8" s="18">
        <f t="shared" si="6"/>
        <v>5</v>
      </c>
      <c r="F8" s="18">
        <f t="shared" si="0"/>
        <v>121.25287289983328</v>
      </c>
      <c r="G8" s="18">
        <f t="shared" si="1"/>
        <v>127.11666666666667</v>
      </c>
      <c r="H8" s="18">
        <f t="shared" si="2"/>
        <v>132.98046043350007</v>
      </c>
      <c r="J8" s="7">
        <f t="shared" si="3"/>
        <v>0</v>
      </c>
      <c r="K8" s="18">
        <f t="shared" si="4"/>
        <v>2.2086956521739149</v>
      </c>
      <c r="L8" s="18">
        <f t="shared" si="5"/>
        <v>7.2224347826087021</v>
      </c>
    </row>
    <row r="9" spans="2:12">
      <c r="B9" s="7">
        <v>7</v>
      </c>
      <c r="C9" s="18">
        <v>127.3</v>
      </c>
      <c r="D9" s="18">
        <f t="shared" si="6"/>
        <v>3.2000000000000028</v>
      </c>
      <c r="F9" s="18">
        <f t="shared" si="0"/>
        <v>121.25287289983328</v>
      </c>
      <c r="G9" s="18">
        <f t="shared" si="1"/>
        <v>127.11666666666667</v>
      </c>
      <c r="H9" s="18">
        <f t="shared" si="2"/>
        <v>132.98046043350007</v>
      </c>
      <c r="J9" s="7">
        <f t="shared" si="3"/>
        <v>0</v>
      </c>
      <c r="K9" s="18">
        <f t="shared" si="4"/>
        <v>2.2086956521739149</v>
      </c>
      <c r="L9" s="18">
        <f t="shared" si="5"/>
        <v>7.2224347826087021</v>
      </c>
    </row>
    <row r="10" spans="2:12">
      <c r="B10" s="7">
        <v>8</v>
      </c>
      <c r="C10" s="18">
        <v>127.5</v>
      </c>
      <c r="D10" s="18">
        <f t="shared" si="6"/>
        <v>0.20000000000000284</v>
      </c>
      <c r="F10" s="18">
        <f t="shared" si="0"/>
        <v>121.25287289983328</v>
      </c>
      <c r="G10" s="18">
        <f t="shared" si="1"/>
        <v>127.11666666666667</v>
      </c>
      <c r="H10" s="18">
        <f t="shared" si="2"/>
        <v>132.98046043350007</v>
      </c>
      <c r="J10" s="7">
        <f t="shared" si="3"/>
        <v>0</v>
      </c>
      <c r="K10" s="18">
        <f t="shared" si="4"/>
        <v>2.2086956521739149</v>
      </c>
      <c r="L10" s="18">
        <f t="shared" si="5"/>
        <v>7.2224347826087021</v>
      </c>
    </row>
    <row r="11" spans="2:12">
      <c r="B11" s="7">
        <v>9</v>
      </c>
      <c r="C11" s="18">
        <v>127.3</v>
      </c>
      <c r="D11" s="18">
        <f t="shared" si="6"/>
        <v>0.20000000000000284</v>
      </c>
      <c r="F11" s="18">
        <f t="shared" si="0"/>
        <v>121.25287289983328</v>
      </c>
      <c r="G11" s="18">
        <f t="shared" si="1"/>
        <v>127.11666666666667</v>
      </c>
      <c r="H11" s="18">
        <f t="shared" si="2"/>
        <v>132.98046043350007</v>
      </c>
      <c r="J11" s="7">
        <f t="shared" si="3"/>
        <v>0</v>
      </c>
      <c r="K11" s="18">
        <f t="shared" si="4"/>
        <v>2.2086956521739149</v>
      </c>
      <c r="L11" s="18">
        <f t="shared" si="5"/>
        <v>7.2224347826087021</v>
      </c>
    </row>
    <row r="12" spans="2:12">
      <c r="B12" s="7">
        <v>10</v>
      </c>
      <c r="C12" s="18">
        <v>123</v>
      </c>
      <c r="D12" s="18">
        <f t="shared" si="6"/>
        <v>4.2999999999999972</v>
      </c>
      <c r="F12" s="18">
        <f t="shared" si="0"/>
        <v>121.25287289983328</v>
      </c>
      <c r="G12" s="18">
        <f t="shared" si="1"/>
        <v>127.11666666666667</v>
      </c>
      <c r="H12" s="18">
        <f t="shared" si="2"/>
        <v>132.98046043350007</v>
      </c>
      <c r="J12" s="7">
        <f t="shared" si="3"/>
        <v>0</v>
      </c>
      <c r="K12" s="18">
        <f t="shared" si="4"/>
        <v>2.2086956521739149</v>
      </c>
      <c r="L12" s="18">
        <f t="shared" si="5"/>
        <v>7.2224347826087021</v>
      </c>
    </row>
    <row r="13" spans="2:12">
      <c r="B13" s="7">
        <v>11</v>
      </c>
      <c r="C13" s="18">
        <v>123.5</v>
      </c>
      <c r="D13" s="18">
        <f t="shared" si="6"/>
        <v>0.5</v>
      </c>
      <c r="F13" s="18">
        <f t="shared" si="0"/>
        <v>121.25287289983328</v>
      </c>
      <c r="G13" s="18">
        <f t="shared" si="1"/>
        <v>127.11666666666667</v>
      </c>
      <c r="H13" s="18">
        <f t="shared" si="2"/>
        <v>132.98046043350007</v>
      </c>
      <c r="J13" s="7">
        <f t="shared" si="3"/>
        <v>0</v>
      </c>
      <c r="K13" s="18">
        <f t="shared" si="4"/>
        <v>2.2086956521739149</v>
      </c>
      <c r="L13" s="18">
        <f t="shared" si="5"/>
        <v>7.2224347826087021</v>
      </c>
    </row>
    <row r="14" spans="2:12">
      <c r="B14" s="7">
        <v>12</v>
      </c>
      <c r="C14" s="18">
        <v>128</v>
      </c>
      <c r="D14" s="18">
        <f t="shared" si="6"/>
        <v>4.5</v>
      </c>
      <c r="F14" s="18">
        <f t="shared" si="0"/>
        <v>121.25287289983328</v>
      </c>
      <c r="G14" s="18">
        <f t="shared" si="1"/>
        <v>127.11666666666667</v>
      </c>
      <c r="H14" s="18">
        <f t="shared" si="2"/>
        <v>132.98046043350007</v>
      </c>
      <c r="J14" s="7">
        <f t="shared" si="3"/>
        <v>0</v>
      </c>
      <c r="K14" s="18">
        <f t="shared" si="4"/>
        <v>2.2086956521739149</v>
      </c>
      <c r="L14" s="18">
        <f t="shared" si="5"/>
        <v>7.2224347826087021</v>
      </c>
    </row>
    <row r="15" spans="2:12">
      <c r="B15" s="7">
        <v>13</v>
      </c>
      <c r="C15" s="18">
        <v>126.4</v>
      </c>
      <c r="D15" s="18">
        <f t="shared" si="6"/>
        <v>1.5999999999999943</v>
      </c>
      <c r="F15" s="18">
        <f t="shared" si="0"/>
        <v>121.25287289983328</v>
      </c>
      <c r="G15" s="18">
        <f t="shared" si="1"/>
        <v>127.11666666666667</v>
      </c>
      <c r="H15" s="18">
        <f t="shared" si="2"/>
        <v>132.98046043350007</v>
      </c>
      <c r="J15" s="7">
        <f t="shared" si="3"/>
        <v>0</v>
      </c>
      <c r="K15" s="18">
        <f t="shared" si="4"/>
        <v>2.2086956521739149</v>
      </c>
      <c r="L15" s="18">
        <f t="shared" si="5"/>
        <v>7.2224347826087021</v>
      </c>
    </row>
    <row r="16" spans="2:12">
      <c r="B16" s="7">
        <v>14</v>
      </c>
      <c r="C16" s="18">
        <v>128.30000000000001</v>
      </c>
      <c r="D16" s="18">
        <f t="shared" si="6"/>
        <v>1.9000000000000057</v>
      </c>
      <c r="F16" s="18">
        <f t="shared" si="0"/>
        <v>121.25287289983328</v>
      </c>
      <c r="G16" s="18">
        <f t="shared" si="1"/>
        <v>127.11666666666667</v>
      </c>
      <c r="H16" s="18">
        <f t="shared" si="2"/>
        <v>132.98046043350007</v>
      </c>
      <c r="J16" s="7">
        <f t="shared" si="3"/>
        <v>0</v>
      </c>
      <c r="K16" s="18">
        <f t="shared" si="4"/>
        <v>2.2086956521739149</v>
      </c>
      <c r="L16" s="18">
        <f t="shared" si="5"/>
        <v>7.2224347826087021</v>
      </c>
    </row>
    <row r="17" spans="2:12">
      <c r="B17" s="7">
        <v>15</v>
      </c>
      <c r="C17" s="18">
        <v>129.5</v>
      </c>
      <c r="D17" s="18">
        <f t="shared" si="6"/>
        <v>1.1999999999999886</v>
      </c>
      <c r="F17" s="18">
        <f t="shared" si="0"/>
        <v>121.25287289983328</v>
      </c>
      <c r="G17" s="18">
        <f t="shared" si="1"/>
        <v>127.11666666666667</v>
      </c>
      <c r="H17" s="18">
        <f t="shared" si="2"/>
        <v>132.98046043350007</v>
      </c>
      <c r="J17" s="7">
        <f t="shared" si="3"/>
        <v>0</v>
      </c>
      <c r="K17" s="18">
        <f t="shared" si="4"/>
        <v>2.2086956521739149</v>
      </c>
      <c r="L17" s="18">
        <f t="shared" si="5"/>
        <v>7.2224347826087021</v>
      </c>
    </row>
    <row r="18" spans="2:12">
      <c r="B18" s="7">
        <v>16</v>
      </c>
      <c r="C18" s="18">
        <v>128.1</v>
      </c>
      <c r="D18" s="18">
        <f t="shared" si="6"/>
        <v>1.4000000000000057</v>
      </c>
      <c r="F18" s="18">
        <f t="shared" si="0"/>
        <v>121.25287289983328</v>
      </c>
      <c r="G18" s="18">
        <f t="shared" si="1"/>
        <v>127.11666666666667</v>
      </c>
      <c r="H18" s="18">
        <f t="shared" si="2"/>
        <v>132.98046043350007</v>
      </c>
      <c r="J18" s="7">
        <f t="shared" si="3"/>
        <v>0</v>
      </c>
      <c r="K18" s="18">
        <f t="shared" si="4"/>
        <v>2.2086956521739149</v>
      </c>
      <c r="L18" s="18">
        <f t="shared" si="5"/>
        <v>7.2224347826087021</v>
      </c>
    </row>
    <row r="19" spans="2:12">
      <c r="B19" s="7">
        <v>17</v>
      </c>
      <c r="C19" s="18">
        <v>128.5</v>
      </c>
      <c r="D19" s="18">
        <f t="shared" si="6"/>
        <v>0.40000000000000568</v>
      </c>
      <c r="F19" s="18">
        <f t="shared" si="0"/>
        <v>121.25287289983328</v>
      </c>
      <c r="G19" s="18">
        <f t="shared" si="1"/>
        <v>127.11666666666667</v>
      </c>
      <c r="H19" s="18">
        <f t="shared" si="2"/>
        <v>132.98046043350007</v>
      </c>
      <c r="J19" s="7">
        <f t="shared" si="3"/>
        <v>0</v>
      </c>
      <c r="K19" s="18">
        <f t="shared" si="4"/>
        <v>2.2086956521739149</v>
      </c>
      <c r="L19" s="18">
        <f t="shared" si="5"/>
        <v>7.2224347826087021</v>
      </c>
    </row>
    <row r="20" spans="2:12">
      <c r="B20" s="7">
        <v>18</v>
      </c>
      <c r="C20" s="18">
        <v>125.1</v>
      </c>
      <c r="D20" s="18">
        <f t="shared" si="6"/>
        <v>3.4000000000000057</v>
      </c>
      <c r="F20" s="18">
        <f t="shared" si="0"/>
        <v>121.25287289983328</v>
      </c>
      <c r="G20" s="18">
        <f t="shared" si="1"/>
        <v>127.11666666666667</v>
      </c>
      <c r="H20" s="18">
        <f t="shared" si="2"/>
        <v>132.98046043350007</v>
      </c>
      <c r="J20" s="7">
        <f t="shared" si="3"/>
        <v>0</v>
      </c>
      <c r="K20" s="18">
        <f t="shared" si="4"/>
        <v>2.2086956521739149</v>
      </c>
      <c r="L20" s="18">
        <f t="shared" si="5"/>
        <v>7.2224347826087021</v>
      </c>
    </row>
    <row r="21" spans="2:12">
      <c r="B21" s="7">
        <v>19</v>
      </c>
      <c r="C21" s="18">
        <v>128.5</v>
      </c>
      <c r="D21" s="18">
        <f t="shared" si="6"/>
        <v>3.4000000000000057</v>
      </c>
      <c r="F21" s="18">
        <f t="shared" si="0"/>
        <v>121.25287289983328</v>
      </c>
      <c r="G21" s="18">
        <f t="shared" si="1"/>
        <v>127.11666666666667</v>
      </c>
      <c r="H21" s="18">
        <f t="shared" si="2"/>
        <v>132.98046043350007</v>
      </c>
      <c r="J21" s="7">
        <f t="shared" si="3"/>
        <v>0</v>
      </c>
      <c r="K21" s="18">
        <f t="shared" si="4"/>
        <v>2.2086956521739149</v>
      </c>
      <c r="L21" s="18">
        <f t="shared" si="5"/>
        <v>7.2224347826087021</v>
      </c>
    </row>
    <row r="22" spans="2:12">
      <c r="B22" s="7">
        <v>20</v>
      </c>
      <c r="C22" s="18">
        <v>126.3</v>
      </c>
      <c r="D22" s="18">
        <f t="shared" si="6"/>
        <v>2.2000000000000028</v>
      </c>
      <c r="F22" s="18">
        <f t="shared" si="0"/>
        <v>121.25287289983328</v>
      </c>
      <c r="G22" s="18">
        <f t="shared" si="1"/>
        <v>127.11666666666667</v>
      </c>
      <c r="H22" s="18">
        <f t="shared" si="2"/>
        <v>132.98046043350007</v>
      </c>
      <c r="J22" s="7">
        <f t="shared" si="3"/>
        <v>0</v>
      </c>
      <c r="K22" s="18">
        <f t="shared" si="4"/>
        <v>2.2086956521739149</v>
      </c>
      <c r="L22" s="18">
        <f t="shared" si="5"/>
        <v>7.2224347826087021</v>
      </c>
    </row>
    <row r="23" spans="2:12">
      <c r="B23" s="7">
        <v>21</v>
      </c>
      <c r="C23" s="18">
        <v>126.5</v>
      </c>
      <c r="D23" s="18">
        <f t="shared" si="6"/>
        <v>0.20000000000000284</v>
      </c>
      <c r="F23" s="18">
        <f t="shared" si="0"/>
        <v>121.25287289983328</v>
      </c>
      <c r="G23" s="18">
        <f t="shared" si="1"/>
        <v>127.11666666666667</v>
      </c>
      <c r="H23" s="18">
        <f t="shared" si="2"/>
        <v>132.98046043350007</v>
      </c>
      <c r="J23" s="7">
        <f t="shared" si="3"/>
        <v>0</v>
      </c>
      <c r="K23" s="18">
        <f t="shared" si="4"/>
        <v>2.2086956521739149</v>
      </c>
      <c r="L23" s="18">
        <f t="shared" si="5"/>
        <v>7.2224347826087021</v>
      </c>
    </row>
    <row r="24" spans="2:12">
      <c r="B24" s="7">
        <v>22</v>
      </c>
      <c r="C24" s="18">
        <v>127.9</v>
      </c>
      <c r="D24" s="18">
        <f t="shared" si="6"/>
        <v>1.4000000000000057</v>
      </c>
      <c r="F24" s="18">
        <f t="shared" si="0"/>
        <v>121.25287289983328</v>
      </c>
      <c r="G24" s="18">
        <f t="shared" si="1"/>
        <v>127.11666666666667</v>
      </c>
      <c r="H24" s="18">
        <f t="shared" si="2"/>
        <v>132.98046043350007</v>
      </c>
      <c r="J24" s="7">
        <f t="shared" si="3"/>
        <v>0</v>
      </c>
      <c r="K24" s="18">
        <f t="shared" si="4"/>
        <v>2.2086956521739149</v>
      </c>
      <c r="L24" s="18">
        <f t="shared" si="5"/>
        <v>7.2224347826087021</v>
      </c>
    </row>
    <row r="25" spans="2:12">
      <c r="B25" s="7">
        <v>23</v>
      </c>
      <c r="C25" s="18">
        <v>129.5</v>
      </c>
      <c r="D25" s="18">
        <f t="shared" si="6"/>
        <v>1.5999999999999943</v>
      </c>
      <c r="F25" s="18">
        <f t="shared" si="0"/>
        <v>121.25287289983328</v>
      </c>
      <c r="G25" s="18">
        <f t="shared" si="1"/>
        <v>127.11666666666667</v>
      </c>
      <c r="H25" s="18">
        <f t="shared" si="2"/>
        <v>132.98046043350007</v>
      </c>
      <c r="J25" s="7">
        <f t="shared" si="3"/>
        <v>0</v>
      </c>
      <c r="K25" s="18">
        <f t="shared" si="4"/>
        <v>2.2086956521739149</v>
      </c>
      <c r="L25" s="18">
        <f t="shared" si="5"/>
        <v>7.2224347826087021</v>
      </c>
    </row>
    <row r="26" spans="2:12">
      <c r="B26" s="7">
        <v>24</v>
      </c>
      <c r="C26" s="18">
        <v>131.9</v>
      </c>
      <c r="D26" s="18">
        <f t="shared" si="6"/>
        <v>2.4000000000000057</v>
      </c>
      <c r="F26" s="18">
        <f t="shared" si="0"/>
        <v>121.25287289983328</v>
      </c>
      <c r="G26" s="18">
        <f t="shared" si="1"/>
        <v>127.11666666666667</v>
      </c>
      <c r="H26" s="18">
        <f t="shared" si="2"/>
        <v>132.98046043350007</v>
      </c>
      <c r="J26" s="7">
        <f t="shared" si="3"/>
        <v>0</v>
      </c>
      <c r="K26" s="18">
        <f t="shared" si="4"/>
        <v>2.2086956521739149</v>
      </c>
      <c r="L26" s="18">
        <f t="shared" si="5"/>
        <v>7.2224347826087021</v>
      </c>
    </row>
    <row r="27" spans="2:12" ht="14" thickBot="1">
      <c r="C27" s="11">
        <f>AVERAGE(C3:C26)</f>
        <v>127.11666666666667</v>
      </c>
      <c r="D27" s="17">
        <f>AVERAGE(D4:D26)</f>
        <v>2.2086956521739149</v>
      </c>
    </row>
    <row r="28" spans="2:12" ht="16">
      <c r="B28" s="51" t="s">
        <v>138</v>
      </c>
      <c r="C28" s="52" t="s">
        <v>139</v>
      </c>
      <c r="D28" s="53" t="s">
        <v>140</v>
      </c>
      <c r="E28" s="54" t="s">
        <v>141</v>
      </c>
      <c r="F28" s="55" t="s">
        <v>115</v>
      </c>
      <c r="G28" s="56">
        <v>3.27</v>
      </c>
    </row>
    <row r="29" spans="2:12" ht="16">
      <c r="B29" s="57" t="s">
        <v>137</v>
      </c>
      <c r="C29" s="58">
        <f>$C$27+((3*($D$27/$G$30)))</f>
        <v>132.98046043350007</v>
      </c>
      <c r="D29" s="59">
        <f>G28*D27</f>
        <v>7.2224347826087021</v>
      </c>
      <c r="E29" s="60">
        <f>+E30+5</f>
        <v>130</v>
      </c>
      <c r="F29" s="61" t="s">
        <v>116</v>
      </c>
      <c r="G29" s="62">
        <v>0</v>
      </c>
    </row>
    <row r="30" spans="2:12" ht="16">
      <c r="B30" s="57" t="s">
        <v>136</v>
      </c>
      <c r="C30" s="58">
        <f>C27</f>
        <v>127.11666666666667</v>
      </c>
      <c r="D30" s="59">
        <f>D27</f>
        <v>2.2086956521739149</v>
      </c>
      <c r="E30" s="60">
        <v>125</v>
      </c>
      <c r="F30" s="61" t="s">
        <v>118</v>
      </c>
      <c r="G30" s="62">
        <v>1.1299999999999999</v>
      </c>
    </row>
    <row r="31" spans="2:12" ht="14" thickBot="1">
      <c r="B31" s="63" t="s">
        <v>135</v>
      </c>
      <c r="C31" s="64">
        <f>$C$27-((3*($D$27/$G$30)))</f>
        <v>121.25287289983328</v>
      </c>
      <c r="D31" s="65">
        <f>G29*D27</f>
        <v>0</v>
      </c>
      <c r="E31" s="66">
        <f>+E30-5</f>
        <v>120</v>
      </c>
      <c r="F31" s="67" t="s">
        <v>142</v>
      </c>
      <c r="G31" s="68">
        <f>D27/G30</f>
        <v>1.9545979222778009</v>
      </c>
    </row>
    <row r="32" spans="2:12" ht="14" thickBot="1"/>
    <row r="33" spans="2:12">
      <c r="B33" s="69" t="s">
        <v>49</v>
      </c>
      <c r="C33" s="70">
        <f>(E29-E31)/(6*G31)</f>
        <v>0.85269028871390995</v>
      </c>
      <c r="D33" s="71" t="s">
        <v>28</v>
      </c>
      <c r="E33" s="22" t="s">
        <v>27</v>
      </c>
      <c r="F33" s="45"/>
      <c r="G33" s="45"/>
      <c r="H33" s="45"/>
      <c r="I33" s="45"/>
      <c r="J33" s="45"/>
    </row>
    <row r="34" spans="2:12">
      <c r="B34" s="72" t="s">
        <v>50</v>
      </c>
      <c r="C34" s="73">
        <f>MIN(D34,E34)</f>
        <v>0.49171806649168676</v>
      </c>
      <c r="D34" s="74">
        <f>(C27-E31)/(3*G31)</f>
        <v>1.213662510936133</v>
      </c>
      <c r="E34" s="23">
        <f>(E29-C27)/(3*G31)</f>
        <v>0.49171806649168676</v>
      </c>
      <c r="F34" s="45"/>
      <c r="G34" s="45"/>
      <c r="H34" s="45"/>
      <c r="I34" s="45"/>
      <c r="J34" s="45"/>
    </row>
    <row r="35" spans="2:12" ht="14" thickBot="1">
      <c r="B35" s="75" t="s">
        <v>51</v>
      </c>
      <c r="C35" s="76">
        <f>(E29-E31)/(6*F36)</f>
        <v>0.57848297824546879</v>
      </c>
      <c r="D35" s="45"/>
      <c r="E35" s="45"/>
      <c r="F35" s="45"/>
      <c r="G35" s="45"/>
      <c r="H35" s="45"/>
      <c r="I35" s="45"/>
      <c r="J35" s="45"/>
    </row>
    <row r="36" spans="2:12">
      <c r="B36" s="77" t="s">
        <v>143</v>
      </c>
      <c r="C36" s="15">
        <f>POWER(G31,2)</f>
        <v>3.8204530377726962</v>
      </c>
      <c r="D36" s="15">
        <f>POWER(C27-E30,2)</f>
        <v>4.4802777777778102</v>
      </c>
      <c r="E36" s="15">
        <f>+C36+D36</f>
        <v>8.3007308155505068</v>
      </c>
      <c r="F36" s="15">
        <f>SQRT(E36)</f>
        <v>2.8810988902761574</v>
      </c>
      <c r="G36" s="45"/>
      <c r="H36" s="45"/>
      <c r="I36" s="45"/>
      <c r="J36" s="45"/>
    </row>
    <row r="37" spans="2:12">
      <c r="B37" s="45"/>
      <c r="C37" s="45"/>
      <c r="D37" s="45"/>
      <c r="E37" s="45"/>
      <c r="F37" s="45"/>
      <c r="G37" s="45"/>
      <c r="H37" s="45"/>
      <c r="I37" s="45"/>
      <c r="J37" s="45"/>
    </row>
    <row r="38" spans="2:12" ht="13" customHeight="1">
      <c r="B38" s="169" t="s">
        <v>144</v>
      </c>
      <c r="C38" s="169"/>
      <c r="D38" s="169"/>
      <c r="E38" s="169"/>
      <c r="F38" s="169"/>
      <c r="G38" s="169"/>
      <c r="H38" s="169"/>
      <c r="I38" s="169"/>
      <c r="J38" s="169"/>
      <c r="K38" s="169"/>
      <c r="L38" s="169"/>
    </row>
    <row r="39" spans="2:12">
      <c r="B39" s="169"/>
      <c r="C39" s="169"/>
      <c r="D39" s="169"/>
      <c r="E39" s="169"/>
      <c r="F39" s="169"/>
      <c r="G39" s="169"/>
      <c r="H39" s="169"/>
      <c r="I39" s="169"/>
      <c r="J39" s="169"/>
      <c r="K39" s="169"/>
      <c r="L39" s="169"/>
    </row>
    <row r="40" spans="2:12">
      <c r="B40" s="169"/>
      <c r="C40" s="169"/>
      <c r="D40" s="169"/>
      <c r="E40" s="169"/>
      <c r="F40" s="169"/>
      <c r="G40" s="169"/>
      <c r="H40" s="169"/>
      <c r="I40" s="169"/>
      <c r="J40" s="169"/>
      <c r="K40" s="169"/>
      <c r="L40" s="169"/>
    </row>
    <row r="41" spans="2:12">
      <c r="B41" s="169"/>
      <c r="C41" s="169"/>
      <c r="D41" s="169"/>
      <c r="E41" s="169"/>
      <c r="F41" s="169"/>
      <c r="G41" s="169"/>
      <c r="H41" s="169"/>
      <c r="I41" s="169"/>
      <c r="J41" s="169"/>
      <c r="K41" s="169"/>
      <c r="L41" s="169"/>
    </row>
    <row r="42" spans="2:12">
      <c r="B42" s="169"/>
      <c r="C42" s="169"/>
      <c r="D42" s="169"/>
      <c r="E42" s="169"/>
      <c r="F42" s="169"/>
      <c r="G42" s="169"/>
      <c r="H42" s="169"/>
      <c r="I42" s="169"/>
      <c r="J42" s="169"/>
      <c r="K42" s="169"/>
      <c r="L42" s="169"/>
    </row>
    <row r="43" spans="2:12">
      <c r="B43" s="169"/>
      <c r="C43" s="169"/>
      <c r="D43" s="169"/>
      <c r="E43" s="169"/>
      <c r="F43" s="169"/>
      <c r="G43" s="169"/>
      <c r="H43" s="169"/>
      <c r="I43" s="169"/>
      <c r="J43" s="169"/>
      <c r="K43" s="169"/>
      <c r="L43" s="169"/>
    </row>
    <row r="44" spans="2:12">
      <c r="B44" s="169"/>
      <c r="C44" s="169"/>
      <c r="D44" s="169"/>
      <c r="E44" s="169"/>
      <c r="F44" s="169"/>
      <c r="G44" s="169"/>
      <c r="H44" s="169"/>
      <c r="I44" s="169"/>
      <c r="J44" s="169"/>
      <c r="K44" s="169"/>
      <c r="L44" s="169"/>
    </row>
    <row r="45" spans="2:12">
      <c r="B45" s="169"/>
      <c r="C45" s="169"/>
      <c r="D45" s="169"/>
      <c r="E45" s="169"/>
      <c r="F45" s="169"/>
      <c r="G45" s="169"/>
      <c r="H45" s="169"/>
      <c r="I45" s="169"/>
      <c r="J45" s="169"/>
      <c r="K45" s="169"/>
      <c r="L45" s="169"/>
    </row>
    <row r="46" spans="2:12">
      <c r="B46" s="169"/>
      <c r="C46" s="169"/>
      <c r="D46" s="169"/>
      <c r="E46" s="169"/>
      <c r="F46" s="169"/>
      <c r="G46" s="169"/>
      <c r="H46" s="169"/>
      <c r="I46" s="169"/>
      <c r="J46" s="169"/>
      <c r="K46" s="169"/>
      <c r="L46" s="169"/>
    </row>
    <row r="47" spans="2:12">
      <c r="B47" s="169"/>
      <c r="C47" s="169"/>
      <c r="D47" s="169"/>
      <c r="E47" s="169"/>
      <c r="F47" s="169"/>
      <c r="G47" s="169"/>
      <c r="H47" s="169"/>
      <c r="I47" s="169"/>
      <c r="J47" s="169"/>
      <c r="K47" s="169"/>
      <c r="L47" s="169"/>
    </row>
    <row r="48" spans="2:12">
      <c r="B48" s="169"/>
      <c r="C48" s="169"/>
      <c r="D48" s="169"/>
      <c r="E48" s="169"/>
      <c r="F48" s="169"/>
      <c r="G48" s="169"/>
      <c r="H48" s="169"/>
      <c r="I48" s="169"/>
      <c r="J48" s="169"/>
      <c r="K48" s="169"/>
      <c r="L48" s="169"/>
    </row>
  </sheetData>
  <mergeCells count="3">
    <mergeCell ref="F1:H1"/>
    <mergeCell ref="J1:L1"/>
    <mergeCell ref="B38:L48"/>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P37"/>
  <sheetViews>
    <sheetView workbookViewId="0">
      <selection activeCell="N23" sqref="N23"/>
    </sheetView>
  </sheetViews>
  <sheetFormatPr baseColWidth="10" defaultRowHeight="16"/>
  <cols>
    <col min="1" max="1" width="6.83203125" customWidth="1"/>
    <col min="2" max="2" width="12.1640625" customWidth="1"/>
    <col min="11" max="11" width="5.6640625" customWidth="1"/>
    <col min="12" max="12" width="26.6640625" customWidth="1"/>
    <col min="13" max="13" width="5.83203125" customWidth="1"/>
    <col min="14" max="14" width="29.6640625" customWidth="1"/>
    <col min="24" max="24" width="21.1640625" customWidth="1"/>
  </cols>
  <sheetData>
    <row r="1" spans="2:16" ht="17" thickBot="1"/>
    <row r="2" spans="2:16" ht="16" customHeight="1">
      <c r="B2" s="170" t="s">
        <v>145</v>
      </c>
      <c r="C2" s="171"/>
      <c r="D2" s="172"/>
      <c r="L2" s="78"/>
      <c r="N2" s="79"/>
      <c r="O2" s="79"/>
      <c r="P2" s="79"/>
    </row>
    <row r="3" spans="2:16" ht="17" customHeight="1">
      <c r="B3" s="173"/>
      <c r="C3" s="174"/>
      <c r="D3" s="175"/>
      <c r="L3" s="78"/>
      <c r="N3" s="80"/>
      <c r="O3" s="80"/>
      <c r="P3" s="80"/>
    </row>
    <row r="4" spans="2:16" ht="17" customHeight="1">
      <c r="B4" s="173"/>
      <c r="C4" s="174"/>
      <c r="D4" s="175"/>
      <c r="L4" s="78"/>
      <c r="N4" s="81"/>
      <c r="O4" s="82"/>
      <c r="P4" s="83"/>
    </row>
    <row r="5" spans="2:16" ht="17" customHeight="1">
      <c r="B5" s="173"/>
      <c r="C5" s="174"/>
      <c r="D5" s="175"/>
      <c r="L5" s="78"/>
      <c r="N5" s="81"/>
      <c r="O5" s="82"/>
      <c r="P5" s="83"/>
    </row>
    <row r="6" spans="2:16" ht="17" customHeight="1">
      <c r="B6" s="173"/>
      <c r="C6" s="174"/>
      <c r="D6" s="175"/>
      <c r="L6" s="78"/>
      <c r="N6" s="81"/>
      <c r="O6" s="82"/>
      <c r="P6" s="83"/>
    </row>
    <row r="7" spans="2:16" ht="18" customHeight="1">
      <c r="B7" s="173"/>
      <c r="C7" s="174"/>
      <c r="D7" s="175"/>
      <c r="L7" s="78"/>
      <c r="N7" s="81"/>
      <c r="O7" s="82"/>
      <c r="P7" s="83"/>
    </row>
    <row r="8" spans="2:16" ht="15" customHeight="1">
      <c r="B8" s="173"/>
      <c r="C8" s="174"/>
      <c r="D8" s="175"/>
      <c r="L8" s="78"/>
    </row>
    <row r="9" spans="2:16" ht="15" customHeight="1">
      <c r="B9" s="173"/>
      <c r="C9" s="174"/>
      <c r="D9" s="175"/>
      <c r="L9" s="78"/>
    </row>
    <row r="10" spans="2:16" ht="15" customHeight="1">
      <c r="B10" s="173"/>
      <c r="C10" s="174"/>
      <c r="D10" s="175"/>
      <c r="L10" s="78"/>
    </row>
    <row r="11" spans="2:16" ht="15" customHeight="1">
      <c r="B11" s="173"/>
      <c r="C11" s="174"/>
      <c r="D11" s="175"/>
      <c r="L11" s="78"/>
    </row>
    <row r="12" spans="2:16" ht="15" customHeight="1">
      <c r="B12" s="173"/>
      <c r="C12" s="174"/>
      <c r="D12" s="175"/>
      <c r="L12" s="78"/>
    </row>
    <row r="13" spans="2:16" ht="15" customHeight="1">
      <c r="B13" s="173"/>
      <c r="C13" s="174"/>
      <c r="D13" s="175"/>
      <c r="L13" s="78"/>
    </row>
    <row r="14" spans="2:16" ht="15" customHeight="1">
      <c r="B14" s="173"/>
      <c r="C14" s="174"/>
      <c r="D14" s="175"/>
      <c r="L14" s="78"/>
    </row>
    <row r="15" spans="2:16" ht="15" customHeight="1">
      <c r="B15" s="173"/>
      <c r="C15" s="174"/>
      <c r="D15" s="175"/>
      <c r="L15" s="78"/>
    </row>
    <row r="16" spans="2:16" ht="15" customHeight="1">
      <c r="B16" s="173"/>
      <c r="C16" s="174"/>
      <c r="D16" s="175"/>
      <c r="L16" s="78"/>
    </row>
    <row r="17" spans="2:12" ht="15" customHeight="1">
      <c r="B17" s="173"/>
      <c r="C17" s="174"/>
      <c r="D17" s="175"/>
      <c r="L17" s="78"/>
    </row>
    <row r="18" spans="2:12" ht="16" customHeight="1" thickBot="1">
      <c r="B18" s="176"/>
      <c r="C18" s="177"/>
      <c r="D18" s="178"/>
      <c r="L18" s="78"/>
    </row>
    <row r="19" spans="2:12" ht="15" customHeight="1">
      <c r="L19" s="78"/>
    </row>
    <row r="20" spans="2:12" ht="16" customHeight="1" thickBot="1">
      <c r="L20" s="78"/>
    </row>
    <row r="21" spans="2:12" ht="15" customHeight="1">
      <c r="B21" s="179" t="s">
        <v>146</v>
      </c>
      <c r="C21" s="180"/>
      <c r="D21" s="181"/>
      <c r="L21" s="78"/>
    </row>
    <row r="22" spans="2:12" ht="15" customHeight="1">
      <c r="B22" s="182"/>
      <c r="C22" s="183"/>
      <c r="D22" s="184"/>
      <c r="L22" s="78"/>
    </row>
    <row r="23" spans="2:12" ht="15" customHeight="1">
      <c r="B23" s="182"/>
      <c r="C23" s="183"/>
      <c r="D23" s="184"/>
      <c r="L23" s="78"/>
    </row>
    <row r="24" spans="2:12" ht="15" customHeight="1">
      <c r="B24" s="182"/>
      <c r="C24" s="183"/>
      <c r="D24" s="184"/>
      <c r="L24" s="78"/>
    </row>
    <row r="25" spans="2:12" ht="15" customHeight="1">
      <c r="B25" s="182"/>
      <c r="C25" s="183"/>
      <c r="D25" s="184"/>
      <c r="L25" s="78"/>
    </row>
    <row r="26" spans="2:12" ht="16" customHeight="1">
      <c r="B26" s="182"/>
      <c r="C26" s="183"/>
      <c r="D26" s="184"/>
      <c r="L26" s="78"/>
    </row>
    <row r="27" spans="2:12">
      <c r="B27" s="182"/>
      <c r="C27" s="183"/>
      <c r="D27" s="184"/>
    </row>
    <row r="28" spans="2:12">
      <c r="B28" s="182"/>
      <c r="C28" s="183"/>
      <c r="D28" s="184"/>
    </row>
    <row r="29" spans="2:12">
      <c r="B29" s="182"/>
      <c r="C29" s="183"/>
      <c r="D29" s="184"/>
    </row>
    <row r="30" spans="2:12">
      <c r="B30" s="182"/>
      <c r="C30" s="183"/>
      <c r="D30" s="184"/>
    </row>
    <row r="31" spans="2:12">
      <c r="B31" s="182"/>
      <c r="C31" s="183"/>
      <c r="D31" s="184"/>
    </row>
    <row r="32" spans="2:12">
      <c r="B32" s="182"/>
      <c r="C32" s="183"/>
      <c r="D32" s="184"/>
    </row>
    <row r="33" spans="2:4">
      <c r="B33" s="182"/>
      <c r="C33" s="183"/>
      <c r="D33" s="184"/>
    </row>
    <row r="34" spans="2:4">
      <c r="B34" s="182"/>
      <c r="C34" s="183"/>
      <c r="D34" s="184"/>
    </row>
    <row r="35" spans="2:4">
      <c r="B35" s="182"/>
      <c r="C35" s="183"/>
      <c r="D35" s="184"/>
    </row>
    <row r="36" spans="2:4">
      <c r="B36" s="182"/>
      <c r="C36" s="183"/>
      <c r="D36" s="184"/>
    </row>
    <row r="37" spans="2:4" ht="17" thickBot="1">
      <c r="B37" s="185"/>
      <c r="C37" s="186"/>
      <c r="D37" s="187"/>
    </row>
  </sheetData>
  <mergeCells count="2">
    <mergeCell ref="B2:D18"/>
    <mergeCell ref="B21:D3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O32"/>
  <sheetViews>
    <sheetView topLeftCell="D1" workbookViewId="0">
      <selection activeCell="E13" sqref="E13"/>
    </sheetView>
  </sheetViews>
  <sheetFormatPr baseColWidth="10" defaultRowHeight="16"/>
  <cols>
    <col min="1" max="3" width="0" hidden="1" customWidth="1"/>
    <col min="5" max="5" width="18.83203125" bestFit="1" customWidth="1"/>
    <col min="6" max="15" width="6.1640625" customWidth="1"/>
  </cols>
  <sheetData>
    <row r="2" spans="2:15">
      <c r="B2" t="s">
        <v>147</v>
      </c>
      <c r="C2" t="s">
        <v>148</v>
      </c>
      <c r="E2" s="84" t="s">
        <v>147</v>
      </c>
      <c r="F2" s="85">
        <v>1</v>
      </c>
      <c r="G2" s="85">
        <v>2</v>
      </c>
      <c r="H2" s="85">
        <v>3</v>
      </c>
      <c r="I2" s="85">
        <v>4</v>
      </c>
      <c r="J2" s="85">
        <v>5</v>
      </c>
      <c r="K2" s="85">
        <v>6</v>
      </c>
      <c r="L2" s="85">
        <v>7</v>
      </c>
      <c r="M2" s="85">
        <v>8</v>
      </c>
      <c r="N2" s="85">
        <v>9</v>
      </c>
      <c r="O2" s="85">
        <v>10</v>
      </c>
    </row>
    <row r="3" spans="2:15">
      <c r="B3">
        <v>1</v>
      </c>
      <c r="C3">
        <v>4</v>
      </c>
      <c r="E3" s="84" t="s">
        <v>148</v>
      </c>
      <c r="F3" s="86">
        <v>4</v>
      </c>
      <c r="G3" s="86">
        <v>3</v>
      </c>
      <c r="H3" s="86">
        <v>5</v>
      </c>
      <c r="I3" s="86">
        <v>3</v>
      </c>
      <c r="J3" s="86">
        <v>2</v>
      </c>
      <c r="K3" s="86">
        <v>2</v>
      </c>
      <c r="L3" s="86">
        <v>2</v>
      </c>
      <c r="M3" s="86">
        <v>1</v>
      </c>
      <c r="N3" s="86">
        <v>4</v>
      </c>
      <c r="O3" s="86">
        <v>3</v>
      </c>
    </row>
    <row r="4" spans="2:15">
      <c r="B4">
        <v>2</v>
      </c>
      <c r="C4">
        <v>3</v>
      </c>
      <c r="E4" s="84" t="s">
        <v>147</v>
      </c>
      <c r="F4" s="85">
        <v>11</v>
      </c>
      <c r="G4" s="85">
        <v>12</v>
      </c>
      <c r="H4" s="85">
        <v>13</v>
      </c>
      <c r="I4" s="85">
        <v>14</v>
      </c>
      <c r="J4" s="85">
        <v>15</v>
      </c>
      <c r="K4" s="85">
        <v>16</v>
      </c>
      <c r="L4" s="85">
        <v>17</v>
      </c>
      <c r="M4" s="85">
        <v>18</v>
      </c>
      <c r="N4" s="85">
        <v>19</v>
      </c>
      <c r="O4" s="85">
        <v>20</v>
      </c>
    </row>
    <row r="5" spans="2:15">
      <c r="B5">
        <v>3</v>
      </c>
      <c r="C5">
        <v>5</v>
      </c>
      <c r="E5" s="84" t="s">
        <v>148</v>
      </c>
      <c r="F5" s="86">
        <v>2</v>
      </c>
      <c r="G5" s="86">
        <v>4</v>
      </c>
      <c r="H5" s="86">
        <v>1</v>
      </c>
      <c r="I5" s="86">
        <v>2</v>
      </c>
      <c r="J5" s="86">
        <v>3</v>
      </c>
      <c r="K5" s="86">
        <v>1</v>
      </c>
      <c r="L5" s="86">
        <v>1</v>
      </c>
      <c r="M5" s="86">
        <v>2</v>
      </c>
      <c r="N5" s="86">
        <v>3</v>
      </c>
      <c r="O5" s="86">
        <v>1</v>
      </c>
    </row>
    <row r="6" spans="2:15">
      <c r="B6">
        <v>4</v>
      </c>
      <c r="C6">
        <v>3</v>
      </c>
      <c r="E6" s="84" t="s">
        <v>147</v>
      </c>
      <c r="F6" s="85">
        <v>21</v>
      </c>
      <c r="G6" s="85">
        <v>22</v>
      </c>
      <c r="H6" s="85">
        <v>23</v>
      </c>
      <c r="I6" s="85">
        <v>24</v>
      </c>
      <c r="J6" s="85">
        <v>25</v>
      </c>
      <c r="K6" s="85">
        <v>26</v>
      </c>
      <c r="L6" s="85">
        <v>27</v>
      </c>
      <c r="M6" s="85">
        <v>28</v>
      </c>
      <c r="N6" s="85">
        <v>29</v>
      </c>
      <c r="O6" s="85">
        <v>30</v>
      </c>
    </row>
    <row r="7" spans="2:15">
      <c r="B7">
        <v>5</v>
      </c>
      <c r="C7">
        <v>2</v>
      </c>
      <c r="E7" s="84" t="s">
        <v>148</v>
      </c>
      <c r="F7" s="86">
        <v>5</v>
      </c>
      <c r="G7" s="86">
        <v>3</v>
      </c>
      <c r="H7" s="86">
        <v>4</v>
      </c>
      <c r="I7" s="86">
        <v>2</v>
      </c>
      <c r="J7" s="86">
        <v>1</v>
      </c>
      <c r="K7" s="86">
        <v>1</v>
      </c>
      <c r="L7" s="86">
        <v>4</v>
      </c>
      <c r="M7" s="86">
        <v>3</v>
      </c>
      <c r="N7" s="86">
        <v>2</v>
      </c>
      <c r="O7" s="86">
        <v>3</v>
      </c>
    </row>
    <row r="8" spans="2:15">
      <c r="B8">
        <v>6</v>
      </c>
      <c r="C8">
        <v>2</v>
      </c>
    </row>
    <row r="9" spans="2:15">
      <c r="B9">
        <v>7</v>
      </c>
      <c r="C9">
        <v>2</v>
      </c>
    </row>
    <row r="10" spans="2:15">
      <c r="B10">
        <v>8</v>
      </c>
      <c r="C10">
        <v>1</v>
      </c>
      <c r="E10" s="87" t="s">
        <v>149</v>
      </c>
    </row>
    <row r="11" spans="2:15">
      <c r="B11">
        <v>9</v>
      </c>
      <c r="C11">
        <v>4</v>
      </c>
      <c r="E11" s="87" t="s">
        <v>150</v>
      </c>
    </row>
    <row r="12" spans="2:15">
      <c r="B12">
        <v>10</v>
      </c>
      <c r="C12">
        <v>3</v>
      </c>
      <c r="E12" s="87"/>
    </row>
    <row r="13" spans="2:15">
      <c r="B13">
        <v>11</v>
      </c>
      <c r="C13">
        <v>2</v>
      </c>
    </row>
    <row r="14" spans="2:15">
      <c r="B14">
        <v>12</v>
      </c>
      <c r="C14">
        <v>4</v>
      </c>
    </row>
    <row r="15" spans="2:15">
      <c r="B15">
        <v>13</v>
      </c>
      <c r="C15">
        <v>1</v>
      </c>
    </row>
    <row r="16" spans="2:15">
      <c r="B16">
        <v>14</v>
      </c>
      <c r="C16">
        <v>2</v>
      </c>
    </row>
    <row r="17" spans="2:3">
      <c r="B17">
        <v>15</v>
      </c>
      <c r="C17">
        <v>3</v>
      </c>
    </row>
    <row r="18" spans="2:3">
      <c r="B18">
        <v>16</v>
      </c>
      <c r="C18">
        <v>1</v>
      </c>
    </row>
    <row r="19" spans="2:3">
      <c r="B19">
        <v>17</v>
      </c>
      <c r="C19">
        <v>1</v>
      </c>
    </row>
    <row r="20" spans="2:3">
      <c r="B20">
        <v>18</v>
      </c>
      <c r="C20">
        <v>2</v>
      </c>
    </row>
    <row r="21" spans="2:3">
      <c r="B21">
        <v>19</v>
      </c>
      <c r="C21">
        <v>3</v>
      </c>
    </row>
    <row r="22" spans="2:3">
      <c r="B22">
        <v>20</v>
      </c>
      <c r="C22">
        <v>1</v>
      </c>
    </row>
    <row r="23" spans="2:3">
      <c r="B23">
        <v>21</v>
      </c>
      <c r="C23">
        <v>5</v>
      </c>
    </row>
    <row r="24" spans="2:3">
      <c r="B24">
        <v>22</v>
      </c>
      <c r="C24">
        <v>3</v>
      </c>
    </row>
    <row r="25" spans="2:3">
      <c r="B25">
        <v>23</v>
      </c>
      <c r="C25">
        <v>4</v>
      </c>
    </row>
    <row r="26" spans="2:3">
      <c r="B26">
        <v>24</v>
      </c>
      <c r="C26">
        <v>2</v>
      </c>
    </row>
    <row r="27" spans="2:3">
      <c r="B27">
        <v>25</v>
      </c>
      <c r="C27">
        <v>1</v>
      </c>
    </row>
    <row r="28" spans="2:3">
      <c r="B28">
        <v>26</v>
      </c>
      <c r="C28">
        <v>1</v>
      </c>
    </row>
    <row r="29" spans="2:3">
      <c r="B29">
        <v>27</v>
      </c>
      <c r="C29">
        <v>4</v>
      </c>
    </row>
    <row r="30" spans="2:3">
      <c r="B30">
        <v>28</v>
      </c>
      <c r="C30">
        <v>3</v>
      </c>
    </row>
    <row r="31" spans="2:3">
      <c r="B31">
        <v>29</v>
      </c>
      <c r="C31">
        <v>2</v>
      </c>
    </row>
    <row r="32" spans="2:3">
      <c r="B32">
        <v>30</v>
      </c>
      <c r="C32">
        <v>3</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B18"/>
  <sheetViews>
    <sheetView workbookViewId="0">
      <selection activeCell="S25" sqref="S25"/>
    </sheetView>
  </sheetViews>
  <sheetFormatPr baseColWidth="10" defaultRowHeight="16"/>
  <cols>
    <col min="2" max="2" width="14.33203125" bestFit="1" customWidth="1"/>
    <col min="6" max="6" width="12.33203125" bestFit="1" customWidth="1"/>
  </cols>
  <sheetData>
    <row r="2" spans="2:28">
      <c r="B2" s="88" t="s">
        <v>151</v>
      </c>
      <c r="C2" s="89">
        <v>1</v>
      </c>
      <c r="D2" s="89">
        <v>2</v>
      </c>
      <c r="E2" s="89">
        <v>3</v>
      </c>
      <c r="F2" s="89">
        <v>4</v>
      </c>
      <c r="G2" s="89">
        <v>5</v>
      </c>
      <c r="H2" s="89">
        <v>6</v>
      </c>
      <c r="I2" s="89">
        <v>7</v>
      </c>
      <c r="J2" s="89">
        <v>8</v>
      </c>
      <c r="K2" s="89">
        <v>9</v>
      </c>
      <c r="L2" s="89">
        <v>10</v>
      </c>
      <c r="M2" s="89">
        <v>11</v>
      </c>
      <c r="N2" s="89">
        <v>12</v>
      </c>
      <c r="O2" s="89">
        <v>13</v>
      </c>
      <c r="P2" s="89">
        <v>14</v>
      </c>
      <c r="Q2" s="89">
        <v>15</v>
      </c>
      <c r="R2" s="89">
        <v>16</v>
      </c>
      <c r="S2" s="89">
        <v>17</v>
      </c>
      <c r="T2" s="89">
        <v>18</v>
      </c>
      <c r="U2" s="89">
        <v>19</v>
      </c>
      <c r="V2" s="89">
        <v>20</v>
      </c>
      <c r="W2" s="89">
        <v>21</v>
      </c>
      <c r="X2" s="89">
        <v>22</v>
      </c>
      <c r="Y2" s="89">
        <v>23</v>
      </c>
      <c r="Z2" s="89">
        <v>24</v>
      </c>
      <c r="AA2" s="89">
        <v>25</v>
      </c>
      <c r="AB2" s="89" t="s">
        <v>139</v>
      </c>
    </row>
    <row r="3" spans="2:28">
      <c r="B3" s="88" t="s">
        <v>74</v>
      </c>
      <c r="C3" s="90">
        <v>214.18</v>
      </c>
      <c r="D3" s="90">
        <v>213.48</v>
      </c>
      <c r="E3" s="90">
        <v>213.98</v>
      </c>
      <c r="F3" s="90">
        <v>214.12</v>
      </c>
      <c r="G3" s="90">
        <v>214.46</v>
      </c>
      <c r="H3" s="90">
        <v>213.38</v>
      </c>
      <c r="I3" s="90">
        <v>213.56</v>
      </c>
      <c r="J3" s="90">
        <v>214.08</v>
      </c>
      <c r="K3" s="90">
        <v>213.72</v>
      </c>
      <c r="L3" s="90">
        <v>214.64</v>
      </c>
      <c r="M3" s="90">
        <v>213.92</v>
      </c>
      <c r="N3" s="90">
        <v>213.96</v>
      </c>
      <c r="O3" s="90">
        <v>214.2</v>
      </c>
      <c r="P3" s="90">
        <v>213.74</v>
      </c>
      <c r="Q3" s="90">
        <v>214.26</v>
      </c>
      <c r="R3" s="90">
        <v>214.18</v>
      </c>
      <c r="S3" s="90">
        <v>214</v>
      </c>
      <c r="T3" s="90">
        <v>213.6</v>
      </c>
      <c r="U3" s="90">
        <v>214.2</v>
      </c>
      <c r="V3" s="90">
        <v>214.38</v>
      </c>
      <c r="W3" s="90">
        <v>213.78</v>
      </c>
      <c r="X3" s="90">
        <v>213.74</v>
      </c>
      <c r="Y3" s="90">
        <v>213.32</v>
      </c>
      <c r="Z3" s="90">
        <v>214.02</v>
      </c>
      <c r="AA3" s="90">
        <v>214.24</v>
      </c>
      <c r="AB3" s="91">
        <f>AVERAGE(C3:AA3)</f>
        <v>213.96559999999997</v>
      </c>
    </row>
    <row r="4" spans="2:28">
      <c r="B4" s="88" t="s">
        <v>34</v>
      </c>
      <c r="C4" s="90">
        <v>2.5</v>
      </c>
      <c r="D4" s="90">
        <v>2.7</v>
      </c>
      <c r="E4" s="90">
        <v>2.2000000000000002</v>
      </c>
      <c r="F4" s="90">
        <v>1.8</v>
      </c>
      <c r="G4" s="90">
        <v>2.5</v>
      </c>
      <c r="H4" s="90">
        <v>2.7</v>
      </c>
      <c r="I4" s="90">
        <v>2.2999999999999998</v>
      </c>
      <c r="J4" s="90">
        <v>1.8</v>
      </c>
      <c r="K4" s="90">
        <v>2.9</v>
      </c>
      <c r="L4" s="90">
        <v>2.2000000000000002</v>
      </c>
      <c r="M4" s="90">
        <v>2.4</v>
      </c>
      <c r="N4" s="90">
        <v>3.6</v>
      </c>
      <c r="O4" s="90">
        <v>0.4</v>
      </c>
      <c r="P4" s="90">
        <v>3.2</v>
      </c>
      <c r="Q4" s="90">
        <v>1.2</v>
      </c>
      <c r="R4" s="90">
        <v>2.2000000000000002</v>
      </c>
      <c r="S4" s="90">
        <v>1</v>
      </c>
      <c r="T4" s="90">
        <v>2</v>
      </c>
      <c r="U4" s="90">
        <v>2.7</v>
      </c>
      <c r="V4" s="90">
        <v>0.8</v>
      </c>
      <c r="W4" s="90">
        <v>2</v>
      </c>
      <c r="X4" s="90">
        <v>1.6</v>
      </c>
      <c r="Y4" s="90">
        <v>2.4</v>
      </c>
      <c r="Z4" s="90">
        <v>3.2</v>
      </c>
      <c r="AA4" s="90">
        <v>1.1000000000000001</v>
      </c>
      <c r="AB4" s="91">
        <f>AVERAGE(C4:AA4)</f>
        <v>2.1360000000000006</v>
      </c>
    </row>
    <row r="6" spans="2:28" ht="17" thickBot="1"/>
    <row r="7" spans="2:28" ht="26">
      <c r="B7" s="197" t="s">
        <v>68</v>
      </c>
      <c r="C7" s="92" t="s">
        <v>152</v>
      </c>
      <c r="D7" s="93">
        <v>218</v>
      </c>
      <c r="E7" s="94"/>
      <c r="F7" s="94"/>
      <c r="G7" s="95">
        <f>AB4</f>
        <v>2.1360000000000006</v>
      </c>
      <c r="H7" s="96" t="s">
        <v>153</v>
      </c>
      <c r="I7" s="95">
        <f>G7/2.06</f>
        <v>1.0368932038834955</v>
      </c>
      <c r="J7" s="97"/>
      <c r="K7" s="97"/>
      <c r="L7" s="200" t="s">
        <v>50</v>
      </c>
      <c r="M7" s="201" t="s">
        <v>154</v>
      </c>
      <c r="N7" s="202"/>
      <c r="O7" s="202" t="s">
        <v>155</v>
      </c>
      <c r="P7" s="205"/>
    </row>
    <row r="8" spans="2:28" ht="21">
      <c r="B8" s="198"/>
      <c r="C8" s="98" t="s">
        <v>156</v>
      </c>
      <c r="D8" s="99">
        <v>215</v>
      </c>
      <c r="E8" s="94"/>
      <c r="F8" s="94"/>
      <c r="G8" s="100">
        <f>AB3</f>
        <v>213.96559999999997</v>
      </c>
      <c r="H8" s="101"/>
      <c r="I8" s="97"/>
      <c r="J8" s="97"/>
      <c r="K8" s="97"/>
      <c r="L8" s="200"/>
      <c r="M8" s="203"/>
      <c r="N8" s="204"/>
      <c r="O8" s="204"/>
      <c r="P8" s="206"/>
    </row>
    <row r="9" spans="2:28" ht="22" thickBot="1">
      <c r="B9" s="199"/>
      <c r="C9" s="102" t="s">
        <v>157</v>
      </c>
      <c r="D9" s="103">
        <v>212</v>
      </c>
      <c r="E9" s="94"/>
      <c r="F9" s="101"/>
      <c r="G9" s="101"/>
      <c r="H9" s="101"/>
      <c r="I9" s="101"/>
      <c r="J9" s="101"/>
      <c r="K9" s="101"/>
      <c r="L9" s="200"/>
      <c r="M9" s="203"/>
      <c r="N9" s="204"/>
      <c r="O9" s="204"/>
      <c r="P9" s="206"/>
    </row>
    <row r="10" spans="2:28" ht="21">
      <c r="B10" s="94"/>
      <c r="C10" s="94"/>
      <c r="D10" s="94"/>
      <c r="E10" s="94"/>
      <c r="F10" s="104" t="s">
        <v>158</v>
      </c>
      <c r="G10" s="93">
        <f>(D7-D9)/(6*I7)</f>
        <v>0.9644194756554304</v>
      </c>
      <c r="H10" s="101"/>
      <c r="I10" s="101"/>
      <c r="J10" s="101"/>
      <c r="K10" s="101"/>
      <c r="L10" s="200"/>
      <c r="M10" s="203" t="s">
        <v>159</v>
      </c>
      <c r="N10" s="204"/>
      <c r="O10" s="204" t="s">
        <v>160</v>
      </c>
      <c r="P10" s="206"/>
    </row>
    <row r="11" spans="2:28" ht="21">
      <c r="B11" s="94"/>
      <c r="C11" s="94"/>
      <c r="D11" s="94"/>
      <c r="E11" s="94"/>
      <c r="F11" s="105" t="s">
        <v>161</v>
      </c>
      <c r="G11" s="99">
        <f>MIN(H11:I11)</f>
        <v>0.63188764044942725</v>
      </c>
      <c r="H11" s="106">
        <f>(G8-D9)/(3*I7)</f>
        <v>0.63188764044942725</v>
      </c>
      <c r="I11" s="106">
        <f>(D7-G8)/(3*I7)</f>
        <v>1.2969513108614337</v>
      </c>
      <c r="J11" s="101"/>
      <c r="K11" s="101"/>
      <c r="L11" s="200"/>
      <c r="M11" s="203"/>
      <c r="N11" s="204"/>
      <c r="O11" s="204"/>
      <c r="P11" s="206"/>
    </row>
    <row r="12" spans="2:28" ht="21">
      <c r="B12" s="94"/>
      <c r="C12" s="94"/>
      <c r="D12" s="94"/>
      <c r="E12" s="94"/>
      <c r="F12" s="105" t="s">
        <v>162</v>
      </c>
      <c r="G12" s="99">
        <f>(D7-D9)/(6*I12)</f>
        <v>0.68276791292017924</v>
      </c>
      <c r="H12" s="107" t="s">
        <v>163</v>
      </c>
      <c r="I12" s="100">
        <f>SQRT((J12+K12))</f>
        <v>1.4646265313245728</v>
      </c>
      <c r="J12" s="95">
        <f>POWER(I7,2)</f>
        <v>1.0751475162597801</v>
      </c>
      <c r="K12" s="100">
        <f>POWER(G8-D8,2)</f>
        <v>1.0699833600000694</v>
      </c>
      <c r="L12" s="200"/>
      <c r="M12" s="207"/>
      <c r="N12" s="208"/>
      <c r="O12" s="208"/>
      <c r="P12" s="209"/>
    </row>
    <row r="13" spans="2:28" ht="20" customHeight="1" thickBot="1">
      <c r="B13" s="94"/>
      <c r="C13" s="94"/>
      <c r="D13" s="94"/>
      <c r="E13" s="94"/>
      <c r="F13" s="108" t="s">
        <v>164</v>
      </c>
      <c r="G13" s="109">
        <v>0</v>
      </c>
      <c r="H13" s="101"/>
      <c r="I13" s="101"/>
      <c r="J13" s="101"/>
      <c r="K13" s="101"/>
      <c r="L13" s="110"/>
      <c r="M13" s="110"/>
      <c r="N13" s="110"/>
      <c r="O13" s="110"/>
      <c r="P13" s="110" t="s">
        <v>47</v>
      </c>
    </row>
    <row r="14" spans="2:28" ht="15" customHeight="1">
      <c r="B14" s="188" t="s">
        <v>165</v>
      </c>
      <c r="C14" s="189"/>
      <c r="D14" s="189"/>
      <c r="E14" s="189"/>
      <c r="F14" s="189"/>
      <c r="G14" s="189"/>
      <c r="H14" s="189"/>
      <c r="I14" s="189"/>
      <c r="J14" s="189"/>
      <c r="K14" s="189"/>
      <c r="L14" s="189"/>
      <c r="M14" s="189"/>
      <c r="N14" s="189"/>
      <c r="O14" s="189"/>
      <c r="P14" s="190"/>
    </row>
    <row r="15" spans="2:28" ht="15" customHeight="1">
      <c r="B15" s="191"/>
      <c r="C15" s="192"/>
      <c r="D15" s="192"/>
      <c r="E15" s="192"/>
      <c r="F15" s="192"/>
      <c r="G15" s="192"/>
      <c r="H15" s="192"/>
      <c r="I15" s="192"/>
      <c r="J15" s="192"/>
      <c r="K15" s="192"/>
      <c r="L15" s="192"/>
      <c r="M15" s="192"/>
      <c r="N15" s="192"/>
      <c r="O15" s="192"/>
      <c r="P15" s="193"/>
    </row>
    <row r="16" spans="2:28">
      <c r="B16" s="191"/>
      <c r="C16" s="192"/>
      <c r="D16" s="192"/>
      <c r="E16" s="192"/>
      <c r="F16" s="192"/>
      <c r="G16" s="192"/>
      <c r="H16" s="192"/>
      <c r="I16" s="192"/>
      <c r="J16" s="192"/>
      <c r="K16" s="192"/>
      <c r="L16" s="192"/>
      <c r="M16" s="192"/>
      <c r="N16" s="192"/>
      <c r="O16" s="192"/>
      <c r="P16" s="193"/>
    </row>
    <row r="17" spans="2:16">
      <c r="B17" s="191"/>
      <c r="C17" s="192"/>
      <c r="D17" s="192"/>
      <c r="E17" s="192"/>
      <c r="F17" s="192"/>
      <c r="G17" s="192"/>
      <c r="H17" s="192"/>
      <c r="I17" s="192"/>
      <c r="J17" s="192"/>
      <c r="K17" s="192"/>
      <c r="L17" s="192"/>
      <c r="M17" s="192"/>
      <c r="N17" s="192"/>
      <c r="O17" s="192"/>
      <c r="P17" s="193"/>
    </row>
    <row r="18" spans="2:16" ht="17" thickBot="1">
      <c r="B18" s="194"/>
      <c r="C18" s="195"/>
      <c r="D18" s="195"/>
      <c r="E18" s="195"/>
      <c r="F18" s="195"/>
      <c r="G18" s="195"/>
      <c r="H18" s="195"/>
      <c r="I18" s="195"/>
      <c r="J18" s="195"/>
      <c r="K18" s="195"/>
      <c r="L18" s="195"/>
      <c r="M18" s="195"/>
      <c r="N18" s="195"/>
      <c r="O18" s="195"/>
      <c r="P18" s="196"/>
    </row>
  </sheetData>
  <mergeCells count="7">
    <mergeCell ref="B14:P18"/>
    <mergeCell ref="B7:B9"/>
    <mergeCell ref="L7:L12"/>
    <mergeCell ref="M7:N9"/>
    <mergeCell ref="O7:P9"/>
    <mergeCell ref="M10:N12"/>
    <mergeCell ref="O10:P12"/>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G46"/>
  <sheetViews>
    <sheetView zoomScale="125" workbookViewId="0">
      <selection activeCell="C44" sqref="C44"/>
    </sheetView>
  </sheetViews>
  <sheetFormatPr baseColWidth="10" defaultRowHeight="13"/>
  <cols>
    <col min="1" max="1" width="10.83203125" style="114"/>
    <col min="2" max="2" width="15.5" style="114" bestFit="1" customWidth="1"/>
    <col min="3" max="5" width="10.83203125" style="114"/>
    <col min="6" max="6" width="8" style="114" bestFit="1" customWidth="1"/>
    <col min="7" max="7" width="20.33203125" style="114" customWidth="1"/>
    <col min="8" max="16384" width="10.83203125" style="114"/>
  </cols>
  <sheetData>
    <row r="2" spans="2:4">
      <c r="B2" s="114" t="s">
        <v>166</v>
      </c>
      <c r="C2" s="114">
        <v>30</v>
      </c>
    </row>
    <row r="3" spans="2:4">
      <c r="B3" s="114" t="s">
        <v>167</v>
      </c>
      <c r="C3" s="114">
        <v>5</v>
      </c>
    </row>
    <row r="5" spans="2:4">
      <c r="B5" s="115" t="s">
        <v>168</v>
      </c>
    </row>
    <row r="6" spans="2:4">
      <c r="B6" s="114" t="s">
        <v>169</v>
      </c>
      <c r="C6" s="114">
        <v>15.6</v>
      </c>
      <c r="D6" s="114" t="s">
        <v>170</v>
      </c>
    </row>
    <row r="7" spans="2:4">
      <c r="B7" s="114" t="s">
        <v>171</v>
      </c>
      <c r="C7" s="114">
        <v>0.63</v>
      </c>
    </row>
    <row r="9" spans="2:4">
      <c r="B9" s="115" t="s">
        <v>172</v>
      </c>
      <c r="C9" s="114">
        <v>15.6</v>
      </c>
      <c r="D9" s="114" t="s">
        <v>173</v>
      </c>
    </row>
    <row r="10" spans="2:4">
      <c r="B10" s="115" t="s">
        <v>174</v>
      </c>
    </row>
    <row r="12" spans="2:4">
      <c r="B12" s="114" t="s">
        <v>175</v>
      </c>
      <c r="C12" s="116">
        <v>7.25</v>
      </c>
    </row>
    <row r="13" spans="2:4">
      <c r="B13" s="114" t="s">
        <v>176</v>
      </c>
      <c r="C13" s="116">
        <v>2.15</v>
      </c>
    </row>
    <row r="14" spans="2:4">
      <c r="B14" s="114" t="s">
        <v>177</v>
      </c>
      <c r="C14" s="116">
        <v>9.35</v>
      </c>
    </row>
    <row r="15" spans="2:4">
      <c r="B15" s="114" t="s">
        <v>178</v>
      </c>
      <c r="C15" s="116">
        <v>0.16</v>
      </c>
    </row>
    <row r="17" spans="2:6">
      <c r="B17" s="114" t="s">
        <v>179</v>
      </c>
    </row>
    <row r="18" spans="2:6">
      <c r="B18" s="114" t="s">
        <v>180</v>
      </c>
    </row>
    <row r="20" spans="2:6">
      <c r="B20" s="114" t="s">
        <v>181</v>
      </c>
    </row>
    <row r="21" spans="2:6">
      <c r="B21" s="114" t="s">
        <v>182</v>
      </c>
      <c r="C21" s="114">
        <v>2.33</v>
      </c>
    </row>
    <row r="22" spans="2:6">
      <c r="B22" s="114" t="s">
        <v>183</v>
      </c>
      <c r="C22" s="114">
        <f>C7/C21</f>
        <v>0.27038626609442057</v>
      </c>
    </row>
    <row r="24" spans="2:6">
      <c r="B24" s="114" t="s">
        <v>184</v>
      </c>
      <c r="E24" s="117" t="s">
        <v>69</v>
      </c>
      <c r="F24" s="114">
        <f>15.6+0.56</f>
        <v>16.16</v>
      </c>
    </row>
    <row r="25" spans="2:6">
      <c r="B25" s="117" t="s">
        <v>185</v>
      </c>
      <c r="C25" s="114">
        <f>C6</f>
        <v>15.6</v>
      </c>
      <c r="E25" s="117" t="s">
        <v>70</v>
      </c>
      <c r="F25" s="114">
        <v>15.6</v>
      </c>
    </row>
    <row r="26" spans="2:6">
      <c r="B26" s="114" t="s">
        <v>99</v>
      </c>
      <c r="C26" s="118">
        <f>NORMSDIST(($F$26-$F$25)/$C$22)</f>
        <v>1.9174206870975333E-2</v>
      </c>
      <c r="D26" s="119"/>
      <c r="E26" s="117" t="s">
        <v>186</v>
      </c>
      <c r="F26" s="114">
        <f>15.6-0.56</f>
        <v>15.04</v>
      </c>
    </row>
    <row r="27" spans="2:6">
      <c r="B27" s="114" t="s">
        <v>187</v>
      </c>
      <c r="C27" s="118">
        <f>NORMSDIST(($F$24-$F$25)/$C$22)-$C$26</f>
        <v>0.96165158625804925</v>
      </c>
      <c r="D27" s="120"/>
      <c r="E27" s="118"/>
    </row>
    <row r="28" spans="2:6">
      <c r="B28" s="114" t="s">
        <v>188</v>
      </c>
      <c r="C28" s="118">
        <f>1-NORMSDIST(($F$24-$F$25)/$C$22)</f>
        <v>1.9174206870975374E-2</v>
      </c>
      <c r="D28" s="119"/>
      <c r="E28" s="118"/>
    </row>
    <row r="29" spans="2:6">
      <c r="B29" s="115" t="s">
        <v>189</v>
      </c>
      <c r="C29" s="121">
        <f>(($C$12+$C$14+$C$15)*C26+($C$12+$C$14)*C27+($C$12+$C$14+$C$13)*C28)/(C27+C28)</f>
        <v>16.969672427530103</v>
      </c>
      <c r="D29" s="122"/>
      <c r="E29" s="118"/>
    </row>
    <row r="31" spans="2:6">
      <c r="B31" s="114" t="s">
        <v>190</v>
      </c>
    </row>
    <row r="32" spans="2:6">
      <c r="B32" s="210" t="s">
        <v>191</v>
      </c>
      <c r="C32" s="210"/>
      <c r="D32" s="210"/>
    </row>
    <row r="33" spans="2:7">
      <c r="B33" s="117" t="s">
        <v>185</v>
      </c>
      <c r="C33" s="114" t="s">
        <v>192</v>
      </c>
      <c r="E33" s="117"/>
    </row>
    <row r="34" spans="2:7">
      <c r="B34" s="114" t="s">
        <v>193</v>
      </c>
      <c r="C34" s="114">
        <f>F26+(3.49*C22)</f>
        <v>15.983648068669527</v>
      </c>
      <c r="D34" s="120"/>
      <c r="E34" s="117"/>
    </row>
    <row r="35" spans="2:7">
      <c r="B35" s="114" t="s">
        <v>99</v>
      </c>
      <c r="C35" s="118">
        <f>NORMSDIST(($F$26-$C$34)/$C$22)</f>
        <v>2.415102735678343E-4</v>
      </c>
      <c r="D35" s="120"/>
      <c r="E35" s="117"/>
    </row>
    <row r="36" spans="2:7">
      <c r="B36" s="114" t="s">
        <v>187</v>
      </c>
      <c r="C36" s="118">
        <f>NORMSDIST(($F$24-$C$34)/$C$22)-$C$35</f>
        <v>0.74262957658409823</v>
      </c>
      <c r="D36" s="120"/>
      <c r="E36" s="118"/>
    </row>
    <row r="37" spans="2:7">
      <c r="B37" s="114" t="s">
        <v>188</v>
      </c>
      <c r="C37" s="118">
        <f>1-NORMSDIST(($F$24-$C$34)/$C$22)</f>
        <v>0.25712891314233399</v>
      </c>
      <c r="D37" s="122"/>
      <c r="E37" s="118"/>
    </row>
    <row r="38" spans="2:7">
      <c r="B38" s="115" t="s">
        <v>189</v>
      </c>
      <c r="C38" s="121">
        <f>(($C$12+$C$14+$C$15)*C35+($C$12+$C$14)*C36+($C$12+$C$14+$C$13)*C37)/(C36+C37)</f>
        <v>17.157009398933329</v>
      </c>
    </row>
    <row r="40" spans="2:7">
      <c r="B40" s="210" t="s">
        <v>194</v>
      </c>
      <c r="C40" s="210"/>
      <c r="D40" s="210"/>
    </row>
    <row r="41" spans="2:7">
      <c r="B41" s="117" t="s">
        <v>185</v>
      </c>
      <c r="C41" s="114" t="s">
        <v>192</v>
      </c>
    </row>
    <row r="42" spans="2:7">
      <c r="B42" s="114" t="s">
        <v>193</v>
      </c>
      <c r="C42" s="114">
        <f>F24-(3.49*C22)</f>
        <v>15.216351931330472</v>
      </c>
      <c r="D42" s="120"/>
      <c r="E42" s="211" t="s">
        <v>195</v>
      </c>
      <c r="F42" s="211"/>
      <c r="G42" s="211"/>
    </row>
    <row r="43" spans="2:7">
      <c r="B43" s="114" t="s">
        <v>99</v>
      </c>
      <c r="C43" s="118">
        <f>NORMSDIST(($F$26-$C$42)/$C$22)</f>
        <v>0.25712891314233399</v>
      </c>
      <c r="D43" s="120"/>
      <c r="E43" s="211" t="s">
        <v>196</v>
      </c>
      <c r="F43" s="211"/>
      <c r="G43" s="211"/>
    </row>
    <row r="44" spans="2:7">
      <c r="B44" s="114" t="s">
        <v>187</v>
      </c>
      <c r="C44" s="118">
        <f>NORMSDIST(($F$24-$C$42)/$C$22)-$C$43</f>
        <v>0.74262957658409823</v>
      </c>
      <c r="D44" s="120"/>
      <c r="E44" s="211" t="s">
        <v>197</v>
      </c>
      <c r="F44" s="211"/>
      <c r="G44" s="123"/>
    </row>
    <row r="45" spans="2:7">
      <c r="B45" s="114" t="s">
        <v>188</v>
      </c>
      <c r="C45" s="118">
        <f>1-NORMSDIST(($F$24-$C$42)/$C$22)</f>
        <v>2.4151027356777988E-4</v>
      </c>
      <c r="D45" s="122"/>
      <c r="E45" s="118"/>
    </row>
    <row r="46" spans="2:7">
      <c r="B46" s="115" t="s">
        <v>189</v>
      </c>
      <c r="C46" s="121">
        <f>(($C$12+$C$14+$C$15)*C43+($C$12+$C$14)*C44+($C$12+$C$14+$C$13)*C45)/(C44+C45)</f>
        <v>22.401813945384429</v>
      </c>
    </row>
  </sheetData>
  <mergeCells count="5">
    <mergeCell ref="B32:D32"/>
    <mergeCell ref="B40:D40"/>
    <mergeCell ref="E42:G42"/>
    <mergeCell ref="E43:G43"/>
    <mergeCell ref="E44:F44"/>
  </mergeCells>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I37"/>
  <sheetViews>
    <sheetView workbookViewId="0">
      <selection activeCell="L10" sqref="L10"/>
    </sheetView>
  </sheetViews>
  <sheetFormatPr baseColWidth="10" defaultRowHeight="16"/>
  <sheetData>
    <row r="1" spans="2:9">
      <c r="B1" t="s">
        <v>198</v>
      </c>
      <c r="D1" t="s">
        <v>199</v>
      </c>
    </row>
    <row r="3" spans="2:9">
      <c r="B3" s="124">
        <v>1.0900000000000001</v>
      </c>
      <c r="C3" s="124">
        <v>1.74</v>
      </c>
      <c r="D3" s="124">
        <v>1.58</v>
      </c>
      <c r="E3" s="124">
        <v>2.11</v>
      </c>
      <c r="F3" s="124">
        <v>1.64</v>
      </c>
      <c r="G3" s="124">
        <v>1.79</v>
      </c>
      <c r="H3" s="124">
        <v>1.37</v>
      </c>
      <c r="I3" s="124">
        <v>1.75</v>
      </c>
    </row>
    <row r="4" spans="2:9">
      <c r="B4" s="124">
        <v>1.92</v>
      </c>
      <c r="C4" s="124">
        <v>1.47</v>
      </c>
      <c r="D4" s="124">
        <v>2.0299999999999998</v>
      </c>
      <c r="E4" s="124">
        <v>1.86</v>
      </c>
      <c r="F4" s="124">
        <v>0.72</v>
      </c>
      <c r="G4" s="124">
        <v>2.46</v>
      </c>
      <c r="H4" s="124">
        <v>1.93</v>
      </c>
      <c r="I4" s="124">
        <v>1.63</v>
      </c>
    </row>
    <row r="5" spans="2:9">
      <c r="B5" s="124">
        <v>2.31</v>
      </c>
      <c r="C5" s="124">
        <v>1.97</v>
      </c>
      <c r="D5" s="124">
        <v>1.7</v>
      </c>
      <c r="E5" s="124">
        <v>1.9</v>
      </c>
      <c r="F5" s="124">
        <v>1.69</v>
      </c>
      <c r="G5" s="124">
        <v>1.88</v>
      </c>
      <c r="H5" s="124">
        <v>1.4</v>
      </c>
      <c r="I5" s="124">
        <v>2.37</v>
      </c>
    </row>
    <row r="6" spans="2:9">
      <c r="B6" s="124">
        <v>1.79</v>
      </c>
      <c r="C6" s="124">
        <v>0.85</v>
      </c>
      <c r="D6" s="124">
        <v>2.17</v>
      </c>
      <c r="E6" s="124">
        <v>1.68</v>
      </c>
      <c r="F6" s="124">
        <v>1.85</v>
      </c>
      <c r="G6" s="124">
        <v>2.08</v>
      </c>
      <c r="H6" s="124">
        <v>1.64</v>
      </c>
      <c r="I6" s="124">
        <v>1.75</v>
      </c>
    </row>
    <row r="7" spans="2:9">
      <c r="B7" s="124">
        <v>2.2799999999999998</v>
      </c>
      <c r="C7" s="124">
        <v>1.24</v>
      </c>
      <c r="D7" s="124">
        <v>2.5499999999999998</v>
      </c>
      <c r="E7" s="124">
        <v>1.51</v>
      </c>
      <c r="F7" s="124">
        <v>1.82</v>
      </c>
      <c r="G7" s="124">
        <v>1.67</v>
      </c>
      <c r="H7" s="124">
        <v>2.09</v>
      </c>
      <c r="I7" s="124">
        <v>1.69</v>
      </c>
    </row>
    <row r="9" spans="2:9">
      <c r="B9" t="s">
        <v>74</v>
      </c>
      <c r="C9" s="36">
        <f>AVERAGE(B3:I7)</f>
        <v>1.7742499999999999</v>
      </c>
    </row>
    <row r="10" spans="2:9">
      <c r="B10" t="s">
        <v>200</v>
      </c>
      <c r="C10" s="36">
        <f>STDEV(B3:I7)</f>
        <v>0.39045593007833013</v>
      </c>
    </row>
    <row r="12" spans="2:9">
      <c r="B12" t="s">
        <v>152</v>
      </c>
      <c r="C12">
        <v>2</v>
      </c>
    </row>
    <row r="13" spans="2:9">
      <c r="B13" t="s">
        <v>156</v>
      </c>
      <c r="C13">
        <v>1.5</v>
      </c>
    </row>
    <row r="14" spans="2:9">
      <c r="B14" t="s">
        <v>157</v>
      </c>
      <c r="C14">
        <v>1</v>
      </c>
    </row>
    <row r="16" spans="2:9">
      <c r="B16" t="s">
        <v>92</v>
      </c>
      <c r="C16">
        <v>40</v>
      </c>
    </row>
    <row r="17" spans="2:3">
      <c r="B17" t="s">
        <v>201</v>
      </c>
      <c r="C17" s="36">
        <f>C9</f>
        <v>1.7742499999999999</v>
      </c>
    </row>
    <row r="18" spans="2:3">
      <c r="B18" t="s">
        <v>202</v>
      </c>
      <c r="C18" s="36">
        <f>C10</f>
        <v>0.39045593007833013</v>
      </c>
    </row>
    <row r="20" spans="2:3">
      <c r="B20" s="50" t="s">
        <v>49</v>
      </c>
      <c r="C20" s="125">
        <f>(C12-C14)/(6*C18)</f>
        <v>0.42685141606949428</v>
      </c>
    </row>
    <row r="21" spans="2:3">
      <c r="B21" s="126" t="s">
        <v>203</v>
      </c>
      <c r="C21" s="127">
        <f>(C17-C14)/(3*C18)</f>
        <v>0.6609794177836118</v>
      </c>
    </row>
    <row r="22" spans="2:3">
      <c r="B22" s="50" t="s">
        <v>204</v>
      </c>
      <c r="C22" s="125">
        <f>(C12-C17)/(3*C18)</f>
        <v>0.19272341435537677</v>
      </c>
    </row>
    <row r="23" spans="2:3">
      <c r="B23" s="50" t="s">
        <v>51</v>
      </c>
      <c r="C23" s="125">
        <f>(C12-C14)/(6*(SQRT((C18^2)+(C17-C13)^2)))</f>
        <v>0.34929864343466704</v>
      </c>
    </row>
    <row r="25" spans="2:3">
      <c r="B25" t="s">
        <v>205</v>
      </c>
    </row>
    <row r="27" spans="2:3">
      <c r="B27" s="87" t="s">
        <v>49</v>
      </c>
      <c r="C27" s="128">
        <f>C20+(1.96*C20/SQRT(2*39))</f>
        <v>0.52158097092938149</v>
      </c>
    </row>
    <row r="28" spans="2:3">
      <c r="B28" s="87"/>
      <c r="C28" s="128">
        <f>C20-(1.96*C20/SQRT(2*39))</f>
        <v>0.33212186120960707</v>
      </c>
    </row>
    <row r="30" spans="2:3">
      <c r="B30" s="87" t="s">
        <v>50</v>
      </c>
      <c r="C30" s="128">
        <f>C22+(1.96*SQRT((C22^2/78)+(1/360)))</f>
        <v>0.30452868129603605</v>
      </c>
    </row>
    <row r="31" spans="2:3">
      <c r="B31" s="87"/>
      <c r="C31" s="128">
        <f>C22-(1.96*SQRT((C22^2/78)+(1/360)))</f>
        <v>8.0918147414717506E-2</v>
      </c>
    </row>
    <row r="33" spans="2:3">
      <c r="B33" s="87" t="s">
        <v>51</v>
      </c>
      <c r="C33" s="128">
        <f>C23+1.96*(C23/SQRT(40))*SQRT((0.5+(C17-C13)^2/C18^2)/(1+(C17-C13)^2/C18^2)^2)</f>
        <v>0.42154450938728094</v>
      </c>
    </row>
    <row r="34" spans="2:3">
      <c r="B34" s="87"/>
      <c r="C34" s="128">
        <f>C23-1.96*(C23/SQRT(40))*SQRT((0.5+(C17-C13)^2/C18^2)/(1+(C17-C13)^2/C18^2)^2)</f>
        <v>0.27705277748205315</v>
      </c>
    </row>
    <row r="36" spans="2:3">
      <c r="B36" s="87" t="s">
        <v>206</v>
      </c>
    </row>
    <row r="37" spans="2:3">
      <c r="B37" s="87" t="s">
        <v>207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D24"/>
  <sheetViews>
    <sheetView zoomScale="125" zoomScaleNormal="125" zoomScalePageLayoutView="125" workbookViewId="0">
      <selection activeCell="B33" sqref="B33"/>
    </sheetView>
  </sheetViews>
  <sheetFormatPr baseColWidth="10" defaultRowHeight="16"/>
  <cols>
    <col min="2" max="2" width="12.6640625" bestFit="1" customWidth="1"/>
  </cols>
  <sheetData>
    <row r="2" spans="1:4">
      <c r="B2" t="s">
        <v>68</v>
      </c>
      <c r="C2" t="s">
        <v>208</v>
      </c>
    </row>
    <row r="3" spans="1:4">
      <c r="B3" t="s">
        <v>92</v>
      </c>
      <c r="C3">
        <v>40</v>
      </c>
    </row>
    <row r="4" spans="1:4">
      <c r="B4" t="s">
        <v>201</v>
      </c>
      <c r="C4">
        <v>59.88</v>
      </c>
    </row>
    <row r="5" spans="1:4">
      <c r="B5" t="s">
        <v>202</v>
      </c>
      <c r="C5">
        <v>0.25</v>
      </c>
    </row>
    <row r="8" spans="1:4">
      <c r="A8" s="50" t="s">
        <v>209</v>
      </c>
      <c r="B8" t="s">
        <v>49</v>
      </c>
      <c r="C8" s="125">
        <f>(61-59)/(6*C5)</f>
        <v>1.3333333333333333</v>
      </c>
    </row>
    <row r="9" spans="1:4">
      <c r="B9" t="s">
        <v>203</v>
      </c>
      <c r="C9" s="125">
        <f>(C4-59)/(3*C5)</f>
        <v>1.1733333333333367</v>
      </c>
      <c r="D9" t="s">
        <v>210</v>
      </c>
    </row>
    <row r="10" spans="1:4">
      <c r="B10" t="s">
        <v>204</v>
      </c>
      <c r="C10" s="36">
        <f>(61-C4)/(3*C5)</f>
        <v>1.4933333333333298</v>
      </c>
    </row>
    <row r="11" spans="1:4">
      <c r="B11" t="s">
        <v>51</v>
      </c>
      <c r="C11" s="36">
        <f>(61-59)/(6*SQRT((C5^2+(C4-60)^2)))</f>
        <v>1.2020307432910362</v>
      </c>
    </row>
    <row r="12" spans="1:4">
      <c r="C12" s="36"/>
    </row>
    <row r="14" spans="1:4">
      <c r="B14" s="50" t="s">
        <v>211</v>
      </c>
    </row>
    <row r="15" spans="1:4">
      <c r="B15" t="s">
        <v>49</v>
      </c>
      <c r="C15" s="36">
        <f>C8-1.96*(C8/SQRT(2*(C3-1)))</f>
        <v>1.0374316017435457</v>
      </c>
      <c r="D15" s="36">
        <f>C8+1.96*(C8/SQRT(2*(C3-1)))</f>
        <v>1.6292350649231209</v>
      </c>
    </row>
    <row r="16" spans="1:4">
      <c r="B16" t="s">
        <v>50</v>
      </c>
      <c r="C16" s="36">
        <f>C9-1.96*(SQRT((C9^2/(2*(C3-1))+1/(9*C3))))</f>
        <v>0.89319783335595293</v>
      </c>
      <c r="D16" s="36">
        <f>C9+1.96*(SQRT((C9^2/(2*(C3-1))+1/(9*C3))))</f>
        <v>1.4534688333107204</v>
      </c>
    </row>
    <row r="17" spans="1:4">
      <c r="B17" t="s">
        <v>51</v>
      </c>
      <c r="C17" s="36">
        <f>C11-1.96*(C11/SQRT(C3))*SQRT((0.5+((C4-60)^2/C5^2))/(1+(C4-60)^2/C5^2)^2)</f>
        <v>0.94328351228022433</v>
      </c>
      <c r="D17" s="36">
        <f>C11+1.96*(C11/SQRT(C3))*SQRT((0.5+((C4-60)^2/C5^2))/(1+(C4-60)^2/C5^2)^2)</f>
        <v>1.4607779743018481</v>
      </c>
    </row>
    <row r="19" spans="1:4">
      <c r="B19" s="50" t="s">
        <v>212</v>
      </c>
    </row>
    <row r="20" spans="1:4">
      <c r="B20" s="50" t="s">
        <v>213</v>
      </c>
    </row>
    <row r="21" spans="1:4">
      <c r="B21" s="50" t="s">
        <v>214</v>
      </c>
    </row>
    <row r="23" spans="1:4">
      <c r="A23" s="50" t="s">
        <v>215</v>
      </c>
      <c r="B23" s="50" t="s">
        <v>216</v>
      </c>
    </row>
    <row r="24" spans="1:4">
      <c r="A24" s="50" t="s">
        <v>217</v>
      </c>
      <c r="B24" s="50" t="s">
        <v>218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M43"/>
  <sheetViews>
    <sheetView zoomScale="125" workbookViewId="0">
      <selection activeCell="H13" sqref="H13"/>
    </sheetView>
  </sheetViews>
  <sheetFormatPr baseColWidth="10" defaultRowHeight="13"/>
  <cols>
    <col min="1" max="1" width="10.83203125" style="114"/>
    <col min="2" max="2" width="21.6640625" style="114" customWidth="1"/>
    <col min="3" max="3" width="10.83203125" style="114"/>
    <col min="4" max="4" width="2.5" style="114" customWidth="1"/>
    <col min="5" max="5" width="10.83203125" style="114"/>
    <col min="6" max="6" width="8" style="114" bestFit="1" customWidth="1"/>
    <col min="7" max="7" width="3.33203125" style="114" customWidth="1"/>
    <col min="8" max="8" width="26.6640625" style="114" customWidth="1"/>
    <col min="9" max="9" width="15.5" style="114" customWidth="1"/>
    <col min="10" max="11" width="10.83203125" style="114"/>
    <col min="12" max="12" width="17.1640625" style="114" bestFit="1" customWidth="1"/>
    <col min="13" max="16384" width="10.83203125" style="114"/>
  </cols>
  <sheetData>
    <row r="2" spans="2:13">
      <c r="B2" s="115" t="s">
        <v>219</v>
      </c>
    </row>
    <row r="3" spans="2:13">
      <c r="B3" s="115" t="s">
        <v>220</v>
      </c>
      <c r="C3" s="115">
        <v>6.4</v>
      </c>
    </row>
    <row r="4" spans="2:13">
      <c r="C4" s="129"/>
    </row>
    <row r="6" spans="2:13">
      <c r="B6" s="115" t="s">
        <v>221</v>
      </c>
      <c r="C6" s="115">
        <v>6.4</v>
      </c>
      <c r="D6" s="115" t="s">
        <v>222</v>
      </c>
      <c r="E6" s="130">
        <v>0.1</v>
      </c>
    </row>
    <row r="7" spans="2:13">
      <c r="B7" s="115"/>
    </row>
    <row r="9" spans="2:13">
      <c r="B9" s="114" t="s">
        <v>223</v>
      </c>
      <c r="C9" s="116">
        <v>7.25</v>
      </c>
      <c r="H9" s="131" t="s">
        <v>224</v>
      </c>
      <c r="I9" s="131" t="s">
        <v>225</v>
      </c>
    </row>
    <row r="10" spans="2:13">
      <c r="B10" s="114" t="s">
        <v>226</v>
      </c>
      <c r="C10" s="116">
        <v>2.15</v>
      </c>
      <c r="H10" s="131">
        <v>5000</v>
      </c>
      <c r="I10" s="132">
        <v>20</v>
      </c>
    </row>
    <row r="11" spans="2:13">
      <c r="B11" s="114" t="s">
        <v>227</v>
      </c>
      <c r="C11" s="116">
        <v>9.35</v>
      </c>
    </row>
    <row r="12" spans="2:13">
      <c r="B12" s="114" t="s">
        <v>228</v>
      </c>
      <c r="C12" s="116">
        <v>3</v>
      </c>
    </row>
    <row r="14" spans="2:13">
      <c r="B14" s="114" t="s">
        <v>229</v>
      </c>
    </row>
    <row r="15" spans="2:13">
      <c r="B15" s="114" t="s">
        <v>230</v>
      </c>
      <c r="I15" s="131" t="s">
        <v>231</v>
      </c>
      <c r="J15" s="131" t="s">
        <v>232</v>
      </c>
      <c r="K15" s="131" t="s">
        <v>233</v>
      </c>
      <c r="L15" s="133" t="s">
        <v>234</v>
      </c>
      <c r="M15" s="131"/>
    </row>
    <row r="16" spans="2:13">
      <c r="H16" s="114" t="s">
        <v>235</v>
      </c>
      <c r="I16" s="134">
        <f>($H$10/(1-C23))</f>
        <v>5116.3987465842929</v>
      </c>
      <c r="J16" s="134">
        <f>I16*C23</f>
        <v>116.39874658429333</v>
      </c>
      <c r="K16" s="134">
        <f>I16-J16</f>
        <v>5000</v>
      </c>
      <c r="L16" s="132">
        <f>($H$10*$I$10)-(I16*C26)</f>
        <v>12477.171361794535</v>
      </c>
      <c r="M16" s="131"/>
    </row>
    <row r="17" spans="2:13">
      <c r="B17" s="114" t="s">
        <v>236</v>
      </c>
      <c r="H17" s="114" t="s">
        <v>237</v>
      </c>
      <c r="I17" s="134">
        <f>($H$10/(1-C34))</f>
        <v>7194.5109657905086</v>
      </c>
      <c r="J17" s="134">
        <f>I17*C34</f>
        <v>2194.5109657905086</v>
      </c>
      <c r="K17" s="134">
        <f>I17-J17</f>
        <v>5000</v>
      </c>
      <c r="L17" s="132">
        <f>($H$10*$I$10)-(I17*C35)</f>
        <v>-81324.915555661428</v>
      </c>
      <c r="M17" s="131"/>
    </row>
    <row r="18" spans="2:13">
      <c r="H18" s="114" t="s">
        <v>238</v>
      </c>
      <c r="I18" s="134">
        <f>($H$10/(1-C42))</f>
        <v>5001.2078430743504</v>
      </c>
      <c r="J18" s="134">
        <f>I18*C42</f>
        <v>1.2078430743502127</v>
      </c>
      <c r="K18" s="134">
        <f>I18-J18</f>
        <v>5000</v>
      </c>
      <c r="L18" s="132">
        <f>($H$10*$I$10)-(I18*C43)</f>
        <v>13675.659343551233</v>
      </c>
      <c r="M18" s="131"/>
    </row>
    <row r="19" spans="2:13">
      <c r="B19" s="133" t="s">
        <v>239</v>
      </c>
      <c r="C19" s="135">
        <v>0.05</v>
      </c>
      <c r="I19" s="131"/>
      <c r="J19" s="131"/>
      <c r="K19" s="131"/>
      <c r="L19" s="131"/>
      <c r="M19" s="131"/>
    </row>
    <row r="20" spans="2:13">
      <c r="I20" s="131"/>
      <c r="J20" s="131"/>
      <c r="K20" s="131"/>
      <c r="L20" s="131"/>
      <c r="M20" s="131"/>
    </row>
    <row r="21" spans="2:13">
      <c r="B21" s="115" t="s">
        <v>184</v>
      </c>
      <c r="E21" s="117" t="s">
        <v>69</v>
      </c>
      <c r="F21" s="114">
        <f>C6+E6</f>
        <v>6.5</v>
      </c>
    </row>
    <row r="22" spans="2:13">
      <c r="B22" s="117" t="s">
        <v>185</v>
      </c>
      <c r="C22" s="114">
        <f>C3</f>
        <v>6.4</v>
      </c>
      <c r="E22" s="117" t="s">
        <v>70</v>
      </c>
      <c r="F22" s="114">
        <f>C6</f>
        <v>6.4</v>
      </c>
    </row>
    <row r="23" spans="2:13">
      <c r="B23" s="114" t="s">
        <v>99</v>
      </c>
      <c r="C23" s="118">
        <f>NORMSDIST(($F$23-$F$22)/$C$19)</f>
        <v>2.275013194817959E-2</v>
      </c>
      <c r="D23" s="119"/>
      <c r="E23" s="117" t="s">
        <v>186</v>
      </c>
      <c r="F23" s="114">
        <f>C6-E6</f>
        <v>6.3000000000000007</v>
      </c>
    </row>
    <row r="24" spans="2:13">
      <c r="B24" s="114" t="s">
        <v>240</v>
      </c>
      <c r="C24" s="118">
        <f>NORMSDIST(($F$21-$F$22)/$C$19)-$C$23</f>
        <v>0.95449973610364092</v>
      </c>
      <c r="D24" s="120"/>
      <c r="E24" s="118"/>
    </row>
    <row r="25" spans="2:13">
      <c r="B25" s="114" t="s">
        <v>241</v>
      </c>
      <c r="C25" s="118">
        <f>1-NORMSDIST(($F$21-$F$22)/$C$19)</f>
        <v>2.2750131948179542E-2</v>
      </c>
      <c r="D25" s="119"/>
      <c r="E25" s="118"/>
    </row>
    <row r="26" spans="2:13">
      <c r="B26" s="115" t="s">
        <v>189</v>
      </c>
      <c r="C26" s="121">
        <f>(($C$9+$C$11+C12)*C23+($C$9+$C$11)*C24+($C$9+$C$11+$C$10)*C25)/(C24+C25)</f>
        <v>17.106334547641676</v>
      </c>
      <c r="D26" s="122"/>
      <c r="E26" s="118"/>
    </row>
    <row r="28" spans="2:13">
      <c r="B28" s="114" t="s">
        <v>242</v>
      </c>
    </row>
    <row r="29" spans="2:13">
      <c r="B29" s="212" t="s">
        <v>243</v>
      </c>
      <c r="C29" s="212"/>
      <c r="D29" s="212"/>
    </row>
    <row r="30" spans="2:13">
      <c r="B30" s="117" t="s">
        <v>185</v>
      </c>
      <c r="C30" s="114" t="s">
        <v>244</v>
      </c>
      <c r="E30" s="117"/>
    </row>
    <row r="31" spans="2:13">
      <c r="B31" s="114" t="s">
        <v>245</v>
      </c>
      <c r="C31" s="129">
        <f>F23+(3.49*C19)</f>
        <v>6.4745000000000008</v>
      </c>
      <c r="D31" s="120"/>
      <c r="E31" s="117"/>
    </row>
    <row r="32" spans="2:13">
      <c r="B32" s="114" t="s">
        <v>246</v>
      </c>
      <c r="C32" s="118">
        <f>NORMSDIST(($F$23-$C$31)/$C$19)</f>
        <v>2.415102735678343E-4</v>
      </c>
      <c r="D32" s="120"/>
      <c r="E32" s="117"/>
    </row>
    <row r="33" spans="2:5">
      <c r="B33" s="114" t="s">
        <v>240</v>
      </c>
      <c r="C33" s="118">
        <f>NORMSDIST(($F$21-$C$31)/$C$19)-$C$32</f>
        <v>0.69473275882890717</v>
      </c>
      <c r="D33" s="120"/>
      <c r="E33" s="118"/>
    </row>
    <row r="34" spans="2:5">
      <c r="B34" s="114" t="s">
        <v>99</v>
      </c>
      <c r="C34" s="118">
        <f>1-NORMSDIST(($F$21-$C$31)/$C$19)</f>
        <v>0.30502573089752505</v>
      </c>
      <c r="D34" s="122"/>
      <c r="E34" s="118"/>
    </row>
    <row r="35" spans="2:5">
      <c r="B35" s="115" t="s">
        <v>189</v>
      </c>
      <c r="C35" s="121">
        <f>(($C$9+$C$11+C10)*C32+($C$9+$C$11)*C33+($C$9+$C$11+$C$12)*C34)/(C33+C32)</f>
        <v>25.203230131672758</v>
      </c>
    </row>
    <row r="37" spans="2:5">
      <c r="B37" s="212" t="s">
        <v>247</v>
      </c>
      <c r="C37" s="212"/>
      <c r="D37" s="212"/>
    </row>
    <row r="38" spans="2:5">
      <c r="B38" s="117" t="s">
        <v>185</v>
      </c>
      <c r="C38" s="114" t="s">
        <v>244</v>
      </c>
    </row>
    <row r="39" spans="2:5">
      <c r="B39" s="114" t="s">
        <v>245</v>
      </c>
      <c r="C39" s="129">
        <f>F21-(3.49*C19)</f>
        <v>6.3254999999999999</v>
      </c>
      <c r="D39" s="120"/>
    </row>
    <row r="40" spans="2:5">
      <c r="B40" s="114" t="s">
        <v>248</v>
      </c>
      <c r="C40" s="118">
        <f>NORMSDIST(($F$23-$C$39)/$C$19)</f>
        <v>0.30502573089752505</v>
      </c>
      <c r="D40" s="120"/>
    </row>
    <row r="41" spans="2:5">
      <c r="B41" s="114" t="s">
        <v>240</v>
      </c>
      <c r="C41" s="118">
        <f>NORMSDIST(($F$21-$C$39)/$C$19)-$C$40</f>
        <v>0.69473275882890717</v>
      </c>
      <c r="D41" s="120"/>
    </row>
    <row r="42" spans="2:5">
      <c r="B42" s="114" t="s">
        <v>99</v>
      </c>
      <c r="C42" s="118">
        <f>1-NORMSDIST(($F$21-$C$39)/$C$19)</f>
        <v>2.4151027356777988E-4</v>
      </c>
      <c r="D42" s="122"/>
    </row>
    <row r="43" spans="2:5">
      <c r="B43" s="115" t="s">
        <v>189</v>
      </c>
      <c r="C43" s="121">
        <f>(($C$9+$C$11+C10)*C40+($C$9+$C$11)*C41+($C$9+$C$11+$C$12)*C42)/(C41+C40)</f>
        <v>17.260698488264254</v>
      </c>
    </row>
  </sheetData>
  <mergeCells count="2">
    <mergeCell ref="B29:D29"/>
    <mergeCell ref="B37:D3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68"/>
  <sheetViews>
    <sheetView workbookViewId="0">
      <selection activeCell="N53" sqref="N53"/>
    </sheetView>
  </sheetViews>
  <sheetFormatPr baseColWidth="10" defaultRowHeight="16"/>
  <cols>
    <col min="10" max="10" width="14.33203125" customWidth="1"/>
  </cols>
  <sheetData>
    <row r="1" spans="1:25" ht="29">
      <c r="A1" s="114"/>
      <c r="B1" s="114"/>
      <c r="C1" s="114"/>
      <c r="D1" s="114"/>
      <c r="E1" s="114"/>
      <c r="F1" s="114"/>
      <c r="G1" s="114"/>
      <c r="H1" s="114"/>
      <c r="I1" s="133" t="s">
        <v>138</v>
      </c>
      <c r="J1" s="136" t="s">
        <v>249</v>
      </c>
      <c r="K1" s="114"/>
      <c r="L1" s="114"/>
      <c r="M1" s="114"/>
      <c r="N1" s="114"/>
      <c r="O1" s="114"/>
      <c r="P1" s="114"/>
      <c r="Q1" s="114"/>
      <c r="R1" s="114"/>
      <c r="S1" s="114"/>
      <c r="T1" s="114"/>
      <c r="U1" s="114"/>
      <c r="V1" s="114"/>
      <c r="W1" s="114"/>
      <c r="X1" s="114"/>
      <c r="Y1" s="114"/>
    </row>
    <row r="2" spans="1:25">
      <c r="A2" s="114" t="s">
        <v>250</v>
      </c>
      <c r="B2" s="114" t="s">
        <v>251</v>
      </c>
      <c r="C2" s="114">
        <v>170</v>
      </c>
      <c r="D2" s="114"/>
      <c r="E2" s="137">
        <f>(I2*(1-I2))/C2</f>
        <v>5.7857927946265014E-4</v>
      </c>
      <c r="F2" s="137">
        <f>SQRT(E2)</f>
        <v>2.405367496792642E-2</v>
      </c>
      <c r="G2" s="114"/>
      <c r="H2" s="117" t="s">
        <v>87</v>
      </c>
      <c r="I2" s="138">
        <f>(C24)/(B23*C2)</f>
        <v>0.11058823529411765</v>
      </c>
      <c r="J2" s="138">
        <f>(C45)/(18*C2)</f>
        <v>0.10065359477124183</v>
      </c>
      <c r="K2" s="138">
        <f>(C46)/(10*C2)</f>
        <v>7.8823529411764709E-2</v>
      </c>
      <c r="L2" s="114"/>
      <c r="M2" s="114"/>
      <c r="N2" s="114"/>
      <c r="O2" s="114"/>
      <c r="P2" s="114"/>
      <c r="Q2" s="114"/>
      <c r="R2" s="114"/>
      <c r="S2" s="114"/>
      <c r="T2" s="114"/>
      <c r="U2" s="114"/>
      <c r="V2" s="114"/>
      <c r="W2" s="114"/>
      <c r="X2" s="114"/>
      <c r="Y2" s="114"/>
    </row>
    <row r="3" spans="1:25">
      <c r="A3" s="114"/>
      <c r="B3" s="131" t="s">
        <v>252</v>
      </c>
      <c r="C3" s="131" t="s">
        <v>253</v>
      </c>
      <c r="D3" s="131" t="s">
        <v>254</v>
      </c>
      <c r="E3" s="131" t="s">
        <v>28</v>
      </c>
      <c r="F3" s="131" t="s">
        <v>87</v>
      </c>
      <c r="G3" s="131" t="s">
        <v>27</v>
      </c>
      <c r="H3" s="117" t="s">
        <v>27</v>
      </c>
      <c r="I3" s="138">
        <f>I2+(3*F2)</f>
        <v>0.18274926019789692</v>
      </c>
      <c r="J3" s="138">
        <f>J2+(3*F25)</f>
        <v>0.169880503755513</v>
      </c>
      <c r="K3" s="138">
        <f>K2+(3*F46)</f>
        <v>0.14082416629680172</v>
      </c>
      <c r="L3" s="114"/>
      <c r="M3" s="114"/>
      <c r="N3" s="114"/>
      <c r="O3" s="114"/>
      <c r="P3" s="114"/>
      <c r="Q3" s="114"/>
      <c r="R3" s="114"/>
      <c r="S3" s="114"/>
      <c r="T3" s="114"/>
      <c r="U3" s="114"/>
      <c r="V3" s="114"/>
      <c r="W3" s="114"/>
      <c r="X3" s="114"/>
      <c r="Y3" s="114"/>
    </row>
    <row r="4" spans="1:25">
      <c r="A4" s="114"/>
      <c r="B4" s="114">
        <v>1</v>
      </c>
      <c r="C4" s="114">
        <v>12</v>
      </c>
      <c r="D4" s="138">
        <f t="shared" ref="D4:D23" si="0">C4/$C$2</f>
        <v>7.0588235294117646E-2</v>
      </c>
      <c r="E4" s="138">
        <f>I4</f>
        <v>3.842721039033839E-2</v>
      </c>
      <c r="F4" s="138">
        <f>$I$2</f>
        <v>0.11058823529411765</v>
      </c>
      <c r="G4" s="138">
        <f>$I$3</f>
        <v>0.18274926019789692</v>
      </c>
      <c r="H4" s="117" t="s">
        <v>28</v>
      </c>
      <c r="I4" s="138">
        <f>I2-(3*F2)</f>
        <v>3.842721039033839E-2</v>
      </c>
      <c r="J4" s="138">
        <f>J2-(3*F25)</f>
        <v>3.1426685786970651E-2</v>
      </c>
      <c r="K4" s="138">
        <f>K2-(3*F46)</f>
        <v>1.6822892526727688E-2</v>
      </c>
      <c r="L4" s="114"/>
      <c r="M4" s="114"/>
      <c r="N4" s="114"/>
      <c r="O4" s="114"/>
      <c r="P4" s="114"/>
      <c r="Q4" s="114"/>
      <c r="R4" s="114"/>
      <c r="S4" s="114"/>
      <c r="T4" s="114"/>
      <c r="U4" s="114"/>
      <c r="V4" s="114"/>
      <c r="W4" s="114"/>
      <c r="X4" s="114"/>
      <c r="Y4" s="114"/>
    </row>
    <row r="5" spans="1:25">
      <c r="A5" s="114"/>
      <c r="B5" s="114">
        <v>2</v>
      </c>
      <c r="C5" s="114">
        <v>22</v>
      </c>
      <c r="D5" s="138">
        <f t="shared" si="0"/>
        <v>0.12941176470588237</v>
      </c>
      <c r="E5" s="138">
        <f t="shared" ref="E5:E23" si="1">$I$4</f>
        <v>3.842721039033839E-2</v>
      </c>
      <c r="F5" s="138">
        <f t="shared" ref="F5:F23" si="2">$I$2</f>
        <v>0.11058823529411765</v>
      </c>
      <c r="G5" s="138">
        <f t="shared" ref="G5:G23" si="3">$I$3</f>
        <v>0.18274926019789692</v>
      </c>
      <c r="H5" s="114"/>
      <c r="I5" s="114"/>
      <c r="J5" s="114"/>
      <c r="K5" s="114"/>
      <c r="L5" s="114"/>
      <c r="M5" s="114"/>
      <c r="N5" s="114"/>
      <c r="O5" s="114"/>
      <c r="P5" s="114"/>
      <c r="Q5" s="114"/>
      <c r="R5" s="114"/>
      <c r="S5" s="114"/>
      <c r="T5" s="114"/>
      <c r="U5" s="114"/>
      <c r="V5" s="114"/>
      <c r="W5" s="114"/>
      <c r="X5" s="114"/>
      <c r="Y5" s="114"/>
    </row>
    <row r="6" spans="1:25">
      <c r="A6" s="114"/>
      <c r="B6" s="114">
        <v>3</v>
      </c>
      <c r="C6" s="114">
        <v>10</v>
      </c>
      <c r="D6" s="138">
        <f t="shared" si="0"/>
        <v>5.8823529411764705E-2</v>
      </c>
      <c r="E6" s="138">
        <f t="shared" si="1"/>
        <v>3.842721039033839E-2</v>
      </c>
      <c r="F6" s="138">
        <f t="shared" si="2"/>
        <v>0.11058823529411765</v>
      </c>
      <c r="G6" s="138">
        <f t="shared" si="3"/>
        <v>0.18274926019789692</v>
      </c>
      <c r="H6" s="114"/>
      <c r="I6" s="114"/>
      <c r="J6" s="114"/>
      <c r="K6" s="114"/>
      <c r="L6" s="114"/>
      <c r="M6" s="114"/>
      <c r="N6" s="114"/>
      <c r="O6" s="114"/>
      <c r="P6" s="114"/>
      <c r="Q6" s="114"/>
      <c r="R6" s="114"/>
      <c r="S6" s="114"/>
      <c r="T6" s="114"/>
      <c r="U6" s="114"/>
      <c r="V6" s="114"/>
      <c r="W6" s="114"/>
      <c r="X6" s="114"/>
      <c r="Y6" s="114"/>
    </row>
    <row r="7" spans="1:25">
      <c r="A7" s="114"/>
      <c r="B7" s="114">
        <v>4</v>
      </c>
      <c r="C7" s="114">
        <v>20</v>
      </c>
      <c r="D7" s="138">
        <f t="shared" si="0"/>
        <v>0.11764705882352941</v>
      </c>
      <c r="E7" s="138">
        <f t="shared" si="1"/>
        <v>3.842721039033839E-2</v>
      </c>
      <c r="F7" s="138">
        <f t="shared" si="2"/>
        <v>0.11058823529411765</v>
      </c>
      <c r="G7" s="138">
        <f t="shared" si="3"/>
        <v>0.18274926019789692</v>
      </c>
      <c r="H7" s="114"/>
      <c r="I7" s="114"/>
      <c r="J7" s="114"/>
      <c r="K7" s="114"/>
      <c r="L7" s="114"/>
      <c r="M7" s="114"/>
      <c r="N7" s="114"/>
      <c r="O7" s="114"/>
      <c r="P7" s="114"/>
      <c r="Q7" s="114"/>
      <c r="R7" s="114"/>
      <c r="S7" s="114"/>
      <c r="T7" s="114"/>
      <c r="U7" s="114"/>
      <c r="V7" s="114"/>
      <c r="W7" s="114"/>
      <c r="X7" s="114"/>
      <c r="Y7" s="114"/>
    </row>
    <row r="8" spans="1:25">
      <c r="A8" s="114"/>
      <c r="B8" s="114">
        <v>5</v>
      </c>
      <c r="C8" s="114">
        <v>24</v>
      </c>
      <c r="D8" s="138">
        <f t="shared" si="0"/>
        <v>0.14117647058823529</v>
      </c>
      <c r="E8" s="138">
        <f t="shared" si="1"/>
        <v>3.842721039033839E-2</v>
      </c>
      <c r="F8" s="138">
        <f t="shared" si="2"/>
        <v>0.11058823529411765</v>
      </c>
      <c r="G8" s="138">
        <f t="shared" si="3"/>
        <v>0.18274926019789692</v>
      </c>
      <c r="H8" s="114"/>
      <c r="I8" s="114"/>
      <c r="J8" s="114"/>
      <c r="K8" s="114"/>
      <c r="L8" s="114"/>
      <c r="M8" s="114"/>
      <c r="N8" s="114"/>
      <c r="O8" s="114"/>
      <c r="P8" s="114"/>
      <c r="Q8" s="114"/>
      <c r="R8" s="114"/>
      <c r="S8" s="114"/>
      <c r="T8" s="114"/>
      <c r="U8" s="114"/>
      <c r="V8" s="114"/>
      <c r="W8" s="114"/>
      <c r="X8" s="114"/>
      <c r="Y8" s="114"/>
    </row>
    <row r="9" spans="1:25">
      <c r="A9" s="114"/>
      <c r="B9" s="114">
        <v>6</v>
      </c>
      <c r="C9" s="114">
        <v>10</v>
      </c>
      <c r="D9" s="138">
        <f t="shared" si="0"/>
        <v>5.8823529411764705E-2</v>
      </c>
      <c r="E9" s="138">
        <f t="shared" si="1"/>
        <v>3.842721039033839E-2</v>
      </c>
      <c r="F9" s="138">
        <f t="shared" si="2"/>
        <v>0.11058823529411765</v>
      </c>
      <c r="G9" s="138">
        <f t="shared" si="3"/>
        <v>0.18274926019789692</v>
      </c>
      <c r="H9" s="114"/>
      <c r="I9" s="114"/>
      <c r="J9" s="114"/>
      <c r="K9" s="114"/>
      <c r="L9" s="114"/>
      <c r="M9" s="114"/>
      <c r="N9" s="114"/>
      <c r="O9" s="114"/>
      <c r="P9" s="114"/>
      <c r="Q9" s="114"/>
      <c r="R9" s="114"/>
      <c r="S9" s="114"/>
      <c r="T9" s="114"/>
      <c r="U9" s="114"/>
      <c r="V9" s="114"/>
      <c r="W9" s="114"/>
      <c r="X9" s="114"/>
      <c r="Y9" s="114"/>
    </row>
    <row r="10" spans="1:25">
      <c r="A10" s="114"/>
      <c r="B10" s="114">
        <v>7</v>
      </c>
      <c r="C10" s="114">
        <v>15</v>
      </c>
      <c r="D10" s="138">
        <f t="shared" si="0"/>
        <v>8.8235294117647065E-2</v>
      </c>
      <c r="E10" s="138">
        <f t="shared" si="1"/>
        <v>3.842721039033839E-2</v>
      </c>
      <c r="F10" s="138">
        <f t="shared" si="2"/>
        <v>0.11058823529411765</v>
      </c>
      <c r="G10" s="138">
        <f t="shared" si="3"/>
        <v>0.18274926019789692</v>
      </c>
      <c r="H10" s="114"/>
      <c r="I10" s="114"/>
      <c r="J10" s="114"/>
      <c r="K10" s="114"/>
      <c r="L10" s="114"/>
      <c r="M10" s="114"/>
      <c r="N10" s="114"/>
      <c r="O10" s="114"/>
      <c r="P10" s="114"/>
      <c r="Q10" s="114"/>
      <c r="R10" s="114"/>
      <c r="S10" s="114"/>
      <c r="T10" s="114"/>
      <c r="U10" s="114"/>
      <c r="V10" s="114"/>
      <c r="W10" s="114"/>
      <c r="X10" s="114"/>
      <c r="Y10" s="114"/>
    </row>
    <row r="11" spans="1:25">
      <c r="A11" s="114"/>
      <c r="B11" s="114">
        <v>8</v>
      </c>
      <c r="C11" s="114">
        <v>22</v>
      </c>
      <c r="D11" s="138">
        <f t="shared" si="0"/>
        <v>0.12941176470588237</v>
      </c>
      <c r="E11" s="138">
        <f t="shared" si="1"/>
        <v>3.842721039033839E-2</v>
      </c>
      <c r="F11" s="138">
        <f t="shared" si="2"/>
        <v>0.11058823529411765</v>
      </c>
      <c r="G11" s="138">
        <f t="shared" si="3"/>
        <v>0.18274926019789692</v>
      </c>
      <c r="H11" s="114"/>
      <c r="I11" s="114"/>
      <c r="J11" s="114"/>
      <c r="K11" s="114"/>
      <c r="L11" s="114"/>
      <c r="M11" s="114"/>
      <c r="N11" s="114"/>
      <c r="O11" s="114"/>
      <c r="P11" s="114"/>
      <c r="Q11" s="114"/>
      <c r="R11" s="114"/>
      <c r="S11" s="114"/>
      <c r="T11" s="114"/>
      <c r="U11" s="114"/>
      <c r="V11" s="114"/>
      <c r="W11" s="114"/>
      <c r="X11" s="114"/>
      <c r="Y11" s="114"/>
    </row>
    <row r="12" spans="1:25">
      <c r="A12" s="114"/>
      <c r="B12" s="114">
        <v>9</v>
      </c>
      <c r="C12" s="114">
        <v>11</v>
      </c>
      <c r="D12" s="138">
        <f t="shared" si="0"/>
        <v>6.4705882352941183E-2</v>
      </c>
      <c r="E12" s="138">
        <f t="shared" si="1"/>
        <v>3.842721039033839E-2</v>
      </c>
      <c r="F12" s="138">
        <f t="shared" si="2"/>
        <v>0.11058823529411765</v>
      </c>
      <c r="G12" s="138">
        <f t="shared" si="3"/>
        <v>0.18274926019789692</v>
      </c>
      <c r="H12" s="114"/>
      <c r="I12" s="114"/>
      <c r="J12" s="114"/>
      <c r="K12" s="114"/>
      <c r="L12" s="114"/>
      <c r="M12" s="114"/>
      <c r="N12" s="114"/>
      <c r="O12" s="114"/>
      <c r="P12" s="114"/>
      <c r="Q12" s="114"/>
      <c r="R12" s="114"/>
      <c r="S12" s="114"/>
      <c r="T12" s="114"/>
      <c r="U12" s="114"/>
      <c r="V12" s="114"/>
      <c r="W12" s="114"/>
      <c r="X12" s="114"/>
      <c r="Y12" s="114"/>
    </row>
    <row r="13" spans="1:25">
      <c r="A13" s="114"/>
      <c r="B13" s="114">
        <v>10</v>
      </c>
      <c r="C13" s="114">
        <v>20</v>
      </c>
      <c r="D13" s="138">
        <f t="shared" si="0"/>
        <v>0.11764705882352941</v>
      </c>
      <c r="E13" s="138">
        <f t="shared" si="1"/>
        <v>3.842721039033839E-2</v>
      </c>
      <c r="F13" s="138">
        <f t="shared" si="2"/>
        <v>0.11058823529411765</v>
      </c>
      <c r="G13" s="138">
        <f t="shared" si="3"/>
        <v>0.18274926019789692</v>
      </c>
      <c r="H13" s="114"/>
      <c r="I13" s="114"/>
      <c r="J13" s="114"/>
      <c r="K13" s="114"/>
      <c r="L13" s="114"/>
      <c r="M13" s="114"/>
      <c r="N13" s="114"/>
      <c r="O13" s="114"/>
      <c r="P13" s="114"/>
      <c r="Q13" s="114"/>
      <c r="R13" s="114"/>
      <c r="S13" s="114"/>
      <c r="T13" s="114"/>
      <c r="U13" s="114"/>
      <c r="V13" s="114"/>
      <c r="W13" s="114"/>
      <c r="X13" s="114"/>
      <c r="Y13" s="114"/>
    </row>
    <row r="14" spans="1:25">
      <c r="A14" s="114"/>
      <c r="B14" s="114">
        <v>11</v>
      </c>
      <c r="C14" s="114">
        <v>33</v>
      </c>
      <c r="D14" s="138">
        <f t="shared" si="0"/>
        <v>0.19411764705882353</v>
      </c>
      <c r="E14" s="138">
        <f t="shared" si="1"/>
        <v>3.842721039033839E-2</v>
      </c>
      <c r="F14" s="138">
        <f t="shared" si="2"/>
        <v>0.11058823529411765</v>
      </c>
      <c r="G14" s="138">
        <f t="shared" si="3"/>
        <v>0.18274926019789692</v>
      </c>
      <c r="H14" s="114"/>
      <c r="I14" s="114"/>
      <c r="J14" s="114"/>
      <c r="K14" s="114"/>
      <c r="L14" s="114"/>
      <c r="M14" s="114"/>
      <c r="N14" s="114"/>
      <c r="O14" s="114"/>
      <c r="P14" s="114"/>
      <c r="Q14" s="114"/>
      <c r="R14" s="114"/>
      <c r="S14" s="114"/>
      <c r="T14" s="114"/>
      <c r="U14" s="114"/>
      <c r="V14" s="114"/>
      <c r="W14" s="114"/>
      <c r="X14" s="114"/>
      <c r="Y14" s="114"/>
    </row>
    <row r="15" spans="1:25">
      <c r="A15" s="114"/>
      <c r="B15" s="114">
        <v>12</v>
      </c>
      <c r="C15" s="114">
        <v>35</v>
      </c>
      <c r="D15" s="138">
        <f t="shared" si="0"/>
        <v>0.20588235294117646</v>
      </c>
      <c r="E15" s="138">
        <f t="shared" si="1"/>
        <v>3.842721039033839E-2</v>
      </c>
      <c r="F15" s="138">
        <f t="shared" si="2"/>
        <v>0.11058823529411765</v>
      </c>
      <c r="G15" s="138">
        <f t="shared" si="3"/>
        <v>0.18274926019789692</v>
      </c>
      <c r="H15" s="114"/>
      <c r="I15" s="114"/>
      <c r="J15" s="114"/>
      <c r="K15" s="114"/>
      <c r="L15" s="114"/>
      <c r="M15" s="114"/>
      <c r="N15" s="114"/>
      <c r="O15" s="114"/>
      <c r="P15" s="114"/>
      <c r="Q15" s="114"/>
      <c r="R15" s="114"/>
      <c r="S15" s="114"/>
      <c r="T15" s="114"/>
      <c r="U15" s="114"/>
      <c r="V15" s="114"/>
      <c r="W15" s="114"/>
      <c r="X15" s="114"/>
      <c r="Y15" s="114"/>
    </row>
    <row r="16" spans="1:25">
      <c r="A16" s="114"/>
      <c r="B16" s="114">
        <v>13</v>
      </c>
      <c r="C16" s="114">
        <v>17</v>
      </c>
      <c r="D16" s="138">
        <f t="shared" si="0"/>
        <v>0.1</v>
      </c>
      <c r="E16" s="138">
        <f t="shared" si="1"/>
        <v>3.842721039033839E-2</v>
      </c>
      <c r="F16" s="138">
        <f t="shared" si="2"/>
        <v>0.11058823529411765</v>
      </c>
      <c r="G16" s="138">
        <f t="shared" si="3"/>
        <v>0.18274926019789692</v>
      </c>
      <c r="H16" s="114"/>
      <c r="I16" s="114"/>
      <c r="J16" s="114"/>
      <c r="K16" s="114"/>
      <c r="L16" s="114"/>
      <c r="M16" s="114"/>
      <c r="N16" s="114"/>
      <c r="O16" s="114"/>
      <c r="P16" s="114"/>
      <c r="Q16" s="114"/>
      <c r="R16" s="114"/>
      <c r="S16" s="114"/>
      <c r="T16" s="114"/>
      <c r="U16" s="114"/>
      <c r="V16" s="114"/>
      <c r="W16" s="114"/>
      <c r="X16" s="114"/>
      <c r="Y16" s="114"/>
    </row>
    <row r="17" spans="1:25">
      <c r="A17" s="114"/>
      <c r="B17" s="114">
        <v>14</v>
      </c>
      <c r="C17" s="114">
        <v>12</v>
      </c>
      <c r="D17" s="138">
        <f t="shared" si="0"/>
        <v>7.0588235294117646E-2</v>
      </c>
      <c r="E17" s="138">
        <f t="shared" si="1"/>
        <v>3.842721039033839E-2</v>
      </c>
      <c r="F17" s="138">
        <f t="shared" si="2"/>
        <v>0.11058823529411765</v>
      </c>
      <c r="G17" s="138">
        <f t="shared" si="3"/>
        <v>0.18274926019789692</v>
      </c>
      <c r="H17" s="114"/>
      <c r="I17" s="114"/>
      <c r="J17" s="114"/>
      <c r="K17" s="114"/>
      <c r="L17" s="114"/>
      <c r="M17" s="114"/>
      <c r="N17" s="114"/>
      <c r="O17" s="114"/>
      <c r="P17" s="114"/>
      <c r="Q17" s="114"/>
      <c r="R17" s="114"/>
      <c r="S17" s="114"/>
      <c r="T17" s="114"/>
      <c r="U17" s="114"/>
      <c r="V17" s="114"/>
      <c r="W17" s="114"/>
      <c r="X17" s="114"/>
      <c r="Y17" s="114"/>
    </row>
    <row r="18" spans="1:25">
      <c r="A18" s="114"/>
      <c r="B18" s="114">
        <v>15</v>
      </c>
      <c r="C18" s="114">
        <v>25</v>
      </c>
      <c r="D18" s="138">
        <f t="shared" si="0"/>
        <v>0.14705882352941177</v>
      </c>
      <c r="E18" s="138">
        <f t="shared" si="1"/>
        <v>3.842721039033839E-2</v>
      </c>
      <c r="F18" s="138">
        <f t="shared" si="2"/>
        <v>0.11058823529411765</v>
      </c>
      <c r="G18" s="138">
        <f t="shared" si="3"/>
        <v>0.18274926019789692</v>
      </c>
      <c r="H18" s="114"/>
      <c r="I18" s="114"/>
      <c r="J18" s="114"/>
      <c r="K18" s="114"/>
      <c r="L18" s="114"/>
      <c r="M18" s="114"/>
      <c r="N18" s="114"/>
      <c r="O18" s="114"/>
      <c r="P18" s="114"/>
      <c r="Q18" s="114"/>
      <c r="R18" s="114"/>
      <c r="S18" s="114"/>
      <c r="T18" s="114"/>
      <c r="U18" s="114"/>
      <c r="V18" s="114"/>
      <c r="W18" s="114"/>
      <c r="X18" s="114"/>
      <c r="Y18" s="114"/>
    </row>
    <row r="19" spans="1:25">
      <c r="A19" s="114"/>
      <c r="B19" s="114">
        <v>16</v>
      </c>
      <c r="C19" s="114">
        <v>11</v>
      </c>
      <c r="D19" s="138">
        <f t="shared" si="0"/>
        <v>6.4705882352941183E-2</v>
      </c>
      <c r="E19" s="138">
        <f t="shared" si="1"/>
        <v>3.842721039033839E-2</v>
      </c>
      <c r="F19" s="138">
        <f t="shared" si="2"/>
        <v>0.11058823529411765</v>
      </c>
      <c r="G19" s="138">
        <f t="shared" si="3"/>
        <v>0.18274926019789692</v>
      </c>
      <c r="H19" s="114"/>
      <c r="I19" s="114"/>
      <c r="J19" s="114"/>
      <c r="K19" s="114"/>
      <c r="L19" s="114"/>
      <c r="M19" s="114"/>
      <c r="N19" s="114"/>
      <c r="O19" s="114"/>
      <c r="P19" s="114"/>
      <c r="Q19" s="114"/>
      <c r="R19" s="114"/>
      <c r="S19" s="114"/>
      <c r="T19" s="114"/>
      <c r="U19" s="114"/>
      <c r="V19" s="114"/>
      <c r="W19" s="114"/>
      <c r="X19" s="114"/>
      <c r="Y19" s="114"/>
    </row>
    <row r="20" spans="1:25">
      <c r="A20" s="114"/>
      <c r="B20" s="114">
        <v>17</v>
      </c>
      <c r="C20" s="114">
        <v>20</v>
      </c>
      <c r="D20" s="138">
        <f t="shared" si="0"/>
        <v>0.11764705882352941</v>
      </c>
      <c r="E20" s="138">
        <f t="shared" si="1"/>
        <v>3.842721039033839E-2</v>
      </c>
      <c r="F20" s="138">
        <f t="shared" si="2"/>
        <v>0.11058823529411765</v>
      </c>
      <c r="G20" s="138">
        <f t="shared" si="3"/>
        <v>0.18274926019789692</v>
      </c>
      <c r="H20" s="114"/>
      <c r="I20" s="114"/>
      <c r="J20" s="114"/>
      <c r="K20" s="114"/>
      <c r="L20" s="114"/>
      <c r="M20" s="114"/>
      <c r="N20" s="114"/>
      <c r="O20" s="114"/>
      <c r="P20" s="114"/>
      <c r="Q20" s="114"/>
      <c r="R20" s="114"/>
      <c r="S20" s="114"/>
      <c r="T20" s="114"/>
      <c r="U20" s="114"/>
      <c r="V20" s="114"/>
      <c r="W20" s="114"/>
      <c r="X20" s="114"/>
      <c r="Y20" s="114"/>
    </row>
    <row r="21" spans="1:25">
      <c r="A21" s="114"/>
      <c r="B21" s="114">
        <v>18</v>
      </c>
      <c r="C21" s="114">
        <v>17</v>
      </c>
      <c r="D21" s="138">
        <f t="shared" si="0"/>
        <v>0.1</v>
      </c>
      <c r="E21" s="138">
        <f t="shared" si="1"/>
        <v>3.842721039033839E-2</v>
      </c>
      <c r="F21" s="138">
        <f t="shared" si="2"/>
        <v>0.11058823529411765</v>
      </c>
      <c r="G21" s="138">
        <f t="shared" si="3"/>
        <v>0.18274926019789692</v>
      </c>
      <c r="H21" s="114"/>
      <c r="I21" s="114"/>
      <c r="J21" s="114"/>
      <c r="K21" s="114"/>
      <c r="L21" s="114"/>
      <c r="M21" s="114"/>
      <c r="N21" s="114"/>
      <c r="O21" s="114"/>
      <c r="P21" s="114"/>
      <c r="Q21" s="114"/>
      <c r="R21" s="114"/>
      <c r="S21" s="114"/>
      <c r="T21" s="114"/>
      <c r="U21" s="114"/>
      <c r="V21" s="114"/>
      <c r="W21" s="114"/>
      <c r="X21" s="114"/>
      <c r="Y21" s="114"/>
    </row>
    <row r="22" spans="1:25">
      <c r="A22" s="114"/>
      <c r="B22" s="114">
        <v>19</v>
      </c>
      <c r="C22" s="114">
        <v>22</v>
      </c>
      <c r="D22" s="138">
        <f t="shared" si="0"/>
        <v>0.12941176470588237</v>
      </c>
      <c r="E22" s="138">
        <f t="shared" si="1"/>
        <v>3.842721039033839E-2</v>
      </c>
      <c r="F22" s="138">
        <f t="shared" si="2"/>
        <v>0.11058823529411765</v>
      </c>
      <c r="G22" s="138">
        <f t="shared" si="3"/>
        <v>0.18274926019789692</v>
      </c>
      <c r="H22" s="114"/>
      <c r="I22" s="114"/>
      <c r="J22" s="114"/>
      <c r="K22" s="114"/>
      <c r="L22" s="114"/>
      <c r="M22" s="114"/>
      <c r="N22" s="114"/>
      <c r="O22" s="114"/>
      <c r="P22" s="114"/>
      <c r="Q22" s="114"/>
      <c r="R22" s="114"/>
      <c r="S22" s="114"/>
      <c r="T22" s="114"/>
      <c r="U22" s="114"/>
      <c r="V22" s="114"/>
      <c r="W22" s="114"/>
      <c r="X22" s="114"/>
      <c r="Y22" s="114"/>
    </row>
    <row r="23" spans="1:25">
      <c r="A23" s="114"/>
      <c r="B23" s="114">
        <v>20</v>
      </c>
      <c r="C23" s="114">
        <v>18</v>
      </c>
      <c r="D23" s="138">
        <f t="shared" si="0"/>
        <v>0.10588235294117647</v>
      </c>
      <c r="E23" s="138">
        <f t="shared" si="1"/>
        <v>3.842721039033839E-2</v>
      </c>
      <c r="F23" s="138">
        <f t="shared" si="2"/>
        <v>0.11058823529411765</v>
      </c>
      <c r="G23" s="138">
        <f t="shared" si="3"/>
        <v>0.18274926019789692</v>
      </c>
      <c r="H23" s="114"/>
      <c r="I23" s="114"/>
      <c r="J23" s="114"/>
      <c r="K23" s="114"/>
      <c r="L23" s="114"/>
      <c r="M23" s="114"/>
      <c r="N23" s="114"/>
      <c r="O23" s="114"/>
      <c r="P23" s="114"/>
      <c r="Q23" s="114"/>
      <c r="R23" s="114"/>
      <c r="S23" s="114"/>
      <c r="T23" s="114"/>
      <c r="U23" s="114"/>
      <c r="V23" s="114"/>
      <c r="W23" s="114"/>
      <c r="X23" s="114"/>
      <c r="Y23" s="114"/>
    </row>
    <row r="24" spans="1:25">
      <c r="A24" s="114"/>
      <c r="B24" s="114"/>
      <c r="C24" s="114">
        <f>SUM(C4:C23)</f>
        <v>376</v>
      </c>
      <c r="D24" s="114"/>
      <c r="E24" s="114"/>
      <c r="F24" s="114"/>
      <c r="G24" s="114"/>
      <c r="H24" s="114"/>
      <c r="I24" s="114"/>
      <c r="J24" s="114"/>
      <c r="K24" s="114"/>
      <c r="L24" s="114"/>
      <c r="M24" s="114"/>
      <c r="N24" s="114"/>
      <c r="O24" s="114"/>
      <c r="P24" s="114"/>
      <c r="Q24" s="114"/>
      <c r="R24" s="114"/>
      <c r="S24" s="114"/>
      <c r="T24" s="114"/>
      <c r="U24" s="114"/>
      <c r="V24" s="114"/>
      <c r="W24" s="114"/>
      <c r="X24" s="114"/>
      <c r="Y24" s="114"/>
    </row>
    <row r="25" spans="1:25">
      <c r="A25" s="114"/>
      <c r="B25" s="114"/>
      <c r="C25" s="114"/>
      <c r="D25" s="114"/>
      <c r="E25" s="137">
        <f>(J2*(1-J2))/C2</f>
        <v>5.3248499194628515E-4</v>
      </c>
      <c r="F25" s="137">
        <f>SQRT(E25)</f>
        <v>2.3075636328090395E-2</v>
      </c>
      <c r="G25" s="114"/>
      <c r="H25" s="114"/>
      <c r="I25" s="114"/>
      <c r="J25" s="114"/>
      <c r="K25" s="114"/>
      <c r="L25" s="114"/>
      <c r="M25" s="114"/>
      <c r="N25" s="114"/>
      <c r="O25" s="114"/>
      <c r="P25" s="114"/>
      <c r="Q25" s="114"/>
      <c r="R25" s="114"/>
      <c r="S25" s="114"/>
      <c r="T25" s="114"/>
      <c r="U25" s="114"/>
      <c r="V25" s="114"/>
      <c r="W25" s="114"/>
      <c r="X25" s="114"/>
      <c r="Y25" s="114"/>
    </row>
    <row r="26" spans="1:25">
      <c r="A26" s="114"/>
      <c r="B26" s="131" t="s">
        <v>252</v>
      </c>
      <c r="C26" s="131" t="s">
        <v>253</v>
      </c>
      <c r="D26" s="131" t="s">
        <v>254</v>
      </c>
      <c r="E26" s="131" t="s">
        <v>28</v>
      </c>
      <c r="F26" s="131" t="s">
        <v>87</v>
      </c>
      <c r="G26" s="131" t="s">
        <v>27</v>
      </c>
      <c r="H26" s="114"/>
      <c r="I26" s="114"/>
      <c r="J26" s="114"/>
      <c r="K26" s="114"/>
      <c r="L26" s="114"/>
      <c r="M26" s="114"/>
      <c r="N26" s="114"/>
      <c r="O26" s="114"/>
      <c r="P26" s="114"/>
      <c r="Q26" s="114"/>
      <c r="R26" s="114"/>
      <c r="S26" s="114"/>
      <c r="T26" s="114"/>
      <c r="U26" s="114"/>
      <c r="V26" s="114"/>
      <c r="W26" s="114"/>
      <c r="X26" s="114"/>
      <c r="Y26" s="114"/>
    </row>
    <row r="27" spans="1:25">
      <c r="A27" s="114"/>
      <c r="B27" s="139">
        <v>1</v>
      </c>
      <c r="C27" s="139">
        <v>12</v>
      </c>
      <c r="D27" s="138">
        <f t="shared" ref="D27:D44" si="4">C27/$C$2</f>
        <v>7.0588235294117646E-2</v>
      </c>
      <c r="E27" s="138">
        <f>$J$4</f>
        <v>3.1426685786970651E-2</v>
      </c>
      <c r="F27" s="138">
        <f>$J$2</f>
        <v>0.10065359477124183</v>
      </c>
      <c r="G27" s="138">
        <f>$J$3</f>
        <v>0.169880503755513</v>
      </c>
      <c r="H27" s="114"/>
      <c r="I27" s="114"/>
      <c r="J27" s="114"/>
      <c r="K27" s="114"/>
      <c r="L27" s="114"/>
      <c r="M27" s="114"/>
      <c r="N27" s="114"/>
      <c r="O27" s="114"/>
      <c r="P27" s="114"/>
      <c r="Q27" s="114"/>
      <c r="R27" s="114"/>
      <c r="S27" s="114"/>
      <c r="T27" s="114"/>
      <c r="U27" s="114"/>
      <c r="V27" s="114"/>
      <c r="W27" s="114"/>
      <c r="X27" s="114"/>
      <c r="Y27" s="114"/>
    </row>
    <row r="28" spans="1:25">
      <c r="A28" s="114"/>
      <c r="B28" s="139">
        <v>2</v>
      </c>
      <c r="C28" s="139">
        <v>22</v>
      </c>
      <c r="D28" s="138">
        <f t="shared" si="4"/>
        <v>0.12941176470588237</v>
      </c>
      <c r="E28" s="138">
        <f t="shared" ref="E28:E44" si="5">$J$4</f>
        <v>3.1426685786970651E-2</v>
      </c>
      <c r="F28" s="138">
        <f t="shared" ref="F28:F44" si="6">$J$2</f>
        <v>0.10065359477124183</v>
      </c>
      <c r="G28" s="138">
        <f t="shared" ref="G28:G44" si="7">$J$3</f>
        <v>0.169880503755513</v>
      </c>
      <c r="H28" s="114"/>
      <c r="I28" s="114"/>
      <c r="J28" s="114"/>
      <c r="K28" s="114"/>
      <c r="L28" s="114"/>
      <c r="M28" s="114"/>
      <c r="N28" s="114"/>
      <c r="O28" s="114"/>
      <c r="P28" s="114"/>
      <c r="Q28" s="114"/>
      <c r="R28" s="114"/>
      <c r="S28" s="114"/>
      <c r="T28" s="114"/>
      <c r="U28" s="114"/>
      <c r="V28" s="114"/>
      <c r="W28" s="114"/>
      <c r="X28" s="114"/>
      <c r="Y28" s="114"/>
    </row>
    <row r="29" spans="1:25">
      <c r="A29" s="114"/>
      <c r="B29" s="139">
        <v>3</v>
      </c>
      <c r="C29" s="139">
        <v>10</v>
      </c>
      <c r="D29" s="138">
        <f t="shared" si="4"/>
        <v>5.8823529411764705E-2</v>
      </c>
      <c r="E29" s="138">
        <f t="shared" si="5"/>
        <v>3.1426685786970651E-2</v>
      </c>
      <c r="F29" s="138">
        <f t="shared" si="6"/>
        <v>0.10065359477124183</v>
      </c>
      <c r="G29" s="138">
        <f t="shared" si="7"/>
        <v>0.169880503755513</v>
      </c>
      <c r="H29" s="114"/>
      <c r="I29" s="114"/>
      <c r="J29" s="114"/>
      <c r="K29" s="114"/>
      <c r="L29" s="114"/>
      <c r="M29" s="114"/>
      <c r="N29" s="114"/>
      <c r="O29" s="114"/>
      <c r="P29" s="114"/>
      <c r="Q29" s="114"/>
      <c r="R29" s="114"/>
      <c r="S29" s="114"/>
      <c r="T29" s="114"/>
      <c r="U29" s="114"/>
      <c r="V29" s="114"/>
      <c r="W29" s="114"/>
      <c r="X29" s="114"/>
      <c r="Y29" s="114"/>
    </row>
    <row r="30" spans="1:25">
      <c r="A30" s="114"/>
      <c r="B30" s="139">
        <v>4</v>
      </c>
      <c r="C30" s="139">
        <v>20</v>
      </c>
      <c r="D30" s="138">
        <f t="shared" si="4"/>
        <v>0.11764705882352941</v>
      </c>
      <c r="E30" s="138">
        <f t="shared" si="5"/>
        <v>3.1426685786970651E-2</v>
      </c>
      <c r="F30" s="138">
        <f t="shared" si="6"/>
        <v>0.10065359477124183</v>
      </c>
      <c r="G30" s="138">
        <f t="shared" si="7"/>
        <v>0.169880503755513</v>
      </c>
      <c r="H30" s="114"/>
      <c r="I30" s="114"/>
      <c r="J30" s="114"/>
      <c r="K30" s="114"/>
      <c r="L30" s="114"/>
      <c r="M30" s="114"/>
      <c r="N30" s="114"/>
      <c r="O30" s="114"/>
      <c r="P30" s="114"/>
      <c r="Q30" s="114"/>
      <c r="R30" s="114"/>
      <c r="S30" s="114"/>
      <c r="T30" s="114"/>
      <c r="U30" s="114"/>
      <c r="V30" s="114"/>
      <c r="W30" s="114"/>
      <c r="X30" s="114"/>
      <c r="Y30" s="114"/>
    </row>
    <row r="31" spans="1:25">
      <c r="A31" s="114"/>
      <c r="B31" s="139">
        <v>5</v>
      </c>
      <c r="C31" s="139">
        <v>24</v>
      </c>
      <c r="D31" s="138">
        <f t="shared" si="4"/>
        <v>0.14117647058823529</v>
      </c>
      <c r="E31" s="138">
        <f t="shared" si="5"/>
        <v>3.1426685786970651E-2</v>
      </c>
      <c r="F31" s="138">
        <f t="shared" si="6"/>
        <v>0.10065359477124183</v>
      </c>
      <c r="G31" s="138">
        <f t="shared" si="7"/>
        <v>0.169880503755513</v>
      </c>
      <c r="H31" s="114"/>
      <c r="I31" s="114"/>
      <c r="J31" s="114"/>
      <c r="K31" s="114"/>
      <c r="L31" s="114"/>
      <c r="M31" s="114"/>
      <c r="N31" s="114"/>
      <c r="O31" s="114"/>
      <c r="P31" s="114"/>
      <c r="Q31" s="114"/>
      <c r="R31" s="114"/>
      <c r="S31" s="114"/>
      <c r="T31" s="114"/>
      <c r="U31" s="114"/>
      <c r="V31" s="114"/>
      <c r="W31" s="114"/>
      <c r="X31" s="114"/>
      <c r="Y31" s="114"/>
    </row>
    <row r="32" spans="1:25">
      <c r="A32" s="114"/>
      <c r="B32" s="139">
        <v>6</v>
      </c>
      <c r="C32" s="139">
        <v>10</v>
      </c>
      <c r="D32" s="138">
        <f t="shared" si="4"/>
        <v>5.8823529411764705E-2</v>
      </c>
      <c r="E32" s="138">
        <f t="shared" si="5"/>
        <v>3.1426685786970651E-2</v>
      </c>
      <c r="F32" s="138">
        <f t="shared" si="6"/>
        <v>0.10065359477124183</v>
      </c>
      <c r="G32" s="138">
        <f t="shared" si="7"/>
        <v>0.169880503755513</v>
      </c>
      <c r="H32" s="114"/>
      <c r="I32" s="114"/>
      <c r="J32" s="114"/>
      <c r="K32" s="114"/>
      <c r="L32" s="114"/>
      <c r="M32" s="114"/>
      <c r="N32" s="114"/>
      <c r="O32" s="114"/>
      <c r="P32" s="114"/>
      <c r="Q32" s="114"/>
      <c r="R32" s="114"/>
      <c r="S32" s="114"/>
      <c r="T32" s="114"/>
      <c r="U32" s="114"/>
      <c r="V32" s="114"/>
      <c r="W32" s="114"/>
      <c r="X32" s="114"/>
      <c r="Y32" s="114"/>
    </row>
    <row r="33" spans="1:25">
      <c r="A33" s="114"/>
      <c r="B33" s="139">
        <v>7</v>
      </c>
      <c r="C33" s="139">
        <v>15</v>
      </c>
      <c r="D33" s="138">
        <f t="shared" si="4"/>
        <v>8.8235294117647065E-2</v>
      </c>
      <c r="E33" s="138">
        <f t="shared" si="5"/>
        <v>3.1426685786970651E-2</v>
      </c>
      <c r="F33" s="138">
        <f t="shared" si="6"/>
        <v>0.10065359477124183</v>
      </c>
      <c r="G33" s="138">
        <f t="shared" si="7"/>
        <v>0.169880503755513</v>
      </c>
      <c r="H33" s="114"/>
      <c r="I33" s="114"/>
      <c r="J33" s="114"/>
      <c r="K33" s="114"/>
      <c r="L33" s="114"/>
      <c r="M33" s="114"/>
      <c r="N33" s="114"/>
      <c r="O33" s="114"/>
      <c r="P33" s="114"/>
      <c r="Q33" s="114"/>
      <c r="R33" s="114"/>
      <c r="S33" s="114"/>
      <c r="T33" s="114"/>
      <c r="U33" s="114"/>
      <c r="V33" s="114"/>
      <c r="W33" s="114"/>
      <c r="X33" s="114"/>
      <c r="Y33" s="114"/>
    </row>
    <row r="34" spans="1:25">
      <c r="A34" s="114"/>
      <c r="B34" s="139">
        <v>8</v>
      </c>
      <c r="C34" s="139">
        <v>22</v>
      </c>
      <c r="D34" s="138">
        <f t="shared" si="4"/>
        <v>0.12941176470588237</v>
      </c>
      <c r="E34" s="138">
        <f t="shared" si="5"/>
        <v>3.1426685786970651E-2</v>
      </c>
      <c r="F34" s="138">
        <f t="shared" si="6"/>
        <v>0.10065359477124183</v>
      </c>
      <c r="G34" s="138">
        <f t="shared" si="7"/>
        <v>0.169880503755513</v>
      </c>
      <c r="H34" s="114"/>
      <c r="I34" s="114"/>
      <c r="J34" s="114"/>
      <c r="K34" s="114"/>
      <c r="L34" s="114"/>
      <c r="M34" s="114"/>
      <c r="N34" s="114"/>
      <c r="O34" s="114"/>
      <c r="P34" s="114"/>
      <c r="Q34" s="114"/>
      <c r="R34" s="114"/>
      <c r="S34" s="114"/>
      <c r="T34" s="114"/>
      <c r="U34" s="114"/>
      <c r="V34" s="114"/>
      <c r="W34" s="114"/>
      <c r="X34" s="114"/>
      <c r="Y34" s="114"/>
    </row>
    <row r="35" spans="1:25">
      <c r="A35" s="114"/>
      <c r="B35" s="139">
        <v>9</v>
      </c>
      <c r="C35" s="139">
        <v>11</v>
      </c>
      <c r="D35" s="138">
        <f t="shared" si="4"/>
        <v>6.4705882352941183E-2</v>
      </c>
      <c r="E35" s="138">
        <f t="shared" si="5"/>
        <v>3.1426685786970651E-2</v>
      </c>
      <c r="F35" s="138">
        <f t="shared" si="6"/>
        <v>0.10065359477124183</v>
      </c>
      <c r="G35" s="138">
        <f t="shared" si="7"/>
        <v>0.169880503755513</v>
      </c>
      <c r="H35" s="114"/>
      <c r="I35" s="114"/>
      <c r="J35" s="114"/>
      <c r="K35" s="114"/>
      <c r="L35" s="114"/>
      <c r="M35" s="114"/>
      <c r="N35" s="114"/>
      <c r="O35" s="114"/>
      <c r="P35" s="114"/>
      <c r="Q35" s="114"/>
      <c r="R35" s="114"/>
      <c r="S35" s="114"/>
      <c r="T35" s="114"/>
      <c r="U35" s="114"/>
      <c r="V35" s="114"/>
      <c r="W35" s="114"/>
      <c r="X35" s="114"/>
      <c r="Y35" s="114"/>
    </row>
    <row r="36" spans="1:25">
      <c r="A36" s="114"/>
      <c r="B36" s="139">
        <v>10</v>
      </c>
      <c r="C36" s="139">
        <v>20</v>
      </c>
      <c r="D36" s="138">
        <f t="shared" si="4"/>
        <v>0.11764705882352941</v>
      </c>
      <c r="E36" s="138">
        <f t="shared" si="5"/>
        <v>3.1426685786970651E-2</v>
      </c>
      <c r="F36" s="138">
        <f t="shared" si="6"/>
        <v>0.10065359477124183</v>
      </c>
      <c r="G36" s="138">
        <f t="shared" si="7"/>
        <v>0.169880503755513</v>
      </c>
      <c r="H36" s="114"/>
      <c r="I36" s="114"/>
      <c r="J36" s="114"/>
      <c r="K36" s="114"/>
      <c r="L36" s="114"/>
      <c r="M36" s="114"/>
      <c r="N36" s="114"/>
      <c r="O36" s="114"/>
      <c r="P36" s="114"/>
      <c r="Q36" s="114"/>
      <c r="R36" s="114"/>
      <c r="S36" s="114"/>
      <c r="T36" s="114"/>
      <c r="U36" s="114"/>
      <c r="V36" s="114"/>
      <c r="W36" s="114"/>
      <c r="X36" s="114"/>
      <c r="Y36" s="114"/>
    </row>
    <row r="37" spans="1:25">
      <c r="A37" s="114"/>
      <c r="B37" s="114">
        <v>13</v>
      </c>
      <c r="C37" s="114">
        <v>17</v>
      </c>
      <c r="D37" s="138">
        <f t="shared" si="4"/>
        <v>0.1</v>
      </c>
      <c r="E37" s="138">
        <f t="shared" si="5"/>
        <v>3.1426685786970651E-2</v>
      </c>
      <c r="F37" s="138">
        <f t="shared" si="6"/>
        <v>0.10065359477124183</v>
      </c>
      <c r="G37" s="138">
        <f t="shared" si="7"/>
        <v>0.169880503755513</v>
      </c>
      <c r="H37" s="114"/>
      <c r="I37" s="114"/>
      <c r="J37" s="114"/>
      <c r="K37" s="114"/>
      <c r="L37" s="114"/>
      <c r="M37" s="114"/>
      <c r="N37" s="114"/>
      <c r="O37" s="114"/>
      <c r="P37" s="114"/>
      <c r="Q37" s="114"/>
      <c r="R37" s="114"/>
      <c r="S37" s="114"/>
      <c r="T37" s="114"/>
      <c r="U37" s="114"/>
      <c r="V37" s="114"/>
      <c r="W37" s="114"/>
      <c r="X37" s="114"/>
      <c r="Y37" s="114"/>
    </row>
    <row r="38" spans="1:25">
      <c r="A38" s="114"/>
      <c r="B38" s="114">
        <v>14</v>
      </c>
      <c r="C38" s="114">
        <v>12</v>
      </c>
      <c r="D38" s="138">
        <f t="shared" si="4"/>
        <v>7.0588235294117646E-2</v>
      </c>
      <c r="E38" s="138">
        <f t="shared" si="5"/>
        <v>3.1426685786970651E-2</v>
      </c>
      <c r="F38" s="138">
        <f t="shared" si="6"/>
        <v>0.10065359477124183</v>
      </c>
      <c r="G38" s="138">
        <f t="shared" si="7"/>
        <v>0.169880503755513</v>
      </c>
      <c r="H38" s="114"/>
      <c r="I38" s="114"/>
      <c r="J38" s="114"/>
      <c r="K38" s="114"/>
      <c r="L38" s="114"/>
      <c r="M38" s="114"/>
      <c r="N38" s="114"/>
      <c r="O38" s="114"/>
      <c r="P38" s="114"/>
      <c r="Q38" s="114"/>
      <c r="R38" s="114"/>
      <c r="S38" s="114"/>
      <c r="T38" s="114"/>
      <c r="U38" s="114"/>
      <c r="V38" s="114"/>
      <c r="W38" s="114"/>
      <c r="X38" s="114"/>
      <c r="Y38" s="114"/>
    </row>
    <row r="39" spans="1:25">
      <c r="A39" s="114"/>
      <c r="B39" s="114">
        <v>15</v>
      </c>
      <c r="C39" s="114">
        <v>25</v>
      </c>
      <c r="D39" s="138">
        <f t="shared" si="4"/>
        <v>0.14705882352941177</v>
      </c>
      <c r="E39" s="138">
        <f t="shared" si="5"/>
        <v>3.1426685786970651E-2</v>
      </c>
      <c r="F39" s="138">
        <f t="shared" si="6"/>
        <v>0.10065359477124183</v>
      </c>
      <c r="G39" s="138">
        <f t="shared" si="7"/>
        <v>0.169880503755513</v>
      </c>
      <c r="H39" s="114"/>
      <c r="I39" s="114"/>
      <c r="J39" s="114"/>
      <c r="K39" s="114"/>
      <c r="L39" s="114"/>
      <c r="M39" s="114"/>
      <c r="N39" s="114"/>
      <c r="O39" s="114"/>
      <c r="P39" s="114"/>
      <c r="Q39" s="114"/>
      <c r="R39" s="114"/>
      <c r="S39" s="114"/>
      <c r="T39" s="114"/>
      <c r="U39" s="114"/>
      <c r="V39" s="114"/>
      <c r="W39" s="114"/>
      <c r="X39" s="114"/>
      <c r="Y39" s="114"/>
    </row>
    <row r="40" spans="1:25">
      <c r="A40" s="114"/>
      <c r="B40" s="114">
        <v>16</v>
      </c>
      <c r="C40" s="114">
        <v>11</v>
      </c>
      <c r="D40" s="138">
        <f t="shared" si="4"/>
        <v>6.4705882352941183E-2</v>
      </c>
      <c r="E40" s="138">
        <f t="shared" si="5"/>
        <v>3.1426685786970651E-2</v>
      </c>
      <c r="F40" s="138">
        <f t="shared" si="6"/>
        <v>0.10065359477124183</v>
      </c>
      <c r="G40" s="138">
        <f t="shared" si="7"/>
        <v>0.169880503755513</v>
      </c>
      <c r="H40" s="114"/>
      <c r="I40" s="114"/>
      <c r="J40" s="114"/>
      <c r="K40" s="114"/>
      <c r="L40" s="114"/>
      <c r="M40" s="114"/>
      <c r="N40" s="114"/>
      <c r="O40" s="114"/>
      <c r="P40" s="114"/>
      <c r="Q40" s="114"/>
      <c r="R40" s="114"/>
      <c r="S40" s="114"/>
      <c r="T40" s="114"/>
      <c r="U40" s="114"/>
      <c r="V40" s="114"/>
      <c r="W40" s="114"/>
      <c r="X40" s="114"/>
      <c r="Y40" s="114"/>
    </row>
    <row r="41" spans="1:25">
      <c r="A41" s="114"/>
      <c r="B41" s="114">
        <v>17</v>
      </c>
      <c r="C41" s="114">
        <v>20</v>
      </c>
      <c r="D41" s="138">
        <f t="shared" si="4"/>
        <v>0.11764705882352941</v>
      </c>
      <c r="E41" s="138">
        <f t="shared" si="5"/>
        <v>3.1426685786970651E-2</v>
      </c>
      <c r="F41" s="138">
        <f t="shared" si="6"/>
        <v>0.10065359477124183</v>
      </c>
      <c r="G41" s="138">
        <f t="shared" si="7"/>
        <v>0.169880503755513</v>
      </c>
      <c r="H41" s="114"/>
      <c r="I41" s="114"/>
      <c r="J41" s="114"/>
      <c r="K41" s="114"/>
      <c r="L41" s="114"/>
      <c r="M41" s="114"/>
      <c r="N41" s="114"/>
      <c r="O41" s="114"/>
      <c r="P41" s="114"/>
      <c r="Q41" s="114"/>
      <c r="R41" s="114"/>
      <c r="S41" s="114"/>
      <c r="T41" s="114"/>
      <c r="U41" s="114"/>
      <c r="V41" s="114"/>
      <c r="W41" s="114"/>
      <c r="X41" s="114"/>
      <c r="Y41" s="114"/>
    </row>
    <row r="42" spans="1:25">
      <c r="A42" s="114"/>
      <c r="B42" s="114">
        <v>18</v>
      </c>
      <c r="C42" s="114">
        <v>17</v>
      </c>
      <c r="D42" s="138">
        <f t="shared" si="4"/>
        <v>0.1</v>
      </c>
      <c r="E42" s="138">
        <f t="shared" si="5"/>
        <v>3.1426685786970651E-2</v>
      </c>
      <c r="F42" s="138">
        <f t="shared" si="6"/>
        <v>0.10065359477124183</v>
      </c>
      <c r="G42" s="138">
        <f t="shared" si="7"/>
        <v>0.169880503755513</v>
      </c>
      <c r="H42" s="114"/>
      <c r="I42" s="114"/>
      <c r="J42" s="114"/>
      <c r="K42" s="114"/>
      <c r="L42" s="114"/>
      <c r="M42" s="114"/>
      <c r="N42" s="114"/>
      <c r="O42" s="114"/>
      <c r="P42" s="114"/>
      <c r="Q42" s="114"/>
      <c r="R42" s="114"/>
      <c r="S42" s="114"/>
      <c r="T42" s="114"/>
      <c r="U42" s="114"/>
      <c r="V42" s="114"/>
      <c r="W42" s="114"/>
      <c r="X42" s="114"/>
      <c r="Y42" s="114"/>
    </row>
    <row r="43" spans="1:25">
      <c r="A43" s="114"/>
      <c r="B43" s="114">
        <v>19</v>
      </c>
      <c r="C43" s="114">
        <v>22</v>
      </c>
      <c r="D43" s="138">
        <f t="shared" si="4"/>
        <v>0.12941176470588237</v>
      </c>
      <c r="E43" s="138">
        <f t="shared" si="5"/>
        <v>3.1426685786970651E-2</v>
      </c>
      <c r="F43" s="138">
        <f t="shared" si="6"/>
        <v>0.10065359477124183</v>
      </c>
      <c r="G43" s="138">
        <f t="shared" si="7"/>
        <v>0.169880503755513</v>
      </c>
      <c r="H43" s="114"/>
      <c r="I43" s="114"/>
      <c r="J43" s="114"/>
      <c r="K43" s="114"/>
      <c r="L43" s="114"/>
      <c r="M43" s="114"/>
      <c r="N43" s="114"/>
      <c r="O43" s="114"/>
      <c r="P43" s="114"/>
      <c r="Q43" s="114"/>
      <c r="R43" s="114"/>
      <c r="S43" s="114"/>
      <c r="T43" s="114"/>
      <c r="U43" s="114"/>
      <c r="V43" s="114"/>
      <c r="W43" s="114"/>
      <c r="X43" s="114"/>
      <c r="Y43" s="114"/>
    </row>
    <row r="44" spans="1:25">
      <c r="A44" s="114"/>
      <c r="B44" s="114">
        <v>20</v>
      </c>
      <c r="C44" s="114">
        <v>18</v>
      </c>
      <c r="D44" s="138">
        <f t="shared" si="4"/>
        <v>0.10588235294117647</v>
      </c>
      <c r="E44" s="138">
        <f t="shared" si="5"/>
        <v>3.1426685786970651E-2</v>
      </c>
      <c r="F44" s="138">
        <f t="shared" si="6"/>
        <v>0.10065359477124183</v>
      </c>
      <c r="G44" s="138">
        <f t="shared" si="7"/>
        <v>0.169880503755513</v>
      </c>
      <c r="H44" s="114"/>
      <c r="I44" s="114"/>
      <c r="J44" s="114"/>
      <c r="K44" s="114"/>
      <c r="L44" s="114"/>
      <c r="M44" s="114"/>
      <c r="N44" s="114"/>
      <c r="O44" s="114"/>
      <c r="P44" s="114"/>
      <c r="Q44" s="114"/>
      <c r="R44" s="114"/>
      <c r="S44" s="114"/>
      <c r="T44" s="114"/>
      <c r="U44" s="114"/>
      <c r="V44" s="114"/>
      <c r="W44" s="114"/>
      <c r="X44" s="114"/>
      <c r="Y44" s="114"/>
    </row>
    <row r="45" spans="1:25">
      <c r="A45" s="114"/>
      <c r="B45" s="114"/>
      <c r="C45" s="114">
        <f>SUM(C27:C44)</f>
        <v>308</v>
      </c>
      <c r="D45" s="114"/>
      <c r="E45" s="114"/>
      <c r="F45" s="114"/>
      <c r="G45" s="114"/>
      <c r="H45" s="114"/>
      <c r="I45" s="114"/>
      <c r="J45" s="114"/>
      <c r="K45" s="114"/>
      <c r="L45" s="114"/>
      <c r="M45" s="114"/>
      <c r="N45" s="114"/>
      <c r="O45" s="114"/>
      <c r="P45" s="114"/>
      <c r="Q45" s="114"/>
      <c r="R45" s="114"/>
      <c r="S45" s="114"/>
      <c r="T45" s="114"/>
      <c r="U45" s="114"/>
      <c r="V45" s="114"/>
      <c r="W45" s="114"/>
      <c r="X45" s="114"/>
      <c r="Y45" s="114"/>
    </row>
    <row r="46" spans="1:25">
      <c r="A46" s="114"/>
      <c r="B46" s="114"/>
      <c r="C46" s="114">
        <f>C59</f>
        <v>134</v>
      </c>
      <c r="D46" s="114"/>
      <c r="E46" s="137">
        <f>(K2*(1-K2))/C2</f>
        <v>4.2711988601669041E-4</v>
      </c>
      <c r="F46" s="137">
        <f>SQRT(E46)</f>
        <v>2.0666878961679007E-2</v>
      </c>
      <c r="G46" s="114"/>
      <c r="H46" s="114"/>
      <c r="I46" s="114"/>
      <c r="J46" s="114"/>
      <c r="K46" s="114"/>
      <c r="L46" s="114"/>
      <c r="M46" s="114"/>
      <c r="N46" s="114"/>
      <c r="O46" s="114"/>
      <c r="P46" s="114"/>
      <c r="Q46" s="114"/>
      <c r="R46" s="114"/>
      <c r="S46" s="114"/>
      <c r="T46" s="114"/>
      <c r="U46" s="114"/>
      <c r="V46" s="114"/>
      <c r="W46" s="114"/>
      <c r="X46" s="114"/>
      <c r="Y46" s="114"/>
    </row>
    <row r="47" spans="1:25">
      <c r="A47" s="114"/>
      <c r="B47" s="114"/>
      <c r="C47" s="114"/>
      <c r="D47" s="114"/>
      <c r="E47" s="137"/>
      <c r="F47" s="137"/>
      <c r="G47" s="114"/>
      <c r="H47" s="114"/>
      <c r="I47" s="114"/>
      <c r="J47" s="114"/>
      <c r="K47" s="114"/>
      <c r="L47" s="114"/>
      <c r="M47" s="114"/>
      <c r="N47" s="114"/>
      <c r="O47" s="114"/>
      <c r="P47" s="114"/>
      <c r="Q47" s="114"/>
      <c r="R47" s="114"/>
      <c r="S47" s="114"/>
      <c r="T47" s="114"/>
      <c r="U47" s="114"/>
      <c r="V47" s="114"/>
      <c r="W47" s="114"/>
      <c r="X47" s="114"/>
      <c r="Y47" s="114"/>
    </row>
    <row r="48" spans="1:25">
      <c r="A48" s="114" t="s">
        <v>18</v>
      </c>
      <c r="B48" s="131" t="s">
        <v>252</v>
      </c>
      <c r="C48" s="131" t="s">
        <v>253</v>
      </c>
      <c r="D48" s="114"/>
      <c r="E48" s="114"/>
      <c r="F48" s="114"/>
      <c r="G48" s="114"/>
      <c r="H48" s="114"/>
      <c r="I48" s="114"/>
      <c r="J48" s="114"/>
      <c r="K48" s="114"/>
      <c r="L48" s="114"/>
      <c r="M48" s="114"/>
      <c r="N48" s="114"/>
      <c r="O48" s="114"/>
      <c r="P48" s="114"/>
      <c r="Q48" s="114"/>
      <c r="R48" s="114"/>
      <c r="S48" s="114"/>
      <c r="T48" s="114"/>
      <c r="U48" s="114"/>
      <c r="V48" s="114"/>
      <c r="W48" s="114"/>
      <c r="X48" s="114"/>
      <c r="Y48" s="114"/>
    </row>
    <row r="49" spans="1:25">
      <c r="A49" s="114"/>
      <c r="B49" s="114">
        <v>21</v>
      </c>
      <c r="C49" s="114">
        <v>13</v>
      </c>
      <c r="D49" s="114"/>
      <c r="E49" s="114"/>
      <c r="F49" s="114"/>
      <c r="G49" s="114"/>
      <c r="H49" s="114"/>
      <c r="I49" s="114"/>
      <c r="J49" s="114"/>
      <c r="K49" s="114"/>
      <c r="L49" s="114"/>
      <c r="M49" s="114"/>
      <c r="N49" s="114"/>
      <c r="O49" s="114"/>
      <c r="P49" s="114"/>
      <c r="Q49" s="114"/>
      <c r="R49" s="114"/>
      <c r="S49" s="114"/>
      <c r="T49" s="114"/>
      <c r="U49" s="114"/>
      <c r="V49" s="114"/>
      <c r="W49" s="114"/>
      <c r="X49" s="114"/>
      <c r="Y49" s="114"/>
    </row>
    <row r="50" spans="1:25">
      <c r="A50" s="114"/>
      <c r="B50" s="114">
        <v>22</v>
      </c>
      <c r="C50" s="114">
        <v>15</v>
      </c>
      <c r="D50" s="114"/>
      <c r="E50" s="114"/>
      <c r="F50" s="114" t="s">
        <v>255</v>
      </c>
      <c r="G50" s="114"/>
      <c r="H50" s="137"/>
      <c r="I50" s="137" t="s">
        <v>256</v>
      </c>
      <c r="J50" s="114"/>
      <c r="K50" s="114"/>
      <c r="L50" s="114"/>
      <c r="M50" s="114"/>
      <c r="N50" s="114"/>
      <c r="O50" s="114"/>
      <c r="P50" s="114"/>
      <c r="Q50" s="114"/>
      <c r="R50" s="114"/>
      <c r="S50" s="114"/>
      <c r="T50" s="114"/>
      <c r="U50" s="114"/>
      <c r="V50" s="114"/>
      <c r="W50" s="114"/>
      <c r="X50" s="114"/>
      <c r="Y50" s="114"/>
    </row>
    <row r="51" spans="1:25">
      <c r="A51" s="114"/>
      <c r="B51" s="114">
        <v>23</v>
      </c>
      <c r="C51" s="114">
        <v>12</v>
      </c>
      <c r="D51" s="114"/>
      <c r="E51" s="114"/>
      <c r="F51" s="114" t="s">
        <v>257</v>
      </c>
      <c r="G51" s="114"/>
      <c r="H51" s="137"/>
      <c r="I51" s="137" t="s">
        <v>258</v>
      </c>
      <c r="J51" s="114"/>
      <c r="K51" s="114"/>
      <c r="L51" s="114"/>
      <c r="M51" s="114"/>
      <c r="N51" s="114"/>
      <c r="O51" s="114"/>
      <c r="P51" s="114"/>
      <c r="Q51" s="114"/>
      <c r="R51" s="114"/>
      <c r="S51" s="114"/>
      <c r="T51" s="114"/>
      <c r="U51" s="114"/>
      <c r="V51" s="114"/>
      <c r="W51" s="114"/>
      <c r="X51" s="114"/>
      <c r="Y51" s="114"/>
    </row>
    <row r="52" spans="1:25">
      <c r="A52" s="114"/>
      <c r="B52" s="114">
        <v>24</v>
      </c>
      <c r="C52" s="114">
        <v>11</v>
      </c>
      <c r="D52" s="114"/>
      <c r="E52" s="114"/>
      <c r="F52" s="114"/>
      <c r="G52" s="114"/>
      <c r="H52" s="137"/>
      <c r="I52" s="137"/>
      <c r="J52" s="114"/>
      <c r="K52" s="114"/>
      <c r="L52" s="114"/>
      <c r="M52" s="114"/>
      <c r="N52" s="114"/>
      <c r="O52" s="114"/>
      <c r="P52" s="114"/>
      <c r="Q52" s="114"/>
      <c r="R52" s="114"/>
      <c r="S52" s="114"/>
      <c r="T52" s="114"/>
      <c r="U52" s="114"/>
      <c r="V52" s="114"/>
      <c r="W52" s="114"/>
      <c r="X52" s="114"/>
      <c r="Y52" s="114"/>
    </row>
    <row r="53" spans="1:25">
      <c r="A53" s="114"/>
      <c r="B53" s="114">
        <v>25</v>
      </c>
      <c r="C53" s="114">
        <v>18</v>
      </c>
      <c r="D53" s="114"/>
      <c r="E53" s="114" t="s">
        <v>259</v>
      </c>
      <c r="F53" s="137">
        <f>J2</f>
        <v>0.10065359477124183</v>
      </c>
      <c r="G53" s="114"/>
      <c r="H53" s="137" t="s">
        <v>260</v>
      </c>
      <c r="I53" s="137">
        <f>F53-F54</f>
        <v>2.1830065359477124E-2</v>
      </c>
      <c r="J53" s="114" t="s">
        <v>261</v>
      </c>
      <c r="K53" s="114">
        <f>(C45+C46)/((C2*18)+(C2*10))</f>
        <v>9.285714285714286E-2</v>
      </c>
      <c r="L53" s="114" t="s">
        <v>262</v>
      </c>
      <c r="M53" s="114">
        <f>1-K53</f>
        <v>0.90714285714285714</v>
      </c>
      <c r="N53" s="114">
        <f>(((1/(170*18))+((1/(170*10)))))</f>
        <v>9.1503267973856196E-4</v>
      </c>
      <c r="O53" s="114">
        <f>SQRT(K53*M53*N53)</f>
        <v>8.7793791161865746E-3</v>
      </c>
      <c r="P53" s="114"/>
      <c r="Q53" s="114"/>
      <c r="R53" s="114"/>
      <c r="S53" s="114"/>
      <c r="T53" s="114"/>
      <c r="U53" s="114"/>
      <c r="V53" s="114"/>
      <c r="W53" s="114"/>
      <c r="X53" s="114"/>
      <c r="Y53" s="114"/>
    </row>
    <row r="54" spans="1:25">
      <c r="A54" s="114"/>
      <c r="B54" s="114">
        <v>26</v>
      </c>
      <c r="C54" s="114">
        <v>15</v>
      </c>
      <c r="D54" s="114"/>
      <c r="E54" s="114" t="s">
        <v>263</v>
      </c>
      <c r="F54" s="137">
        <f>K2</f>
        <v>7.8823529411764709E-2</v>
      </c>
      <c r="G54" s="114"/>
      <c r="H54" s="137" t="s">
        <v>264</v>
      </c>
      <c r="I54" s="137">
        <f>I53/O53</f>
        <v>2.4865158538636236</v>
      </c>
      <c r="J54" s="114"/>
      <c r="K54" s="129"/>
      <c r="L54" s="114"/>
      <c r="M54" s="114"/>
      <c r="N54" s="114"/>
      <c r="O54" s="114"/>
      <c r="P54" s="114"/>
      <c r="Q54" s="114"/>
      <c r="R54" s="114"/>
      <c r="S54" s="114"/>
      <c r="T54" s="114"/>
      <c r="U54" s="114"/>
      <c r="V54" s="114"/>
      <c r="W54" s="114"/>
      <c r="X54" s="114"/>
      <c r="Y54" s="114"/>
    </row>
    <row r="55" spans="1:25">
      <c r="A55" s="114"/>
      <c r="B55" s="114">
        <v>27</v>
      </c>
      <c r="C55" s="114">
        <v>11</v>
      </c>
      <c r="D55" s="114"/>
      <c r="E55" s="114"/>
      <c r="F55" s="114"/>
      <c r="G55" s="114"/>
      <c r="H55" s="137" t="s">
        <v>265</v>
      </c>
      <c r="I55" s="137">
        <v>1.645</v>
      </c>
      <c r="J55" s="114"/>
      <c r="K55" s="114"/>
      <c r="L55" s="114"/>
      <c r="M55" s="114"/>
      <c r="N55" s="114"/>
      <c r="O55" s="114"/>
      <c r="P55" s="114"/>
      <c r="Q55" s="114"/>
      <c r="R55" s="114"/>
      <c r="S55" s="114"/>
      <c r="T55" s="114"/>
      <c r="U55" s="114"/>
      <c r="V55" s="114"/>
      <c r="W55" s="114"/>
      <c r="X55" s="114"/>
      <c r="Y55" s="114"/>
    </row>
    <row r="56" spans="1:25">
      <c r="A56" s="114"/>
      <c r="B56" s="114">
        <v>28</v>
      </c>
      <c r="C56" s="114">
        <v>17</v>
      </c>
      <c r="D56" s="114"/>
      <c r="E56" s="114"/>
      <c r="F56" s="114"/>
      <c r="G56" s="114"/>
      <c r="H56" s="137"/>
      <c r="I56" s="140" t="s">
        <v>266</v>
      </c>
      <c r="J56" s="114"/>
      <c r="K56" s="114"/>
      <c r="L56" s="114"/>
      <c r="M56" s="114"/>
      <c r="N56" s="114"/>
      <c r="O56" s="114"/>
      <c r="P56" s="114"/>
      <c r="Q56" s="114"/>
      <c r="R56" s="114"/>
      <c r="S56" s="114"/>
      <c r="T56" s="114"/>
      <c r="U56" s="114"/>
      <c r="V56" s="114"/>
      <c r="W56" s="114"/>
      <c r="X56" s="114"/>
      <c r="Y56" s="114"/>
    </row>
    <row r="57" spans="1:25">
      <c r="A57" s="114"/>
      <c r="B57" s="114">
        <v>28</v>
      </c>
      <c r="C57" s="114">
        <v>10</v>
      </c>
      <c r="D57" s="114"/>
      <c r="E57" s="114"/>
      <c r="F57" s="114"/>
      <c r="G57" s="114"/>
      <c r="H57" s="114"/>
      <c r="I57" s="114"/>
      <c r="J57" s="114"/>
      <c r="K57" s="114"/>
      <c r="L57" s="114"/>
      <c r="M57" s="114"/>
      <c r="N57" s="114"/>
      <c r="O57" s="114"/>
      <c r="P57" s="114"/>
      <c r="Q57" s="114"/>
      <c r="R57" s="114"/>
      <c r="S57" s="114"/>
      <c r="T57" s="114"/>
      <c r="U57" s="114"/>
      <c r="V57" s="114"/>
      <c r="W57" s="114"/>
      <c r="X57" s="114"/>
      <c r="Y57" s="114"/>
    </row>
    <row r="58" spans="1:25">
      <c r="A58" s="114"/>
      <c r="B58" s="114">
        <v>30</v>
      </c>
      <c r="C58" s="114">
        <v>12</v>
      </c>
      <c r="I58" s="114"/>
      <c r="J58" s="114"/>
      <c r="K58" s="114"/>
      <c r="L58" s="114"/>
      <c r="M58" s="114"/>
      <c r="N58" s="114"/>
      <c r="O58" s="114"/>
      <c r="P58" s="114"/>
      <c r="Q58" s="114"/>
      <c r="R58" s="114"/>
      <c r="S58" s="114"/>
      <c r="T58" s="114"/>
      <c r="U58" s="114"/>
      <c r="V58" s="114"/>
      <c r="W58" s="114"/>
      <c r="X58" s="114"/>
      <c r="Y58" s="114"/>
    </row>
    <row r="59" spans="1:25">
      <c r="A59" s="114"/>
      <c r="C59">
        <f>SUM(C49:C58)</f>
        <v>134</v>
      </c>
      <c r="I59" s="114"/>
      <c r="J59" s="114"/>
      <c r="K59" s="114"/>
      <c r="L59" s="114"/>
      <c r="M59" s="114"/>
      <c r="N59" s="114"/>
      <c r="O59" s="114"/>
      <c r="P59" s="114"/>
      <c r="Q59" s="114"/>
      <c r="R59" s="114"/>
      <c r="S59" s="114"/>
      <c r="T59" s="114"/>
      <c r="U59" s="114"/>
      <c r="V59" s="114"/>
      <c r="W59" s="114"/>
      <c r="X59" s="114"/>
      <c r="Y59" s="114"/>
    </row>
    <row r="60" spans="1:25">
      <c r="A60" s="114"/>
      <c r="B60" s="114"/>
      <c r="C60" s="114"/>
      <c r="I60" s="114"/>
      <c r="J60" s="114"/>
      <c r="K60" s="114"/>
      <c r="L60" s="114"/>
      <c r="M60" s="114"/>
      <c r="N60" s="114"/>
      <c r="O60" s="114"/>
      <c r="P60" s="114"/>
      <c r="Q60" s="114"/>
      <c r="R60" s="114"/>
      <c r="S60" s="114"/>
      <c r="T60" s="114"/>
      <c r="U60" s="114"/>
      <c r="V60" s="114"/>
      <c r="W60" s="114"/>
      <c r="X60" s="114"/>
      <c r="Y60" s="114"/>
    </row>
    <row r="61" spans="1:25">
      <c r="A61" s="114"/>
      <c r="B61" s="114"/>
      <c r="C61" s="114"/>
      <c r="I61" s="114"/>
      <c r="J61" s="114"/>
      <c r="K61" s="114"/>
      <c r="L61" s="114"/>
      <c r="M61" s="114"/>
      <c r="N61" s="114"/>
      <c r="O61" s="114"/>
      <c r="P61" s="114"/>
      <c r="Q61" s="114"/>
      <c r="R61" s="114"/>
      <c r="S61" s="114"/>
      <c r="T61" s="114"/>
      <c r="U61" s="114"/>
      <c r="V61" s="114"/>
      <c r="W61" s="114"/>
      <c r="X61" s="114"/>
      <c r="Y61" s="114"/>
    </row>
    <row r="62" spans="1:25">
      <c r="A62" s="114"/>
      <c r="B62" s="114"/>
      <c r="C62" s="114"/>
      <c r="I62" s="114"/>
      <c r="J62" s="114"/>
      <c r="K62" s="114"/>
      <c r="L62" s="114"/>
      <c r="M62" s="114"/>
      <c r="N62" s="114"/>
      <c r="O62" s="114"/>
      <c r="P62" s="114"/>
      <c r="Q62" s="114"/>
      <c r="R62" s="114"/>
      <c r="S62" s="114"/>
      <c r="T62" s="114"/>
      <c r="U62" s="114"/>
      <c r="V62" s="114"/>
      <c r="W62" s="114"/>
      <c r="X62" s="114"/>
      <c r="Y62" s="114"/>
    </row>
    <row r="63" spans="1:25">
      <c r="A63" s="114"/>
      <c r="B63" s="114"/>
      <c r="C63" s="114"/>
      <c r="I63" s="114"/>
      <c r="J63" s="114"/>
      <c r="K63" s="114"/>
      <c r="L63" s="114"/>
      <c r="M63" s="114"/>
      <c r="N63" s="114"/>
      <c r="O63" s="114"/>
      <c r="P63" s="114"/>
      <c r="Q63" s="114"/>
      <c r="R63" s="114"/>
      <c r="S63" s="114"/>
      <c r="T63" s="114"/>
      <c r="U63" s="114"/>
      <c r="V63" s="114"/>
      <c r="W63" s="114"/>
      <c r="X63" s="114"/>
      <c r="Y63" s="114"/>
    </row>
    <row r="64" spans="1:25">
      <c r="A64" s="114"/>
      <c r="B64" s="114"/>
      <c r="C64" s="114"/>
      <c r="I64" s="114"/>
      <c r="J64" s="114"/>
      <c r="K64" s="114"/>
      <c r="L64" s="114"/>
      <c r="M64" s="114"/>
      <c r="N64" s="114"/>
      <c r="O64" s="114"/>
      <c r="P64" s="114"/>
      <c r="Q64" s="114"/>
      <c r="R64" s="114"/>
      <c r="S64" s="114"/>
      <c r="T64" s="114"/>
      <c r="U64" s="114"/>
      <c r="V64" s="114"/>
      <c r="W64" s="114"/>
      <c r="X64" s="114"/>
      <c r="Y64" s="114"/>
    </row>
    <row r="65" spans="1:25">
      <c r="A65" s="114"/>
      <c r="B65" s="114"/>
      <c r="C65" s="114"/>
      <c r="I65" s="114"/>
      <c r="J65" s="114"/>
      <c r="K65" s="114"/>
      <c r="L65" s="114"/>
      <c r="M65" s="114"/>
      <c r="N65" s="114"/>
      <c r="O65" s="114"/>
      <c r="P65" s="114"/>
      <c r="Q65" s="114"/>
      <c r="R65" s="114"/>
      <c r="S65" s="114"/>
      <c r="T65" s="114"/>
      <c r="U65" s="114"/>
      <c r="V65" s="114"/>
      <c r="W65" s="114"/>
      <c r="X65" s="114"/>
      <c r="Y65" s="114"/>
    </row>
    <row r="66" spans="1:25">
      <c r="A66" s="114"/>
      <c r="B66" s="114"/>
      <c r="C66" s="114"/>
      <c r="I66" s="114"/>
      <c r="J66" s="114"/>
      <c r="K66" s="114"/>
      <c r="L66" s="114"/>
      <c r="M66" s="114"/>
      <c r="N66" s="114"/>
      <c r="O66" s="114"/>
      <c r="P66" s="114"/>
      <c r="Q66" s="114"/>
      <c r="R66" s="114"/>
      <c r="S66" s="114"/>
      <c r="T66" s="114"/>
      <c r="U66" s="114"/>
      <c r="V66" s="114"/>
      <c r="W66" s="114"/>
      <c r="X66" s="114"/>
      <c r="Y66" s="114"/>
    </row>
    <row r="67" spans="1:25">
      <c r="A67" s="114"/>
      <c r="B67" s="114"/>
      <c r="C67" s="114"/>
      <c r="I67" s="114"/>
      <c r="J67" s="114"/>
      <c r="K67" s="114"/>
      <c r="L67" s="114"/>
      <c r="M67" s="114"/>
      <c r="N67" s="114"/>
      <c r="O67" s="114"/>
      <c r="P67" s="114"/>
      <c r="Q67" s="114"/>
      <c r="R67" s="114"/>
      <c r="S67" s="114"/>
      <c r="T67" s="114"/>
      <c r="U67" s="114"/>
      <c r="V67" s="114"/>
      <c r="W67" s="114"/>
      <c r="X67" s="114"/>
      <c r="Y67" s="114"/>
    </row>
    <row r="68" spans="1:25">
      <c r="A68" s="114"/>
      <c r="B68" s="114"/>
      <c r="C68" s="114"/>
      <c r="I68" s="114"/>
      <c r="J68" s="114"/>
      <c r="K68" s="114"/>
      <c r="L68" s="114"/>
      <c r="M68" s="114"/>
      <c r="N68" s="114"/>
      <c r="O68" s="114"/>
      <c r="P68" s="114"/>
      <c r="Q68" s="114"/>
      <c r="R68" s="114"/>
      <c r="S68" s="114"/>
      <c r="T68" s="114"/>
      <c r="U68" s="114"/>
      <c r="V68" s="114"/>
      <c r="W68" s="114"/>
      <c r="X68" s="114"/>
      <c r="Y68" s="114"/>
    </row>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workbookViewId="0">
      <selection activeCell="D55" sqref="D55"/>
    </sheetView>
  </sheetViews>
  <sheetFormatPr baseColWidth="10" defaultColWidth="8.83203125" defaultRowHeight="13"/>
  <cols>
    <col min="1" max="16384" width="8.83203125" style="2"/>
  </cols>
  <sheetData>
    <row r="1" spans="1:8">
      <c r="E1" s="4" t="s">
        <v>21</v>
      </c>
      <c r="G1" s="4" t="s">
        <v>22</v>
      </c>
    </row>
    <row r="2" spans="1:8">
      <c r="A2" s="5" t="s">
        <v>23</v>
      </c>
      <c r="B2" s="5" t="s">
        <v>24</v>
      </c>
      <c r="C2" s="5" t="s">
        <v>25</v>
      </c>
      <c r="D2" s="5" t="s">
        <v>26</v>
      </c>
      <c r="E2" s="5" t="s">
        <v>27</v>
      </c>
      <c r="F2" s="5" t="s">
        <v>28</v>
      </c>
      <c r="G2" s="5" t="s">
        <v>27</v>
      </c>
      <c r="H2" s="5" t="s">
        <v>28</v>
      </c>
    </row>
    <row r="3" spans="1:8">
      <c r="A3" s="1">
        <v>1</v>
      </c>
      <c r="B3" s="1">
        <v>20</v>
      </c>
      <c r="C3" s="1">
        <v>17</v>
      </c>
      <c r="D3" s="3">
        <f>+C3/B3</f>
        <v>0.85</v>
      </c>
      <c r="E3" s="3">
        <f>+$D$27+(3*(SQRT($D$27/$A$27)))</f>
        <v>1.6740818001375295</v>
      </c>
      <c r="F3" s="3">
        <f>+$D$27-(3*(SQRT($D$27/$A$27)))</f>
        <v>0.37544200938628003</v>
      </c>
      <c r="G3" s="3">
        <f>+$D$27+(3*(SQRT($D$27/$B$3)))</f>
        <v>1.7038369058794964</v>
      </c>
      <c r="H3" s="3">
        <f>+$D$27-(3*(SQRT($D$27/$B$3)))</f>
        <v>0.34568690364431309</v>
      </c>
    </row>
    <row r="4" spans="1:8">
      <c r="A4" s="1">
        <f>1+A3</f>
        <v>2</v>
      </c>
      <c r="B4" s="1">
        <v>20</v>
      </c>
      <c r="C4" s="1">
        <v>24</v>
      </c>
      <c r="D4" s="3">
        <f t="shared" ref="D4:D26" si="0">+C4/B4</f>
        <v>1.2</v>
      </c>
      <c r="E4" s="3">
        <f t="shared" ref="E4:E26" si="1">+$D$27+(3*(SQRT($D$27/$A$27)))</f>
        <v>1.6740818001375295</v>
      </c>
      <c r="F4" s="3">
        <f t="shared" ref="F4:F26" si="2">+$D$27-(3*(SQRT($D$27/$A$27)))</f>
        <v>0.37544200938628003</v>
      </c>
      <c r="G4" s="3">
        <f>+$D$27+(3*(SQRT($D$27/$B$3)))</f>
        <v>1.7038369058794964</v>
      </c>
      <c r="H4" s="3">
        <f>+$D$27-(3*(SQRT($D$27/$B$3)))</f>
        <v>0.34568690364431309</v>
      </c>
    </row>
    <row r="5" spans="1:8">
      <c r="A5" s="1">
        <f t="shared" ref="A5:A26" si="3">1+A4</f>
        <v>3</v>
      </c>
      <c r="B5" s="1">
        <v>20</v>
      </c>
      <c r="C5" s="1">
        <v>16</v>
      </c>
      <c r="D5" s="3">
        <f t="shared" si="0"/>
        <v>0.8</v>
      </c>
      <c r="E5" s="3">
        <f t="shared" si="1"/>
        <v>1.6740818001375295</v>
      </c>
      <c r="F5" s="3">
        <f t="shared" si="2"/>
        <v>0.37544200938628003</v>
      </c>
      <c r="G5" s="3">
        <f>+$D$27+(3*(SQRT($D$27/$B$3)))</f>
        <v>1.7038369058794964</v>
      </c>
      <c r="H5" s="3">
        <f>+$D$27-(3*(SQRT($D$27/$B$3)))</f>
        <v>0.34568690364431309</v>
      </c>
    </row>
    <row r="6" spans="1:8">
      <c r="A6" s="1">
        <f t="shared" si="3"/>
        <v>4</v>
      </c>
      <c r="B6" s="1">
        <v>20</v>
      </c>
      <c r="C6" s="1">
        <v>26</v>
      </c>
      <c r="D6" s="3">
        <f t="shared" si="0"/>
        <v>1.3</v>
      </c>
      <c r="E6" s="3">
        <f t="shared" si="1"/>
        <v>1.6740818001375295</v>
      </c>
      <c r="F6" s="3">
        <f t="shared" si="2"/>
        <v>0.37544200938628003</v>
      </c>
      <c r="G6" s="3">
        <f>+$D$27+(3*(SQRT($D$27/$B$3)))</f>
        <v>1.7038369058794964</v>
      </c>
      <c r="H6" s="3">
        <f>+$D$27-(3*(SQRT($D$27/$B$3)))</f>
        <v>0.34568690364431309</v>
      </c>
    </row>
    <row r="7" spans="1:8">
      <c r="A7" s="1">
        <f t="shared" si="3"/>
        <v>5</v>
      </c>
      <c r="B7" s="1">
        <v>15</v>
      </c>
      <c r="C7" s="1">
        <v>15</v>
      </c>
      <c r="D7" s="3">
        <f t="shared" si="0"/>
        <v>1</v>
      </c>
      <c r="E7" s="3">
        <f t="shared" si="1"/>
        <v>1.6740818001375295</v>
      </c>
      <c r="F7" s="3">
        <f t="shared" si="2"/>
        <v>0.37544200938628003</v>
      </c>
      <c r="G7" s="3">
        <f>+$D$27+(3*(SQRT($D$27/$B$7)))</f>
        <v>1.8088901741522787</v>
      </c>
      <c r="H7" s="3">
        <f>+$D$27-(3*(SQRT($D$27/$B$7)))</f>
        <v>0.24063363537153082</v>
      </c>
    </row>
    <row r="8" spans="1:8">
      <c r="A8" s="1">
        <f t="shared" si="3"/>
        <v>6</v>
      </c>
      <c r="B8" s="1">
        <v>15</v>
      </c>
      <c r="C8" s="1">
        <v>15</v>
      </c>
      <c r="D8" s="3">
        <f t="shared" si="0"/>
        <v>1</v>
      </c>
      <c r="E8" s="3">
        <f t="shared" si="1"/>
        <v>1.6740818001375295</v>
      </c>
      <c r="F8" s="3">
        <f t="shared" si="2"/>
        <v>0.37544200938628003</v>
      </c>
      <c r="G8" s="3">
        <f>+$D$27+(3*(SQRT($D$27/$B$7)))</f>
        <v>1.8088901741522787</v>
      </c>
      <c r="H8" s="3">
        <f>+$D$27-(3*(SQRT($D$27/$B$7)))</f>
        <v>0.24063363537153082</v>
      </c>
    </row>
    <row r="9" spans="1:8">
      <c r="A9" s="1">
        <f t="shared" si="3"/>
        <v>7</v>
      </c>
      <c r="B9" s="1">
        <v>15</v>
      </c>
      <c r="C9" s="1">
        <v>20</v>
      </c>
      <c r="D9" s="3">
        <f t="shared" si="0"/>
        <v>1.3333333333333333</v>
      </c>
      <c r="E9" s="3">
        <f t="shared" si="1"/>
        <v>1.6740818001375295</v>
      </c>
      <c r="F9" s="3">
        <f t="shared" si="2"/>
        <v>0.37544200938628003</v>
      </c>
      <c r="G9" s="3">
        <f>+$D$27+(3*(SQRT($D$27/$B$7)))</f>
        <v>1.8088901741522787</v>
      </c>
      <c r="H9" s="3">
        <f>+$D$27-(3*(SQRT($D$27/$B$7)))</f>
        <v>0.24063363537153082</v>
      </c>
    </row>
    <row r="10" spans="1:8">
      <c r="A10" s="1">
        <f t="shared" si="3"/>
        <v>8</v>
      </c>
      <c r="B10" s="1">
        <v>25</v>
      </c>
      <c r="C10" s="1">
        <v>18</v>
      </c>
      <c r="D10" s="3">
        <f t="shared" si="0"/>
        <v>0.72</v>
      </c>
      <c r="E10" s="3">
        <f t="shared" si="1"/>
        <v>1.6740818001375295</v>
      </c>
      <c r="F10" s="3">
        <f t="shared" si="2"/>
        <v>0.37544200938628003</v>
      </c>
      <c r="G10" s="3">
        <f>+$D$27+(3*(SQRT($D$27/$B$10)))</f>
        <v>1.632145050489777</v>
      </c>
      <c r="H10" s="3">
        <f>+$D$27-(3*(SQRT($D$27/$B$10)))</f>
        <v>0.41737875903403254</v>
      </c>
    </row>
    <row r="11" spans="1:8">
      <c r="A11" s="1">
        <f t="shared" si="3"/>
        <v>9</v>
      </c>
      <c r="B11" s="1">
        <v>25</v>
      </c>
      <c r="C11" s="1">
        <v>26</v>
      </c>
      <c r="D11" s="3">
        <f t="shared" si="0"/>
        <v>1.04</v>
      </c>
      <c r="E11" s="3">
        <f t="shared" si="1"/>
        <v>1.6740818001375295</v>
      </c>
      <c r="F11" s="3">
        <f t="shared" si="2"/>
        <v>0.37544200938628003</v>
      </c>
      <c r="G11" s="3">
        <f>+$D$27+(3*(SQRT($D$27/$B$10)))</f>
        <v>1.632145050489777</v>
      </c>
      <c r="H11" s="3">
        <f>+$D$27-(3*(SQRT($D$27/$B$10)))</f>
        <v>0.41737875903403254</v>
      </c>
    </row>
    <row r="12" spans="1:8">
      <c r="A12" s="1">
        <f t="shared" si="3"/>
        <v>10</v>
      </c>
      <c r="B12" s="1">
        <v>25</v>
      </c>
      <c r="C12" s="1">
        <v>16</v>
      </c>
      <c r="D12" s="3">
        <f t="shared" si="0"/>
        <v>0.64</v>
      </c>
      <c r="E12" s="3">
        <f t="shared" si="1"/>
        <v>1.6740818001375295</v>
      </c>
      <c r="F12" s="3">
        <f t="shared" si="2"/>
        <v>0.37544200938628003</v>
      </c>
      <c r="G12" s="3">
        <f>+$D$27+(3*(SQRT($D$27/$B$10)))</f>
        <v>1.632145050489777</v>
      </c>
      <c r="H12" s="3">
        <f>+$D$27-(3*(SQRT($D$27/$B$10)))</f>
        <v>0.41737875903403254</v>
      </c>
    </row>
    <row r="13" spans="1:8">
      <c r="A13" s="1">
        <f t="shared" si="3"/>
        <v>11</v>
      </c>
      <c r="B13" s="1">
        <v>25</v>
      </c>
      <c r="C13" s="1">
        <v>25</v>
      </c>
      <c r="D13" s="3">
        <f t="shared" si="0"/>
        <v>1</v>
      </c>
      <c r="E13" s="3">
        <f t="shared" si="1"/>
        <v>1.6740818001375295</v>
      </c>
      <c r="F13" s="3">
        <f t="shared" si="2"/>
        <v>0.37544200938628003</v>
      </c>
      <c r="G13" s="3">
        <f>+$D$27+(3*(SQRT($D$27/$B$10)))</f>
        <v>1.632145050489777</v>
      </c>
      <c r="H13" s="3">
        <f>+$D$27-(3*(SQRT($D$27/$B$10)))</f>
        <v>0.41737875903403254</v>
      </c>
    </row>
    <row r="14" spans="1:8">
      <c r="A14" s="1">
        <f t="shared" si="3"/>
        <v>12</v>
      </c>
      <c r="B14" s="1">
        <v>30</v>
      </c>
      <c r="C14" s="1">
        <v>21</v>
      </c>
      <c r="D14" s="3">
        <f t="shared" si="0"/>
        <v>0.7</v>
      </c>
      <c r="E14" s="3">
        <f t="shared" si="1"/>
        <v>1.6740818001375295</v>
      </c>
      <c r="F14" s="3">
        <f t="shared" si="2"/>
        <v>0.37544200938628003</v>
      </c>
      <c r="G14" s="3">
        <f>+$D$27+(3*(SQRT($D$27/$B$14)))</f>
        <v>1.57922432136791</v>
      </c>
      <c r="H14" s="3">
        <f>+$D$27-(3*(SQRT($D$27/$B$14)))</f>
        <v>0.47029948815589939</v>
      </c>
    </row>
    <row r="15" spans="1:8">
      <c r="A15" s="1">
        <f t="shared" si="3"/>
        <v>13</v>
      </c>
      <c r="B15" s="1">
        <v>30</v>
      </c>
      <c r="C15" s="1">
        <v>40</v>
      </c>
      <c r="D15" s="3">
        <f t="shared" si="0"/>
        <v>1.3333333333333333</v>
      </c>
      <c r="E15" s="3">
        <f t="shared" si="1"/>
        <v>1.6740818001375295</v>
      </c>
      <c r="F15" s="3">
        <f t="shared" si="2"/>
        <v>0.37544200938628003</v>
      </c>
      <c r="G15" s="3">
        <f t="shared" ref="G15:G20" si="4">+$D$27+(3*(SQRT($D$27/$B$14)))</f>
        <v>1.57922432136791</v>
      </c>
      <c r="H15" s="3">
        <f t="shared" ref="H15:H20" si="5">+$D$27-(3*(SQRT($D$27/$B$14)))</f>
        <v>0.47029948815589939</v>
      </c>
    </row>
    <row r="16" spans="1:8">
      <c r="A16" s="1">
        <f t="shared" si="3"/>
        <v>14</v>
      </c>
      <c r="B16" s="1">
        <v>30</v>
      </c>
      <c r="C16" s="1">
        <v>24</v>
      </c>
      <c r="D16" s="3">
        <f t="shared" si="0"/>
        <v>0.8</v>
      </c>
      <c r="E16" s="3">
        <f t="shared" si="1"/>
        <v>1.6740818001375295</v>
      </c>
      <c r="F16" s="3">
        <f t="shared" si="2"/>
        <v>0.37544200938628003</v>
      </c>
      <c r="G16" s="3">
        <f t="shared" si="4"/>
        <v>1.57922432136791</v>
      </c>
      <c r="H16" s="3">
        <f t="shared" si="5"/>
        <v>0.47029948815589939</v>
      </c>
    </row>
    <row r="17" spans="1:8">
      <c r="A17" s="1">
        <f t="shared" si="3"/>
        <v>15</v>
      </c>
      <c r="B17" s="1">
        <v>30</v>
      </c>
      <c r="C17" s="1">
        <v>29</v>
      </c>
      <c r="D17" s="3">
        <f t="shared" si="0"/>
        <v>0.96666666666666667</v>
      </c>
      <c r="E17" s="3">
        <f t="shared" si="1"/>
        <v>1.6740818001375295</v>
      </c>
      <c r="F17" s="3">
        <f t="shared" si="2"/>
        <v>0.37544200938628003</v>
      </c>
      <c r="G17" s="3">
        <f t="shared" si="4"/>
        <v>1.57922432136791</v>
      </c>
      <c r="H17" s="3">
        <f t="shared" si="5"/>
        <v>0.47029948815589939</v>
      </c>
    </row>
    <row r="18" spans="1:8">
      <c r="A18" s="1">
        <f t="shared" si="3"/>
        <v>16</v>
      </c>
      <c r="B18" s="1">
        <v>30</v>
      </c>
      <c r="C18" s="1">
        <v>32</v>
      </c>
      <c r="D18" s="3">
        <f t="shared" si="0"/>
        <v>1.0666666666666667</v>
      </c>
      <c r="E18" s="3">
        <f t="shared" si="1"/>
        <v>1.6740818001375295</v>
      </c>
      <c r="F18" s="3">
        <f t="shared" si="2"/>
        <v>0.37544200938628003</v>
      </c>
      <c r="G18" s="3">
        <f t="shared" si="4"/>
        <v>1.57922432136791</v>
      </c>
      <c r="H18" s="3">
        <f t="shared" si="5"/>
        <v>0.47029948815589939</v>
      </c>
    </row>
    <row r="19" spans="1:8">
      <c r="A19" s="1">
        <f t="shared" si="3"/>
        <v>17</v>
      </c>
      <c r="B19" s="1">
        <v>30</v>
      </c>
      <c r="C19" s="1">
        <v>30</v>
      </c>
      <c r="D19" s="3">
        <f t="shared" si="0"/>
        <v>1</v>
      </c>
      <c r="E19" s="3">
        <f t="shared" si="1"/>
        <v>1.6740818001375295</v>
      </c>
      <c r="F19" s="3">
        <f t="shared" si="2"/>
        <v>0.37544200938628003</v>
      </c>
      <c r="G19" s="3">
        <f t="shared" si="4"/>
        <v>1.57922432136791</v>
      </c>
      <c r="H19" s="3">
        <f t="shared" si="5"/>
        <v>0.47029948815589939</v>
      </c>
    </row>
    <row r="20" spans="1:8">
      <c r="A20" s="1">
        <f t="shared" si="3"/>
        <v>18</v>
      </c>
      <c r="B20" s="1">
        <v>30</v>
      </c>
      <c r="C20" s="1">
        <v>34</v>
      </c>
      <c r="D20" s="3">
        <f t="shared" si="0"/>
        <v>1.1333333333333333</v>
      </c>
      <c r="E20" s="3">
        <f t="shared" si="1"/>
        <v>1.6740818001375295</v>
      </c>
      <c r="F20" s="3">
        <f t="shared" si="2"/>
        <v>0.37544200938628003</v>
      </c>
      <c r="G20" s="3">
        <f t="shared" si="4"/>
        <v>1.57922432136791</v>
      </c>
      <c r="H20" s="3">
        <f t="shared" si="5"/>
        <v>0.47029948815589939</v>
      </c>
    </row>
    <row r="21" spans="1:8">
      <c r="A21" s="1">
        <f t="shared" si="3"/>
        <v>19</v>
      </c>
      <c r="B21" s="1">
        <v>15</v>
      </c>
      <c r="C21" s="1">
        <v>11</v>
      </c>
      <c r="D21" s="3">
        <f t="shared" si="0"/>
        <v>0.73333333333333328</v>
      </c>
      <c r="E21" s="3">
        <f t="shared" si="1"/>
        <v>1.6740818001375295</v>
      </c>
      <c r="F21" s="3">
        <f t="shared" si="2"/>
        <v>0.37544200938628003</v>
      </c>
      <c r="G21" s="3">
        <f t="shared" ref="G21:G26" si="6">+$D$27+(3*(SQRT($D$27/$B$21)))</f>
        <v>1.8088901741522787</v>
      </c>
      <c r="H21" s="3">
        <f t="shared" ref="H21:H26" si="7">+$D$27-(3*(SQRT($D$27/$B$21)))</f>
        <v>0.24063363537153082</v>
      </c>
    </row>
    <row r="22" spans="1:8">
      <c r="A22" s="1">
        <f t="shared" si="3"/>
        <v>20</v>
      </c>
      <c r="B22" s="1">
        <v>15</v>
      </c>
      <c r="C22" s="1">
        <v>14</v>
      </c>
      <c r="D22" s="3">
        <f t="shared" si="0"/>
        <v>0.93333333333333335</v>
      </c>
      <c r="E22" s="3">
        <f t="shared" si="1"/>
        <v>1.6740818001375295</v>
      </c>
      <c r="F22" s="3">
        <f t="shared" si="2"/>
        <v>0.37544200938628003</v>
      </c>
      <c r="G22" s="3">
        <f t="shared" si="6"/>
        <v>1.8088901741522787</v>
      </c>
      <c r="H22" s="3">
        <f t="shared" si="7"/>
        <v>0.24063363537153082</v>
      </c>
    </row>
    <row r="23" spans="1:8">
      <c r="A23" s="1">
        <f t="shared" si="3"/>
        <v>21</v>
      </c>
      <c r="B23" s="1">
        <v>15</v>
      </c>
      <c r="C23" s="1">
        <v>30</v>
      </c>
      <c r="D23" s="3">
        <f t="shared" si="0"/>
        <v>2</v>
      </c>
      <c r="E23" s="3">
        <f t="shared" si="1"/>
        <v>1.6740818001375295</v>
      </c>
      <c r="F23" s="3">
        <f t="shared" si="2"/>
        <v>0.37544200938628003</v>
      </c>
      <c r="G23" s="3">
        <f t="shared" si="6"/>
        <v>1.8088901741522787</v>
      </c>
      <c r="H23" s="3">
        <f t="shared" si="7"/>
        <v>0.24063363537153082</v>
      </c>
    </row>
    <row r="24" spans="1:8">
      <c r="A24" s="1">
        <f t="shared" si="3"/>
        <v>22</v>
      </c>
      <c r="B24" s="1">
        <v>15</v>
      </c>
      <c r="C24" s="1">
        <v>17</v>
      </c>
      <c r="D24" s="3">
        <f t="shared" si="0"/>
        <v>1.1333333333333333</v>
      </c>
      <c r="E24" s="3">
        <f t="shared" si="1"/>
        <v>1.6740818001375295</v>
      </c>
      <c r="F24" s="3">
        <f t="shared" si="2"/>
        <v>0.37544200938628003</v>
      </c>
      <c r="G24" s="3">
        <f t="shared" si="6"/>
        <v>1.8088901741522787</v>
      </c>
      <c r="H24" s="3">
        <f t="shared" si="7"/>
        <v>0.24063363537153082</v>
      </c>
    </row>
    <row r="25" spans="1:8">
      <c r="A25" s="1">
        <f t="shared" si="3"/>
        <v>23</v>
      </c>
      <c r="B25" s="1">
        <v>15</v>
      </c>
      <c r="C25" s="1">
        <v>18</v>
      </c>
      <c r="D25" s="3">
        <f t="shared" si="0"/>
        <v>1.2</v>
      </c>
      <c r="E25" s="3">
        <f t="shared" si="1"/>
        <v>1.6740818001375295</v>
      </c>
      <c r="F25" s="3">
        <f t="shared" si="2"/>
        <v>0.37544200938628003</v>
      </c>
      <c r="G25" s="3">
        <f t="shared" si="6"/>
        <v>1.8088901741522787</v>
      </c>
      <c r="H25" s="3">
        <f t="shared" si="7"/>
        <v>0.24063363537153082</v>
      </c>
    </row>
    <row r="26" spans="1:8">
      <c r="A26" s="1">
        <f t="shared" si="3"/>
        <v>24</v>
      </c>
      <c r="B26" s="1">
        <v>15</v>
      </c>
      <c r="C26" s="1">
        <v>20</v>
      </c>
      <c r="D26" s="3">
        <f t="shared" si="0"/>
        <v>1.3333333333333333</v>
      </c>
      <c r="E26" s="3">
        <f t="shared" si="1"/>
        <v>1.6740818001375295</v>
      </c>
      <c r="F26" s="3">
        <f t="shared" si="2"/>
        <v>0.37544200938628003</v>
      </c>
      <c r="G26" s="3">
        <f t="shared" si="6"/>
        <v>1.8088901741522787</v>
      </c>
      <c r="H26" s="3">
        <f t="shared" si="7"/>
        <v>0.24063363537153082</v>
      </c>
    </row>
    <row r="27" spans="1:8">
      <c r="A27" s="1">
        <f>+B27/A26</f>
        <v>21.875</v>
      </c>
      <c r="B27" s="1">
        <f>SUM(B3:B26)</f>
        <v>525</v>
      </c>
      <c r="C27" s="1">
        <f>SUM(C3:C26)</f>
        <v>538</v>
      </c>
      <c r="D27" s="3">
        <f>+C27/B27</f>
        <v>1.0247619047619048</v>
      </c>
      <c r="E27" s="1"/>
      <c r="F27" s="1"/>
      <c r="G27" s="1"/>
      <c r="H27" s="1"/>
    </row>
    <row r="28" spans="1:8">
      <c r="A28" s="1"/>
      <c r="B28" s="1"/>
      <c r="C28" s="1"/>
      <c r="D28" s="1"/>
      <c r="E28" s="1"/>
      <c r="F28" s="1"/>
      <c r="G28" s="1"/>
      <c r="H28" s="1"/>
    </row>
  </sheetData>
  <pageMargins left="1.21" right="0.75" top="1.58" bottom="1" header="0.5" footer="0.5"/>
  <pageSetup orientation="portrait" horizontalDpi="4294967294" verticalDpi="0"/>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P36"/>
  <sheetViews>
    <sheetView workbookViewId="0">
      <selection activeCell="Y35" sqref="Y35"/>
    </sheetView>
  </sheetViews>
  <sheetFormatPr baseColWidth="10" defaultRowHeight="16"/>
  <cols>
    <col min="1" max="1" width="4" customWidth="1"/>
    <col min="2" max="2" width="10.83203125" style="111"/>
    <col min="4" max="4" width="14.1640625" customWidth="1"/>
  </cols>
  <sheetData>
    <row r="2" spans="2:7">
      <c r="C2" s="163" t="s">
        <v>267</v>
      </c>
      <c r="D2" s="163"/>
      <c r="E2" s="163"/>
    </row>
    <row r="3" spans="2:7">
      <c r="B3" s="111" t="s">
        <v>147</v>
      </c>
      <c r="C3" s="111">
        <v>1</v>
      </c>
      <c r="D3" s="111">
        <v>2</v>
      </c>
      <c r="E3" s="111">
        <v>3</v>
      </c>
      <c r="F3" s="31" t="s">
        <v>29</v>
      </c>
      <c r="G3" s="31" t="s">
        <v>34</v>
      </c>
    </row>
    <row r="4" spans="2:7">
      <c r="B4" s="111">
        <v>1</v>
      </c>
      <c r="C4" s="141">
        <v>41.4</v>
      </c>
      <c r="D4" s="141">
        <v>38.799999999999997</v>
      </c>
      <c r="E4" s="141">
        <v>40.200000000000003</v>
      </c>
      <c r="F4" s="141">
        <f>AVERAGE(C4:E4)</f>
        <v>40.133333333333333</v>
      </c>
      <c r="G4" s="141">
        <f>(MAX(C4:F4)-MIN(C4:E4))</f>
        <v>2.6000000000000014</v>
      </c>
    </row>
    <row r="5" spans="2:7">
      <c r="B5" s="111">
        <v>2</v>
      </c>
      <c r="C5" s="141">
        <v>43</v>
      </c>
      <c r="D5" s="141">
        <v>37</v>
      </c>
      <c r="E5" s="141">
        <v>40.6</v>
      </c>
      <c r="F5" s="141">
        <f t="shared" ref="F5:F28" si="0">AVERAGE(C5:E5)</f>
        <v>40.199999999999996</v>
      </c>
      <c r="G5" s="141">
        <f t="shared" ref="G5:G28" si="1">(MAX(C5:F5)-MIN(C5:E5))</f>
        <v>6</v>
      </c>
    </row>
    <row r="6" spans="2:7">
      <c r="B6" s="111">
        <v>3</v>
      </c>
      <c r="C6" s="141">
        <v>39.6</v>
      </c>
      <c r="D6" s="141">
        <v>40.200000000000003</v>
      </c>
      <c r="E6" s="141">
        <v>39.200000000000003</v>
      </c>
      <c r="F6" s="141">
        <f t="shared" si="0"/>
        <v>39.666666666666671</v>
      </c>
      <c r="G6" s="141">
        <f t="shared" si="1"/>
        <v>1</v>
      </c>
    </row>
    <row r="7" spans="2:7">
      <c r="B7" s="111">
        <v>4</v>
      </c>
      <c r="C7" s="141">
        <v>39</v>
      </c>
      <c r="D7" s="141">
        <v>39.799999999999997</v>
      </c>
      <c r="E7" s="141">
        <v>36.200000000000003</v>
      </c>
      <c r="F7" s="141">
        <f t="shared" si="0"/>
        <v>38.333333333333336</v>
      </c>
      <c r="G7" s="141">
        <f t="shared" si="1"/>
        <v>3.5999999999999943</v>
      </c>
    </row>
    <row r="8" spans="2:7">
      <c r="B8" s="111">
        <v>5</v>
      </c>
      <c r="C8" s="141">
        <v>39.799999999999997</v>
      </c>
      <c r="D8" s="141">
        <v>41</v>
      </c>
      <c r="E8" s="141">
        <v>40.5</v>
      </c>
      <c r="F8" s="141">
        <f t="shared" si="0"/>
        <v>40.43333333333333</v>
      </c>
      <c r="G8" s="141">
        <f t="shared" si="1"/>
        <v>1.2000000000000028</v>
      </c>
    </row>
    <row r="9" spans="2:7">
      <c r="B9" s="111">
        <v>6</v>
      </c>
      <c r="C9" s="141">
        <v>40</v>
      </c>
      <c r="D9" s="141">
        <v>38</v>
      </c>
      <c r="E9" s="141">
        <v>41.4</v>
      </c>
      <c r="F9" s="141">
        <f t="shared" si="0"/>
        <v>39.800000000000004</v>
      </c>
      <c r="G9" s="141">
        <f t="shared" si="1"/>
        <v>3.3999999999999986</v>
      </c>
    </row>
    <row r="10" spans="2:7">
      <c r="B10" s="111">
        <v>7</v>
      </c>
      <c r="C10" s="141">
        <v>44.4</v>
      </c>
      <c r="D10" s="141">
        <v>39</v>
      </c>
      <c r="E10" s="141">
        <v>41</v>
      </c>
      <c r="F10" s="141">
        <f t="shared" si="0"/>
        <v>41.466666666666669</v>
      </c>
      <c r="G10" s="141">
        <f t="shared" si="1"/>
        <v>5.3999999999999986</v>
      </c>
    </row>
    <row r="11" spans="2:7">
      <c r="B11" s="111">
        <v>8</v>
      </c>
      <c r="C11" s="141">
        <v>43</v>
      </c>
      <c r="D11" s="141">
        <v>37.200000000000003</v>
      </c>
      <c r="E11" s="141">
        <v>36.200000000000003</v>
      </c>
      <c r="F11" s="141">
        <f t="shared" si="0"/>
        <v>38.800000000000004</v>
      </c>
      <c r="G11" s="141">
        <f t="shared" si="1"/>
        <v>6.7999999999999972</v>
      </c>
    </row>
    <row r="12" spans="2:7">
      <c r="B12" s="111">
        <v>9</v>
      </c>
      <c r="C12" s="141">
        <v>37.6</v>
      </c>
      <c r="D12" s="141">
        <v>39.799999999999997</v>
      </c>
      <c r="E12" s="141">
        <v>38.200000000000003</v>
      </c>
      <c r="F12" s="141">
        <f t="shared" si="0"/>
        <v>38.533333333333339</v>
      </c>
      <c r="G12" s="141">
        <f t="shared" si="1"/>
        <v>2.1999999999999957</v>
      </c>
    </row>
    <row r="13" spans="2:7">
      <c r="B13" s="111">
        <v>10</v>
      </c>
      <c r="C13" s="141">
        <v>34.200000000000003</v>
      </c>
      <c r="D13" s="141">
        <v>40</v>
      </c>
      <c r="E13" s="141">
        <v>40.200000000000003</v>
      </c>
      <c r="F13" s="141">
        <f t="shared" si="0"/>
        <v>38.133333333333333</v>
      </c>
      <c r="G13" s="141">
        <f t="shared" si="1"/>
        <v>6</v>
      </c>
    </row>
    <row r="14" spans="2:7">
      <c r="B14" s="111">
        <v>11</v>
      </c>
      <c r="C14" s="141">
        <v>40</v>
      </c>
      <c r="D14" s="141">
        <v>40.200000000000003</v>
      </c>
      <c r="E14" s="141">
        <v>38.4</v>
      </c>
      <c r="F14" s="141">
        <f t="shared" si="0"/>
        <v>39.533333333333331</v>
      </c>
      <c r="G14" s="141">
        <f t="shared" si="1"/>
        <v>1.8000000000000043</v>
      </c>
    </row>
    <row r="15" spans="2:7">
      <c r="B15" s="111">
        <v>12</v>
      </c>
      <c r="C15" s="141">
        <v>40.799999999999997</v>
      </c>
      <c r="D15" s="141">
        <v>41.4</v>
      </c>
      <c r="E15" s="141">
        <v>38.799999999999997</v>
      </c>
      <c r="F15" s="141">
        <f t="shared" si="0"/>
        <v>40.333333333333329</v>
      </c>
      <c r="G15" s="141">
        <f t="shared" si="1"/>
        <v>2.6000000000000014</v>
      </c>
    </row>
    <row r="16" spans="2:7">
      <c r="B16" s="111">
        <v>13</v>
      </c>
      <c r="C16" s="141">
        <v>38.200000000000003</v>
      </c>
      <c r="D16" s="141">
        <v>43</v>
      </c>
      <c r="E16" s="141">
        <v>40</v>
      </c>
      <c r="F16" s="141">
        <f t="shared" si="0"/>
        <v>40.4</v>
      </c>
      <c r="G16" s="141">
        <f t="shared" si="1"/>
        <v>4.7999999999999972</v>
      </c>
    </row>
    <row r="17" spans="2:16">
      <c r="B17" s="111">
        <v>14</v>
      </c>
      <c r="C17" s="141">
        <v>40.200000000000003</v>
      </c>
      <c r="D17" s="141">
        <v>35</v>
      </c>
      <c r="E17" s="141">
        <v>40</v>
      </c>
      <c r="F17" s="141">
        <f t="shared" si="0"/>
        <v>38.4</v>
      </c>
      <c r="G17" s="141">
        <f t="shared" si="1"/>
        <v>5.2000000000000028</v>
      </c>
    </row>
    <row r="18" spans="2:16">
      <c r="B18" s="111">
        <v>15</v>
      </c>
      <c r="C18" s="141">
        <v>39.9</v>
      </c>
      <c r="D18" s="141">
        <v>42.4</v>
      </c>
      <c r="E18" s="141">
        <v>41.3</v>
      </c>
      <c r="F18" s="141">
        <f t="shared" si="0"/>
        <v>41.199999999999996</v>
      </c>
      <c r="G18" s="141">
        <f t="shared" si="1"/>
        <v>2.5</v>
      </c>
    </row>
    <row r="19" spans="2:16">
      <c r="B19" s="111">
        <v>16</v>
      </c>
      <c r="C19" s="141">
        <v>42</v>
      </c>
      <c r="D19" s="141">
        <v>35</v>
      </c>
      <c r="E19" s="141">
        <v>39.5</v>
      </c>
      <c r="F19" s="141">
        <f t="shared" si="0"/>
        <v>38.833333333333336</v>
      </c>
      <c r="G19" s="141">
        <f t="shared" si="1"/>
        <v>7</v>
      </c>
    </row>
    <row r="20" spans="2:16">
      <c r="B20" s="111">
        <v>17</v>
      </c>
      <c r="C20" s="141">
        <v>40.4</v>
      </c>
      <c r="D20" s="141">
        <v>42</v>
      </c>
      <c r="E20" s="141">
        <v>43.7</v>
      </c>
      <c r="F20" s="141">
        <f t="shared" si="0"/>
        <v>42.033333333333339</v>
      </c>
      <c r="G20" s="141">
        <f t="shared" si="1"/>
        <v>3.3000000000000043</v>
      </c>
    </row>
    <row r="21" spans="2:16">
      <c r="B21" s="111">
        <v>18</v>
      </c>
      <c r="C21" s="141">
        <v>39</v>
      </c>
      <c r="D21" s="141">
        <v>37</v>
      </c>
      <c r="E21" s="141">
        <v>38</v>
      </c>
      <c r="F21" s="141">
        <f t="shared" si="0"/>
        <v>38</v>
      </c>
      <c r="G21" s="141">
        <f t="shared" si="1"/>
        <v>2</v>
      </c>
    </row>
    <row r="22" spans="2:16">
      <c r="B22" s="111">
        <v>19</v>
      </c>
      <c r="C22" s="141">
        <v>35</v>
      </c>
      <c r="D22" s="141">
        <v>36.200000000000003</v>
      </c>
      <c r="E22" s="141">
        <v>40</v>
      </c>
      <c r="F22" s="141">
        <f t="shared" si="0"/>
        <v>37.06666666666667</v>
      </c>
      <c r="G22" s="141">
        <f t="shared" si="1"/>
        <v>5</v>
      </c>
    </row>
    <row r="23" spans="2:16">
      <c r="B23" s="111">
        <v>20</v>
      </c>
      <c r="C23" s="141">
        <v>36.4</v>
      </c>
      <c r="D23" s="141">
        <v>38</v>
      </c>
      <c r="E23" s="141">
        <v>39</v>
      </c>
      <c r="F23" s="141">
        <f t="shared" si="0"/>
        <v>37.800000000000004</v>
      </c>
      <c r="G23" s="141">
        <f t="shared" si="1"/>
        <v>2.6000000000000014</v>
      </c>
    </row>
    <row r="24" spans="2:16">
      <c r="B24" s="111">
        <v>21</v>
      </c>
      <c r="C24" s="141">
        <v>36.6</v>
      </c>
      <c r="D24" s="141">
        <v>35</v>
      </c>
      <c r="E24" s="141">
        <v>37</v>
      </c>
      <c r="F24" s="141">
        <f t="shared" si="0"/>
        <v>36.199999999999996</v>
      </c>
      <c r="G24" s="141">
        <f t="shared" si="1"/>
        <v>2</v>
      </c>
    </row>
    <row r="25" spans="2:16">
      <c r="B25" s="111">
        <v>22</v>
      </c>
      <c r="C25" s="141">
        <v>36</v>
      </c>
      <c r="D25" s="141">
        <v>38.1</v>
      </c>
      <c r="E25" s="141">
        <v>37.299999999999997</v>
      </c>
      <c r="F25" s="141">
        <f t="shared" si="0"/>
        <v>37.133333333333333</v>
      </c>
      <c r="G25" s="141">
        <f t="shared" si="1"/>
        <v>2.1000000000000014</v>
      </c>
    </row>
    <row r="26" spans="2:16">
      <c r="B26" s="111">
        <v>23</v>
      </c>
      <c r="C26" s="141">
        <v>37</v>
      </c>
      <c r="D26" s="141">
        <v>38</v>
      </c>
      <c r="E26" s="141">
        <v>41</v>
      </c>
      <c r="F26" s="141">
        <f t="shared" si="0"/>
        <v>38.666666666666664</v>
      </c>
      <c r="G26" s="141">
        <f t="shared" si="1"/>
        <v>4</v>
      </c>
    </row>
    <row r="27" spans="2:16">
      <c r="B27" s="111">
        <v>24</v>
      </c>
      <c r="C27" s="141">
        <v>41</v>
      </c>
      <c r="D27" s="141">
        <v>35</v>
      </c>
      <c r="E27" s="141">
        <v>38.5</v>
      </c>
      <c r="F27" s="141">
        <f t="shared" si="0"/>
        <v>38.166666666666664</v>
      </c>
      <c r="G27" s="141">
        <f t="shared" si="1"/>
        <v>6</v>
      </c>
    </row>
    <row r="28" spans="2:16">
      <c r="B28" s="111">
        <v>25</v>
      </c>
      <c r="C28" s="141">
        <v>39.799999999999997</v>
      </c>
      <c r="D28" s="141">
        <v>37.6</v>
      </c>
      <c r="E28" s="141">
        <v>36</v>
      </c>
      <c r="F28" s="141">
        <f t="shared" si="0"/>
        <v>37.800000000000004</v>
      </c>
      <c r="G28" s="141">
        <f t="shared" si="1"/>
        <v>3.7999999999999972</v>
      </c>
    </row>
    <row r="29" spans="2:16" ht="17" thickBot="1">
      <c r="E29" s="142"/>
      <c r="F29" s="142"/>
      <c r="G29" s="142"/>
      <c r="H29" s="142"/>
      <c r="I29" s="142"/>
      <c r="J29" s="142"/>
      <c r="K29" s="142"/>
      <c r="L29" s="142"/>
      <c r="M29" s="142"/>
      <c r="N29" s="142"/>
      <c r="O29" s="142"/>
      <c r="P29" s="142"/>
    </row>
    <row r="30" spans="2:16" ht="15" customHeight="1">
      <c r="B30" s="213" t="s">
        <v>268</v>
      </c>
      <c r="C30" s="214"/>
      <c r="D30" s="214"/>
      <c r="E30" s="214"/>
      <c r="F30" s="214"/>
      <c r="G30" s="215"/>
    </row>
    <row r="31" spans="2:16">
      <c r="B31" s="216"/>
      <c r="C31" s="217"/>
      <c r="D31" s="217"/>
      <c r="E31" s="217"/>
      <c r="F31" s="217"/>
      <c r="G31" s="218"/>
    </row>
    <row r="32" spans="2:16" ht="17" thickBot="1">
      <c r="B32" s="219"/>
      <c r="C32" s="220"/>
      <c r="D32" s="220"/>
      <c r="E32" s="220"/>
      <c r="F32" s="220"/>
      <c r="G32" s="221"/>
    </row>
    <row r="33" spans="2:7" ht="17" thickBot="1">
      <c r="B33" s="143"/>
      <c r="C33" s="143"/>
      <c r="D33" s="143"/>
      <c r="E33" s="143"/>
      <c r="F33" s="143"/>
      <c r="G33" s="143"/>
    </row>
    <row r="34" spans="2:7" ht="16" customHeight="1">
      <c r="B34" s="213" t="s">
        <v>269</v>
      </c>
      <c r="C34" s="214"/>
      <c r="D34" s="214"/>
      <c r="E34" s="214"/>
      <c r="F34" s="214"/>
      <c r="G34" s="215"/>
    </row>
    <row r="35" spans="2:7">
      <c r="B35" s="216"/>
      <c r="C35" s="217"/>
      <c r="D35" s="217"/>
      <c r="E35" s="217"/>
      <c r="F35" s="217"/>
      <c r="G35" s="218"/>
    </row>
    <row r="36" spans="2:7" ht="17" thickBot="1">
      <c r="B36" s="219"/>
      <c r="C36" s="220"/>
      <c r="D36" s="220"/>
      <c r="E36" s="220"/>
      <c r="F36" s="220"/>
      <c r="G36" s="221"/>
    </row>
  </sheetData>
  <mergeCells count="3">
    <mergeCell ref="C2:E2"/>
    <mergeCell ref="B30:G32"/>
    <mergeCell ref="B34:G36"/>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8455E-7ACC-6049-BD26-EFA6EF1E7C9C}">
  <dimension ref="A1:H25"/>
  <sheetViews>
    <sheetView zoomScale="125" zoomScaleNormal="125" zoomScalePageLayoutView="125" workbookViewId="0">
      <selection activeCell="C11" sqref="C11"/>
    </sheetView>
  </sheetViews>
  <sheetFormatPr baseColWidth="10" defaultRowHeight="16"/>
  <cols>
    <col min="2" max="2" width="12.6640625" bestFit="1" customWidth="1"/>
    <col min="6" max="6" width="12.33203125" customWidth="1"/>
  </cols>
  <sheetData>
    <row r="1" spans="1:8" ht="17" thickBot="1"/>
    <row r="2" spans="1:8">
      <c r="B2" s="222" t="s">
        <v>272</v>
      </c>
      <c r="C2" s="223"/>
      <c r="D2" s="224"/>
      <c r="F2" s="222" t="s">
        <v>273</v>
      </c>
      <c r="G2" s="223"/>
      <c r="H2" s="224"/>
    </row>
    <row r="3" spans="1:8">
      <c r="B3" s="225" t="s">
        <v>68</v>
      </c>
      <c r="C3">
        <f>C4+10</f>
        <v>110</v>
      </c>
      <c r="D3" s="145"/>
      <c r="F3" s="225" t="s">
        <v>68</v>
      </c>
      <c r="G3">
        <f>G4+10</f>
        <v>110</v>
      </c>
      <c r="H3" s="145"/>
    </row>
    <row r="4" spans="1:8">
      <c r="B4" s="225"/>
      <c r="C4">
        <v>100</v>
      </c>
      <c r="D4" s="145"/>
      <c r="F4" s="225"/>
      <c r="G4">
        <v>100</v>
      </c>
      <c r="H4" s="145"/>
    </row>
    <row r="5" spans="1:8">
      <c r="B5" s="225"/>
      <c r="C5">
        <f>C4-10</f>
        <v>90</v>
      </c>
      <c r="D5" s="145"/>
      <c r="F5" s="225"/>
      <c r="G5">
        <f>G4-10</f>
        <v>90</v>
      </c>
      <c r="H5" s="145"/>
    </row>
    <row r="6" spans="1:8">
      <c r="B6" s="146" t="s">
        <v>92</v>
      </c>
      <c r="C6">
        <v>40</v>
      </c>
      <c r="D6" s="145"/>
      <c r="F6" s="146" t="s">
        <v>92</v>
      </c>
      <c r="G6">
        <v>40</v>
      </c>
      <c r="H6" s="145"/>
    </row>
    <row r="7" spans="1:8">
      <c r="B7" s="146" t="s">
        <v>201</v>
      </c>
      <c r="C7">
        <v>99.88</v>
      </c>
      <c r="D7" s="145"/>
      <c r="F7" s="146" t="s">
        <v>201</v>
      </c>
      <c r="G7">
        <v>102.02</v>
      </c>
      <c r="H7" s="145"/>
    </row>
    <row r="8" spans="1:8">
      <c r="B8" s="146" t="s">
        <v>202</v>
      </c>
      <c r="C8">
        <v>3</v>
      </c>
      <c r="D8" s="145"/>
      <c r="F8" s="146" t="s">
        <v>202</v>
      </c>
      <c r="G8">
        <v>2</v>
      </c>
      <c r="H8" s="145"/>
    </row>
    <row r="9" spans="1:8">
      <c r="B9" s="146"/>
      <c r="D9" s="145"/>
      <c r="F9" s="146"/>
      <c r="H9" s="145"/>
    </row>
    <row r="10" spans="1:8">
      <c r="B10" s="146"/>
      <c r="D10" s="145"/>
      <c r="F10" s="146"/>
      <c r="H10" s="145"/>
    </row>
    <row r="11" spans="1:8">
      <c r="A11" s="50"/>
      <c r="B11" s="146" t="s">
        <v>49</v>
      </c>
      <c r="C11" s="125">
        <f>(C3-C5)/(6*C8)</f>
        <v>1.1111111111111112</v>
      </c>
      <c r="D11" s="145"/>
      <c r="F11" s="146" t="s">
        <v>49</v>
      </c>
      <c r="G11" s="125">
        <f>(G3-G5)/(6*G8)</f>
        <v>1.6666666666666667</v>
      </c>
      <c r="H11" s="145"/>
    </row>
    <row r="12" spans="1:8">
      <c r="B12" s="146" t="s">
        <v>203</v>
      </c>
      <c r="C12" s="125">
        <f>(C7-C5)/(3*C8)</f>
        <v>1.0977777777777773</v>
      </c>
      <c r="D12" s="145" t="s">
        <v>210</v>
      </c>
      <c r="F12" s="146" t="s">
        <v>203</v>
      </c>
      <c r="G12" s="36">
        <f>(G7-G5)/(3*G8)</f>
        <v>2.0033333333333325</v>
      </c>
      <c r="H12" s="145"/>
    </row>
    <row r="13" spans="1:8">
      <c r="B13" s="146" t="s">
        <v>204</v>
      </c>
      <c r="C13" s="36">
        <f>(C3-C7)/(3*C8)</f>
        <v>1.124444444444445</v>
      </c>
      <c r="D13" s="145"/>
      <c r="F13" s="146" t="s">
        <v>204</v>
      </c>
      <c r="G13" s="125">
        <f>(G3-G7)/(3*G8)</f>
        <v>1.3300000000000007</v>
      </c>
      <c r="H13" s="145" t="s">
        <v>210</v>
      </c>
    </row>
    <row r="14" spans="1:8">
      <c r="B14" s="146" t="s">
        <v>51</v>
      </c>
      <c r="C14" s="36">
        <f>(C3-C5)/(6*SQRT((C8^2+(C7-C4)^2)))</f>
        <v>1.1102232874686548</v>
      </c>
      <c r="D14" s="145"/>
      <c r="F14" s="146" t="s">
        <v>51</v>
      </c>
      <c r="G14" s="36">
        <f>(G3-G5)/(6*SQRT((G8^2+(G7-G4)^2)))</f>
        <v>1.1726335493268021</v>
      </c>
      <c r="H14" s="145"/>
    </row>
    <row r="15" spans="1:8">
      <c r="B15" s="146"/>
      <c r="C15" s="36"/>
      <c r="D15" s="145"/>
      <c r="F15" s="146"/>
      <c r="G15" s="36"/>
      <c r="H15" s="145"/>
    </row>
    <row r="16" spans="1:8">
      <c r="B16" s="146"/>
      <c r="D16" s="145"/>
      <c r="F16" s="146"/>
      <c r="H16" s="145"/>
    </row>
    <row r="17" spans="2:8">
      <c r="B17" s="147" t="s">
        <v>211</v>
      </c>
      <c r="D17" s="145"/>
      <c r="F17" s="147" t="s">
        <v>211</v>
      </c>
      <c r="H17" s="145"/>
    </row>
    <row r="18" spans="2:8">
      <c r="B18" s="146" t="s">
        <v>49</v>
      </c>
      <c r="C18" s="36">
        <f>C11-1.96*(C11/SQRT(2*(C6-1)))</f>
        <v>0.86452633478628815</v>
      </c>
      <c r="D18" s="148">
        <f>C11+1.96*(C11/SQRT(2*(C6-1)))</f>
        <v>1.3576958874359342</v>
      </c>
      <c r="F18" s="146" t="s">
        <v>49</v>
      </c>
      <c r="G18" s="36">
        <f>G11-1.96*(G11/SQRT(2*(G6-1)))</f>
        <v>1.2967895021794322</v>
      </c>
      <c r="H18" s="148">
        <f>G11+1.96*(G11/SQRT(2*(G6-1)))</f>
        <v>2.0365438311539013</v>
      </c>
    </row>
    <row r="19" spans="2:8">
      <c r="B19" s="146" t="s">
        <v>50</v>
      </c>
      <c r="C19" s="36">
        <f>C12-1.96*(SQRT((C12^2/(2*(C6-1))+1/(9*C6))))</f>
        <v>0.83315612038030362</v>
      </c>
      <c r="D19" s="148">
        <f>C12+1.96*(SQRT((C12^2/(2*(C6-1))+1/(9*C6))))</f>
        <v>1.3623994351752509</v>
      </c>
      <c r="F19" s="146" t="s">
        <v>50</v>
      </c>
      <c r="G19" s="36">
        <f>G12-1.96*(SQRT((G12^2/(2*(G6-1))+1/(9*G6))))</f>
        <v>1.5468977186915847</v>
      </c>
      <c r="H19" s="148">
        <f>G12+1.96*(SQRT((G12^2/(2*(G6-1))+1/(9*G6))))</f>
        <v>2.4597689479750802</v>
      </c>
    </row>
    <row r="20" spans="2:8" ht="17" thickBot="1">
      <c r="B20" s="149" t="s">
        <v>51</v>
      </c>
      <c r="C20" s="150">
        <f>C14-1.96*(C14/SQRT(C6))*SQRT((0.5+((C7-60)^2/C8^2))/(1+(C7-60)^2/C8^2)^2)</f>
        <v>1.0844502650902657</v>
      </c>
      <c r="D20" s="151">
        <f>C14+1.96*(C14/SQRT(C6))*SQRT((0.5+((C7-60)^2/C8^2))/(1+(C7-60)^2/C8^2)^2)</f>
        <v>1.135996309847044</v>
      </c>
      <c r="F20" s="149" t="s">
        <v>51</v>
      </c>
      <c r="G20" s="150">
        <f>G14-1.96*(G14/SQRT(G6))*SQRT((0.5+((G7-60)^2/G8^2))/(1+(G7-60)^2/G8^2)^2)</f>
        <v>1.1553662101820683</v>
      </c>
      <c r="H20" s="151">
        <f>G14+1.96*(G14/SQRT(G6))*SQRT((0.5+((G7-60)^2/G8^2))/(1+(G7-60)^2/G8^2)^2)</f>
        <v>1.1899008884715359</v>
      </c>
    </row>
    <row r="22" spans="2:8">
      <c r="B22" s="226" t="s">
        <v>274</v>
      </c>
      <c r="C22" s="226"/>
      <c r="D22" s="226"/>
      <c r="E22" s="226"/>
      <c r="F22" s="226"/>
      <c r="G22" s="226"/>
      <c r="H22" s="226"/>
    </row>
    <row r="23" spans="2:8">
      <c r="B23" s="226"/>
      <c r="C23" s="226"/>
      <c r="D23" s="226"/>
      <c r="E23" s="226"/>
      <c r="F23" s="226"/>
      <c r="G23" s="226"/>
      <c r="H23" s="226"/>
    </row>
    <row r="24" spans="2:8">
      <c r="B24" s="226"/>
      <c r="C24" s="226"/>
      <c r="D24" s="226"/>
      <c r="E24" s="226"/>
      <c r="F24" s="226"/>
      <c r="G24" s="226"/>
      <c r="H24" s="226"/>
    </row>
    <row r="25" spans="2:8">
      <c r="B25" s="226"/>
      <c r="C25" s="226"/>
      <c r="D25" s="226"/>
      <c r="E25" s="226"/>
      <c r="F25" s="226"/>
      <c r="G25" s="226"/>
      <c r="H25" s="226"/>
    </row>
  </sheetData>
  <mergeCells count="5">
    <mergeCell ref="B2:D2"/>
    <mergeCell ref="F2:H2"/>
    <mergeCell ref="B3:B5"/>
    <mergeCell ref="F3:F5"/>
    <mergeCell ref="B22:H25"/>
  </mergeCells>
  <pageMargins left="0.75" right="0.75" top="1" bottom="1" header="0.5" footer="0.5"/>
  <pageSetup orientation="portrait" horizontalDpi="4294967292" verticalDpi="429496729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D56B7-F11C-AA48-8157-2786431F69CE}">
  <dimension ref="A1:F14"/>
  <sheetViews>
    <sheetView zoomScale="150" zoomScaleNormal="150" zoomScalePageLayoutView="150" workbookViewId="0">
      <selection activeCell="H43" sqref="H43"/>
    </sheetView>
  </sheetViews>
  <sheetFormatPr baseColWidth="10" defaultRowHeight="13"/>
  <cols>
    <col min="1" max="2" width="10.83203125" style="154"/>
    <col min="3" max="3" width="18.6640625" style="154" customWidth="1"/>
    <col min="4" max="16384" width="10.83203125" style="154"/>
  </cols>
  <sheetData>
    <row r="1" spans="1:6">
      <c r="A1" s="152" t="s">
        <v>275</v>
      </c>
      <c r="B1" s="153">
        <v>5</v>
      </c>
      <c r="C1" s="154" t="s">
        <v>276</v>
      </c>
      <c r="D1" s="155">
        <v>10</v>
      </c>
      <c r="E1" s="154" t="s">
        <v>277</v>
      </c>
    </row>
    <row r="2" spans="1:6">
      <c r="A2" s="152" t="s">
        <v>69</v>
      </c>
      <c r="B2" s="153">
        <v>9.6280000000000001</v>
      </c>
      <c r="C2" s="154" t="s">
        <v>278</v>
      </c>
      <c r="D2" s="155">
        <v>3.5</v>
      </c>
      <c r="E2" s="152" t="s">
        <v>69</v>
      </c>
      <c r="F2" s="153">
        <v>9.6349999999999998</v>
      </c>
    </row>
    <row r="3" spans="1:6">
      <c r="A3" s="152" t="s">
        <v>70</v>
      </c>
      <c r="B3" s="153">
        <v>9.6</v>
      </c>
      <c r="C3" s="154" t="s">
        <v>279</v>
      </c>
      <c r="D3" s="155">
        <v>9.35</v>
      </c>
      <c r="E3" s="152" t="s">
        <v>70</v>
      </c>
      <c r="F3" s="153">
        <v>9.6</v>
      </c>
    </row>
    <row r="4" spans="1:6">
      <c r="A4" s="152" t="s">
        <v>186</v>
      </c>
      <c r="B4" s="153">
        <v>9.5719999999999992</v>
      </c>
      <c r="C4" s="154" t="s">
        <v>228</v>
      </c>
      <c r="D4" s="155">
        <v>4</v>
      </c>
      <c r="E4" s="152" t="s">
        <v>186</v>
      </c>
      <c r="F4" s="153">
        <v>9.5649999999999995</v>
      </c>
    </row>
    <row r="5" spans="1:6">
      <c r="A5" s="152"/>
    </row>
    <row r="6" spans="1:6">
      <c r="A6" s="152" t="s">
        <v>9</v>
      </c>
      <c r="B6" s="153">
        <v>3.5000000000000003E-2</v>
      </c>
      <c r="D6" s="152" t="s">
        <v>280</v>
      </c>
      <c r="E6" s="153">
        <v>2.3199999999999998</v>
      </c>
    </row>
    <row r="7" spans="1:6">
      <c r="A7" s="152" t="s">
        <v>281</v>
      </c>
      <c r="B7" s="154">
        <f>B6/E6</f>
        <v>1.5086206896551727E-2</v>
      </c>
    </row>
    <row r="9" spans="1:6">
      <c r="C9" s="154" t="s">
        <v>184</v>
      </c>
    </row>
    <row r="10" spans="1:6">
      <c r="C10" s="152" t="s">
        <v>185</v>
      </c>
      <c r="D10" s="154">
        <v>9.6</v>
      </c>
    </row>
    <row r="11" spans="1:6">
      <c r="C11" s="154" t="s">
        <v>99</v>
      </c>
      <c r="D11" s="154">
        <f>($B$2-$D$10)/(3*$B$7)</f>
        <v>0.61866666666667691</v>
      </c>
      <c r="E11" s="156">
        <f>NORMSDIST(D11)</f>
        <v>0.73193201324651547</v>
      </c>
      <c r="F11" s="157">
        <f>1-E11</f>
        <v>0.26806798675348453</v>
      </c>
    </row>
    <row r="12" spans="1:6">
      <c r="C12" s="154" t="s">
        <v>246</v>
      </c>
      <c r="D12" s="154">
        <f>($B$4-$D$10)/(3*$B$7)</f>
        <v>-0.61866666666667691</v>
      </c>
      <c r="E12" s="156">
        <f>NORMSDIST(D12)</f>
        <v>0.26806798675348448</v>
      </c>
      <c r="F12" s="157">
        <v>0.26806798675348453</v>
      </c>
    </row>
    <row r="13" spans="1:6">
      <c r="C13" s="154" t="s">
        <v>282</v>
      </c>
      <c r="E13" s="156"/>
      <c r="F13" s="157">
        <f>E11-E12</f>
        <v>0.46386402649303099</v>
      </c>
    </row>
    <row r="14" spans="1:6">
      <c r="C14" s="154" t="s">
        <v>189</v>
      </c>
      <c r="E14" s="158">
        <f>$D$3+$D$1+(0*F13)+(F11*$D$4)+(F12*$D$2)</f>
        <v>21.360509900651135</v>
      </c>
      <c r="F14" s="157">
        <f>SUM(F11:F13)</f>
        <v>1</v>
      </c>
    </row>
  </sheetData>
  <pageMargins left="0.75" right="0.75" top="1" bottom="1" header="0.5" footer="0.5"/>
  <drawing r:id="rId1"/>
  <legacyDrawing r:id="rId2"/>
  <oleObjects>
    <mc:AlternateContent xmlns:mc="http://schemas.openxmlformats.org/markup-compatibility/2006">
      <mc:Choice Requires="x14">
        <oleObject shapeId="22529" r:id="rId3">
          <objectPr defaultSize="0" autoPict="0" r:id="rId4">
            <anchor moveWithCells="1" sizeWithCells="1">
              <from>
                <xdr:col>0</xdr:col>
                <xdr:colOff>812800</xdr:colOff>
                <xdr:row>15</xdr:row>
                <xdr:rowOff>88900</xdr:rowOff>
              </from>
              <to>
                <xdr:col>4</xdr:col>
                <xdr:colOff>0</xdr:colOff>
                <xdr:row>25</xdr:row>
                <xdr:rowOff>0</xdr:rowOff>
              </to>
            </anchor>
          </objectPr>
        </oleObject>
      </mc:Choice>
      <mc:Fallback>
        <oleObject shapeId="22529"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63"/>
  <sheetViews>
    <sheetView topLeftCell="M8" workbookViewId="0">
      <selection activeCell="AH25" sqref="AH25"/>
    </sheetView>
  </sheetViews>
  <sheetFormatPr baseColWidth="10" defaultRowHeight="13"/>
  <cols>
    <col min="1" max="1" width="10.6640625" style="7" customWidth="1"/>
    <col min="2" max="2" width="8.83203125" style="7" customWidth="1"/>
    <col min="3" max="3" width="9.1640625" style="7" customWidth="1"/>
    <col min="4" max="4" width="9.6640625" style="7" customWidth="1"/>
    <col min="5" max="5" width="9.1640625" style="7" customWidth="1"/>
    <col min="6" max="6" width="8.1640625" style="7" customWidth="1"/>
    <col min="7" max="7" width="9.33203125" style="7" customWidth="1"/>
    <col min="8" max="8" width="7.5" style="7" customWidth="1"/>
    <col min="9" max="9" width="10.5" style="7" customWidth="1"/>
    <col min="10" max="17" width="10.83203125" style="7"/>
    <col min="18" max="18" width="10.6640625" style="7" customWidth="1"/>
    <col min="19" max="20" width="9.5" style="7" customWidth="1"/>
    <col min="21" max="21" width="9.1640625" style="7" customWidth="1"/>
    <col min="22" max="22" width="4" style="7" customWidth="1"/>
    <col min="23" max="23" width="8" style="7" customWidth="1"/>
    <col min="24" max="24" width="7.5" style="7" customWidth="1"/>
    <col min="25" max="25" width="6.83203125" style="7" customWidth="1"/>
    <col min="26" max="26" width="10.6640625" style="7" customWidth="1"/>
    <col min="27" max="27" width="10.5" style="7" customWidth="1"/>
    <col min="28" max="28" width="9.1640625" style="7" customWidth="1"/>
    <col min="29" max="29" width="8.5" style="7" customWidth="1"/>
    <col min="30" max="30" width="7.6640625" style="7" customWidth="1"/>
    <col min="31" max="31" width="4.83203125" style="7" customWidth="1"/>
    <col min="32" max="16384" width="10.83203125" style="7"/>
  </cols>
  <sheetData>
    <row r="1" spans="1:31">
      <c r="A1" s="6" t="s">
        <v>29</v>
      </c>
      <c r="B1" s="6" t="s">
        <v>30</v>
      </c>
      <c r="C1" s="6" t="s">
        <v>31</v>
      </c>
      <c r="D1" s="6" t="s">
        <v>32</v>
      </c>
      <c r="E1" s="6" t="s">
        <v>33</v>
      </c>
      <c r="F1" s="6" t="s">
        <v>30</v>
      </c>
      <c r="G1" s="6" t="s">
        <v>31</v>
      </c>
      <c r="H1" s="6" t="s">
        <v>32</v>
      </c>
      <c r="I1" s="6" t="s">
        <v>34</v>
      </c>
      <c r="R1" s="6" t="s">
        <v>29</v>
      </c>
      <c r="S1" s="6" t="s">
        <v>30</v>
      </c>
      <c r="T1" s="6" t="s">
        <v>31</v>
      </c>
      <c r="U1" s="6" t="s">
        <v>32</v>
      </c>
      <c r="V1" s="6" t="s">
        <v>33</v>
      </c>
      <c r="AA1" s="6" t="s">
        <v>29</v>
      </c>
      <c r="AB1" s="6" t="s">
        <v>30</v>
      </c>
      <c r="AC1" s="6" t="s">
        <v>31</v>
      </c>
      <c r="AD1" s="6" t="s">
        <v>32</v>
      </c>
      <c r="AE1" s="6" t="s">
        <v>33</v>
      </c>
    </row>
    <row r="2" spans="1:31">
      <c r="A2" s="8">
        <v>100.2</v>
      </c>
      <c r="B2" s="9">
        <f t="shared" ref="B2:B31" si="0">$A$32+($B$34*$I$32)</f>
        <v>102.14866666666667</v>
      </c>
      <c r="C2" s="9">
        <f t="shared" ref="C2:C31" si="1">$A$32</f>
        <v>100.58266666666667</v>
      </c>
      <c r="D2" s="9">
        <f t="shared" ref="D2:D31" si="2">$A$32-($B$34*$I$32)</f>
        <v>99.016666666666666</v>
      </c>
      <c r="E2" s="10">
        <v>1</v>
      </c>
      <c r="F2" s="9">
        <f t="shared" ref="F2:F31" si="3">$B$35*$I$32</f>
        <v>5.6997</v>
      </c>
      <c r="G2" s="9">
        <f t="shared" ref="G2:G31" si="4">$I$32</f>
        <v>2.6999999999999997</v>
      </c>
      <c r="H2" s="10">
        <f t="shared" ref="H2:H31" si="5">$B$36*$I$32</f>
        <v>0</v>
      </c>
      <c r="I2" s="9">
        <v>1.6</v>
      </c>
      <c r="R2" s="8">
        <v>100.2</v>
      </c>
      <c r="S2" s="9">
        <f t="shared" ref="S2:S26" si="6">$R$27+($B$34*$I$32)</f>
        <v>101.89080000000001</v>
      </c>
      <c r="T2" s="9">
        <f t="shared" ref="T2:T26" si="7">$R$27</f>
        <v>100.32480000000001</v>
      </c>
      <c r="U2" s="9">
        <f t="shared" ref="U2:U26" si="8">$R$27-($B$34*$I$32)</f>
        <v>98.758800000000008</v>
      </c>
      <c r="V2" s="10">
        <v>1</v>
      </c>
      <c r="AA2" s="8">
        <v>100.2</v>
      </c>
      <c r="AB2" s="9">
        <f t="shared" ref="AB2:AB25" si="9">$AA$26+($B$34*$I$32)</f>
        <v>101.82516666666668</v>
      </c>
      <c r="AC2" s="9">
        <f t="shared" ref="AC2:AC25" si="10">$AA$26</f>
        <v>100.25916666666667</v>
      </c>
      <c r="AD2" s="9">
        <f t="shared" ref="AD2:AD25" si="11">$AA$26-($B$34*$I$32)</f>
        <v>98.69316666666667</v>
      </c>
      <c r="AE2" s="10">
        <v>1</v>
      </c>
    </row>
    <row r="3" spans="1:31">
      <c r="A3" s="8">
        <v>100.4</v>
      </c>
      <c r="B3" s="9">
        <f t="shared" si="0"/>
        <v>102.14866666666667</v>
      </c>
      <c r="C3" s="9">
        <f t="shared" si="1"/>
        <v>100.58266666666667</v>
      </c>
      <c r="D3" s="9">
        <f t="shared" si="2"/>
        <v>99.016666666666666</v>
      </c>
      <c r="E3" s="10">
        <f>E2+1</f>
        <v>2</v>
      </c>
      <c r="F3" s="9">
        <f t="shared" si="3"/>
        <v>5.6997</v>
      </c>
      <c r="G3" s="9">
        <f t="shared" si="4"/>
        <v>2.6999999999999997</v>
      </c>
      <c r="H3" s="10">
        <f t="shared" si="5"/>
        <v>0</v>
      </c>
      <c r="I3" s="9">
        <v>2.2000000000000002</v>
      </c>
      <c r="R3" s="8">
        <v>100.4</v>
      </c>
      <c r="S3" s="9">
        <f t="shared" si="6"/>
        <v>101.89080000000001</v>
      </c>
      <c r="T3" s="9">
        <f t="shared" si="7"/>
        <v>100.32480000000001</v>
      </c>
      <c r="U3" s="9">
        <f t="shared" si="8"/>
        <v>98.758800000000008</v>
      </c>
      <c r="V3" s="10">
        <f>V2+1</f>
        <v>2</v>
      </c>
      <c r="AA3" s="8">
        <v>100.4</v>
      </c>
      <c r="AB3" s="9">
        <f t="shared" si="9"/>
        <v>101.82516666666668</v>
      </c>
      <c r="AC3" s="9">
        <f t="shared" si="10"/>
        <v>100.25916666666667</v>
      </c>
      <c r="AD3" s="9">
        <f t="shared" si="11"/>
        <v>98.69316666666667</v>
      </c>
      <c r="AE3" s="10">
        <f>AE2+1</f>
        <v>2</v>
      </c>
    </row>
    <row r="4" spans="1:31">
      <c r="A4" s="8">
        <v>99.58</v>
      </c>
      <c r="B4" s="9">
        <f t="shared" si="0"/>
        <v>102.14866666666667</v>
      </c>
      <c r="C4" s="9">
        <f t="shared" si="1"/>
        <v>100.58266666666667</v>
      </c>
      <c r="D4" s="9">
        <f t="shared" si="2"/>
        <v>99.016666666666666</v>
      </c>
      <c r="E4" s="10">
        <f t="shared" ref="E4:E31" si="12">E3+1</f>
        <v>3</v>
      </c>
      <c r="F4" s="9">
        <f t="shared" si="3"/>
        <v>5.6997</v>
      </c>
      <c r="G4" s="9">
        <f t="shared" si="4"/>
        <v>2.6999999999999997</v>
      </c>
      <c r="H4" s="10">
        <f t="shared" si="5"/>
        <v>0</v>
      </c>
      <c r="I4" s="9">
        <v>2.2999999999999998</v>
      </c>
      <c r="R4" s="8">
        <v>99.58</v>
      </c>
      <c r="S4" s="9">
        <f t="shared" si="6"/>
        <v>101.89080000000001</v>
      </c>
      <c r="T4" s="9">
        <f t="shared" si="7"/>
        <v>100.32480000000001</v>
      </c>
      <c r="U4" s="9">
        <f t="shared" si="8"/>
        <v>98.758800000000008</v>
      </c>
      <c r="V4" s="10">
        <f>V3+1</f>
        <v>3</v>
      </c>
      <c r="AA4" s="8">
        <v>99.58</v>
      </c>
      <c r="AB4" s="9">
        <f t="shared" si="9"/>
        <v>101.82516666666668</v>
      </c>
      <c r="AC4" s="9">
        <f t="shared" si="10"/>
        <v>100.25916666666667</v>
      </c>
      <c r="AD4" s="9">
        <f t="shared" si="11"/>
        <v>98.69316666666667</v>
      </c>
      <c r="AE4" s="10">
        <f>AE3+1</f>
        <v>3</v>
      </c>
    </row>
    <row r="5" spans="1:31">
      <c r="A5" s="8">
        <v>100.04</v>
      </c>
      <c r="B5" s="9">
        <f t="shared" si="0"/>
        <v>102.14866666666667</v>
      </c>
      <c r="C5" s="9">
        <f t="shared" si="1"/>
        <v>100.58266666666667</v>
      </c>
      <c r="D5" s="9">
        <f t="shared" si="2"/>
        <v>99.016666666666666</v>
      </c>
      <c r="E5" s="10">
        <f t="shared" si="12"/>
        <v>4</v>
      </c>
      <c r="F5" s="9">
        <f t="shared" si="3"/>
        <v>5.6997</v>
      </c>
      <c r="G5" s="9">
        <f t="shared" si="4"/>
        <v>2.6999999999999997</v>
      </c>
      <c r="H5" s="10">
        <f t="shared" si="5"/>
        <v>0</v>
      </c>
      <c r="I5" s="9">
        <v>2.6</v>
      </c>
      <c r="R5" s="8">
        <v>100.04</v>
      </c>
      <c r="S5" s="9">
        <f t="shared" si="6"/>
        <v>101.89080000000001</v>
      </c>
      <c r="T5" s="9">
        <f t="shared" si="7"/>
        <v>100.32480000000001</v>
      </c>
      <c r="U5" s="9">
        <f t="shared" si="8"/>
        <v>98.758800000000008</v>
      </c>
      <c r="V5" s="10">
        <f>V4+1</f>
        <v>4</v>
      </c>
      <c r="AA5" s="8">
        <v>100.04</v>
      </c>
      <c r="AB5" s="9">
        <f t="shared" si="9"/>
        <v>101.82516666666668</v>
      </c>
      <c r="AC5" s="9">
        <f t="shared" si="10"/>
        <v>100.25916666666667</v>
      </c>
      <c r="AD5" s="9">
        <f t="shared" si="11"/>
        <v>98.69316666666667</v>
      </c>
      <c r="AE5" s="10">
        <f>AE4+1</f>
        <v>4</v>
      </c>
    </row>
    <row r="6" spans="1:31">
      <c r="A6" s="8">
        <v>99.12</v>
      </c>
      <c r="B6" s="9">
        <f t="shared" si="0"/>
        <v>102.14866666666667</v>
      </c>
      <c r="C6" s="9">
        <f t="shared" si="1"/>
        <v>100.58266666666667</v>
      </c>
      <c r="D6" s="9">
        <f t="shared" si="2"/>
        <v>99.016666666666666</v>
      </c>
      <c r="E6" s="10">
        <f t="shared" si="12"/>
        <v>5</v>
      </c>
      <c r="F6" s="9">
        <f t="shared" si="3"/>
        <v>5.6997</v>
      </c>
      <c r="G6" s="9">
        <f t="shared" si="4"/>
        <v>2.6999999999999997</v>
      </c>
      <c r="H6" s="10">
        <f t="shared" si="5"/>
        <v>0</v>
      </c>
      <c r="I6" s="9">
        <v>3.3</v>
      </c>
      <c r="R6" s="8">
        <v>99.12</v>
      </c>
      <c r="S6" s="9">
        <f t="shared" si="6"/>
        <v>101.89080000000001</v>
      </c>
      <c r="T6" s="9">
        <f t="shared" si="7"/>
        <v>100.32480000000001</v>
      </c>
      <c r="U6" s="9">
        <f t="shared" si="8"/>
        <v>98.758800000000008</v>
      </c>
      <c r="V6" s="10">
        <f>V5+1</f>
        <v>5</v>
      </c>
      <c r="AA6" s="8">
        <v>99.12</v>
      </c>
      <c r="AB6" s="9">
        <f t="shared" si="9"/>
        <v>101.82516666666668</v>
      </c>
      <c r="AC6" s="9">
        <f t="shared" si="10"/>
        <v>100.25916666666667</v>
      </c>
      <c r="AD6" s="9">
        <f t="shared" si="11"/>
        <v>98.69316666666667</v>
      </c>
      <c r="AE6" s="10">
        <f>AE5+1</f>
        <v>5</v>
      </c>
    </row>
    <row r="7" spans="1:31">
      <c r="A7" s="8">
        <v>103.12</v>
      </c>
      <c r="B7" s="9">
        <f t="shared" si="0"/>
        <v>102.14866666666667</v>
      </c>
      <c r="C7" s="9">
        <f t="shared" si="1"/>
        <v>100.58266666666667</v>
      </c>
      <c r="D7" s="9">
        <f t="shared" si="2"/>
        <v>99.016666666666666</v>
      </c>
      <c r="E7" s="10">
        <f t="shared" si="12"/>
        <v>6</v>
      </c>
      <c r="F7" s="9">
        <f t="shared" si="3"/>
        <v>5.6997</v>
      </c>
      <c r="G7" s="9">
        <f t="shared" si="4"/>
        <v>2.6999999999999997</v>
      </c>
      <c r="H7" s="10">
        <f t="shared" si="5"/>
        <v>0</v>
      </c>
      <c r="I7" s="9">
        <v>4.7</v>
      </c>
      <c r="R7" s="8">
        <v>99.78</v>
      </c>
      <c r="S7" s="9">
        <f t="shared" si="6"/>
        <v>101.89080000000001</v>
      </c>
      <c r="T7" s="9">
        <f t="shared" si="7"/>
        <v>100.32480000000001</v>
      </c>
      <c r="U7" s="9">
        <f t="shared" si="8"/>
        <v>98.758800000000008</v>
      </c>
      <c r="V7" s="10">
        <v>8</v>
      </c>
      <c r="AA7" s="8">
        <v>99.78</v>
      </c>
      <c r="AB7" s="9">
        <f t="shared" si="9"/>
        <v>101.82516666666668</v>
      </c>
      <c r="AC7" s="9">
        <f t="shared" si="10"/>
        <v>100.25916666666667</v>
      </c>
      <c r="AD7" s="9">
        <f t="shared" si="11"/>
        <v>98.69316666666667</v>
      </c>
      <c r="AE7" s="10">
        <v>8</v>
      </c>
    </row>
    <row r="8" spans="1:31">
      <c r="A8" s="8">
        <v>98.88</v>
      </c>
      <c r="B8" s="9">
        <f t="shared" si="0"/>
        <v>102.14866666666667</v>
      </c>
      <c r="C8" s="9">
        <f t="shared" si="1"/>
        <v>100.58266666666667</v>
      </c>
      <c r="D8" s="9">
        <f t="shared" si="2"/>
        <v>99.016666666666666</v>
      </c>
      <c r="E8" s="10">
        <f t="shared" si="12"/>
        <v>7</v>
      </c>
      <c r="F8" s="9">
        <f t="shared" si="3"/>
        <v>5.6997</v>
      </c>
      <c r="G8" s="9">
        <f t="shared" si="4"/>
        <v>2.6999999999999997</v>
      </c>
      <c r="H8" s="10">
        <f t="shared" si="5"/>
        <v>0</v>
      </c>
      <c r="I8" s="9">
        <v>3</v>
      </c>
      <c r="R8" s="8">
        <v>100.84</v>
      </c>
      <c r="S8" s="9">
        <f t="shared" si="6"/>
        <v>101.89080000000001</v>
      </c>
      <c r="T8" s="9">
        <f t="shared" si="7"/>
        <v>100.32480000000001</v>
      </c>
      <c r="U8" s="9">
        <f t="shared" si="8"/>
        <v>98.758800000000008</v>
      </c>
      <c r="V8" s="10">
        <f>V7+1</f>
        <v>9</v>
      </c>
      <c r="AA8" s="8">
        <v>100.84</v>
      </c>
      <c r="AB8" s="9">
        <f t="shared" si="9"/>
        <v>101.82516666666668</v>
      </c>
      <c r="AC8" s="9">
        <f t="shared" si="10"/>
        <v>100.25916666666667</v>
      </c>
      <c r="AD8" s="9">
        <f t="shared" si="11"/>
        <v>98.69316666666667</v>
      </c>
      <c r="AE8" s="10">
        <f>AE7+1</f>
        <v>9</v>
      </c>
    </row>
    <row r="9" spans="1:31">
      <c r="A9" s="8">
        <v>99.78</v>
      </c>
      <c r="B9" s="9">
        <f t="shared" si="0"/>
        <v>102.14866666666667</v>
      </c>
      <c r="C9" s="9">
        <f t="shared" si="1"/>
        <v>100.58266666666667</v>
      </c>
      <c r="D9" s="9">
        <f t="shared" si="2"/>
        <v>99.016666666666666</v>
      </c>
      <c r="E9" s="10">
        <f t="shared" si="12"/>
        <v>8</v>
      </c>
      <c r="F9" s="9">
        <f t="shared" si="3"/>
        <v>5.6997</v>
      </c>
      <c r="G9" s="9">
        <f t="shared" si="4"/>
        <v>2.6999999999999997</v>
      </c>
      <c r="H9" s="10">
        <f t="shared" si="5"/>
        <v>0</v>
      </c>
      <c r="I9" s="9">
        <v>2.4</v>
      </c>
      <c r="R9" s="8">
        <v>99.66</v>
      </c>
      <c r="S9" s="9">
        <f t="shared" si="6"/>
        <v>101.89080000000001</v>
      </c>
      <c r="T9" s="9">
        <f t="shared" si="7"/>
        <v>100.32480000000001</v>
      </c>
      <c r="U9" s="9">
        <f t="shared" si="8"/>
        <v>98.758800000000008</v>
      </c>
      <c r="V9" s="10">
        <f>V8+1</f>
        <v>10</v>
      </c>
      <c r="AA9" s="8">
        <v>99.66</v>
      </c>
      <c r="AB9" s="9">
        <f t="shared" si="9"/>
        <v>101.82516666666668</v>
      </c>
      <c r="AC9" s="9">
        <f t="shared" si="10"/>
        <v>100.25916666666667</v>
      </c>
      <c r="AD9" s="9">
        <f t="shared" si="11"/>
        <v>98.69316666666667</v>
      </c>
      <c r="AE9" s="10">
        <f>AE8+1</f>
        <v>10</v>
      </c>
    </row>
    <row r="10" spans="1:31">
      <c r="A10" s="8">
        <v>100.84</v>
      </c>
      <c r="B10" s="9">
        <f t="shared" si="0"/>
        <v>102.14866666666667</v>
      </c>
      <c r="C10" s="9">
        <f t="shared" si="1"/>
        <v>100.58266666666667</v>
      </c>
      <c r="D10" s="9">
        <f t="shared" si="2"/>
        <v>99.016666666666666</v>
      </c>
      <c r="E10" s="10">
        <f t="shared" si="12"/>
        <v>9</v>
      </c>
      <c r="F10" s="9">
        <f t="shared" si="3"/>
        <v>5.6997</v>
      </c>
      <c r="G10" s="9">
        <f t="shared" si="4"/>
        <v>2.6999999999999997</v>
      </c>
      <c r="H10" s="10">
        <f t="shared" si="5"/>
        <v>0</v>
      </c>
      <c r="I10" s="9">
        <v>4.3</v>
      </c>
      <c r="R10" s="8">
        <v>101.16</v>
      </c>
      <c r="S10" s="9">
        <f t="shared" si="6"/>
        <v>101.89080000000001</v>
      </c>
      <c r="T10" s="9">
        <f t="shared" si="7"/>
        <v>100.32480000000001</v>
      </c>
      <c r="U10" s="9">
        <f t="shared" si="8"/>
        <v>98.758800000000008</v>
      </c>
      <c r="V10" s="10">
        <f>V9+1</f>
        <v>11</v>
      </c>
      <c r="AA10" s="8">
        <v>101.16</v>
      </c>
      <c r="AB10" s="9">
        <f t="shared" si="9"/>
        <v>101.82516666666668</v>
      </c>
      <c r="AC10" s="9">
        <f t="shared" si="10"/>
        <v>100.25916666666667</v>
      </c>
      <c r="AD10" s="9">
        <f t="shared" si="11"/>
        <v>98.69316666666667</v>
      </c>
      <c r="AE10" s="10">
        <f>AE9+1</f>
        <v>11</v>
      </c>
    </row>
    <row r="11" spans="1:31">
      <c r="A11" s="8">
        <v>99.66</v>
      </c>
      <c r="B11" s="9">
        <f t="shared" si="0"/>
        <v>102.14866666666667</v>
      </c>
      <c r="C11" s="9">
        <f t="shared" si="1"/>
        <v>100.58266666666667</v>
      </c>
      <c r="D11" s="9">
        <f t="shared" si="2"/>
        <v>99.016666666666666</v>
      </c>
      <c r="E11" s="10">
        <f t="shared" si="12"/>
        <v>10</v>
      </c>
      <c r="F11" s="9">
        <f t="shared" si="3"/>
        <v>5.6997</v>
      </c>
      <c r="G11" s="9">
        <f t="shared" si="4"/>
        <v>2.6999999999999997</v>
      </c>
      <c r="H11" s="10">
        <f t="shared" si="5"/>
        <v>0</v>
      </c>
      <c r="I11" s="9">
        <v>2.8</v>
      </c>
      <c r="R11" s="8">
        <v>100.08</v>
      </c>
      <c r="S11" s="9">
        <f t="shared" si="6"/>
        <v>101.89080000000001</v>
      </c>
      <c r="T11" s="9">
        <f t="shared" si="7"/>
        <v>100.32480000000001</v>
      </c>
      <c r="U11" s="9">
        <f t="shared" si="8"/>
        <v>98.758800000000008</v>
      </c>
      <c r="V11" s="10">
        <f>V10+1</f>
        <v>12</v>
      </c>
      <c r="AA11" s="8">
        <v>100.08</v>
      </c>
      <c r="AB11" s="9">
        <f t="shared" si="9"/>
        <v>101.82516666666668</v>
      </c>
      <c r="AC11" s="9">
        <f t="shared" si="10"/>
        <v>100.25916666666667</v>
      </c>
      <c r="AD11" s="9">
        <f t="shared" si="11"/>
        <v>98.69316666666667</v>
      </c>
      <c r="AE11" s="10">
        <f>AE10+1</f>
        <v>12</v>
      </c>
    </row>
    <row r="12" spans="1:31">
      <c r="A12" s="8">
        <v>101.16</v>
      </c>
      <c r="B12" s="9">
        <f t="shared" si="0"/>
        <v>102.14866666666667</v>
      </c>
      <c r="C12" s="9">
        <f t="shared" si="1"/>
        <v>100.58266666666667</v>
      </c>
      <c r="D12" s="9">
        <f t="shared" si="2"/>
        <v>99.016666666666666</v>
      </c>
      <c r="E12" s="10">
        <f t="shared" si="12"/>
        <v>11</v>
      </c>
      <c r="F12" s="9">
        <f t="shared" si="3"/>
        <v>5.6997</v>
      </c>
      <c r="G12" s="9">
        <f t="shared" si="4"/>
        <v>2.6999999999999997</v>
      </c>
      <c r="H12" s="10">
        <f t="shared" si="5"/>
        <v>0</v>
      </c>
      <c r="I12" s="9">
        <v>2.6</v>
      </c>
      <c r="R12" s="8">
        <v>99.3</v>
      </c>
      <c r="S12" s="9">
        <f t="shared" si="6"/>
        <v>101.89080000000001</v>
      </c>
      <c r="T12" s="9">
        <f t="shared" si="7"/>
        <v>100.32480000000001</v>
      </c>
      <c r="U12" s="9">
        <f t="shared" si="8"/>
        <v>98.758800000000008</v>
      </c>
      <c r="V12" s="10">
        <v>14</v>
      </c>
      <c r="AA12" s="8">
        <v>99.3</v>
      </c>
      <c r="AB12" s="9">
        <f t="shared" si="9"/>
        <v>101.82516666666668</v>
      </c>
      <c r="AC12" s="9">
        <f t="shared" si="10"/>
        <v>100.25916666666667</v>
      </c>
      <c r="AD12" s="9">
        <f t="shared" si="11"/>
        <v>98.69316666666667</v>
      </c>
      <c r="AE12" s="10">
        <v>14</v>
      </c>
    </row>
    <row r="13" spans="1:31">
      <c r="A13" s="8">
        <v>100.08</v>
      </c>
      <c r="B13" s="9">
        <f t="shared" si="0"/>
        <v>102.14866666666667</v>
      </c>
      <c r="C13" s="9">
        <f t="shared" si="1"/>
        <v>100.58266666666667</v>
      </c>
      <c r="D13" s="9">
        <f t="shared" si="2"/>
        <v>99.016666666666666</v>
      </c>
      <c r="E13" s="10">
        <f t="shared" si="12"/>
        <v>12</v>
      </c>
      <c r="F13" s="9">
        <f t="shared" si="3"/>
        <v>5.6997</v>
      </c>
      <c r="G13" s="9">
        <f t="shared" si="4"/>
        <v>2.6999999999999997</v>
      </c>
      <c r="H13" s="10">
        <f t="shared" si="5"/>
        <v>0</v>
      </c>
      <c r="I13" s="9">
        <v>4.4000000000000004</v>
      </c>
      <c r="R13" s="8">
        <v>100.4</v>
      </c>
      <c r="S13" s="9">
        <f t="shared" si="6"/>
        <v>101.89080000000001</v>
      </c>
      <c r="T13" s="9">
        <f t="shared" si="7"/>
        <v>100.32480000000001</v>
      </c>
      <c r="U13" s="9">
        <f t="shared" si="8"/>
        <v>98.758800000000008</v>
      </c>
      <c r="V13" s="10">
        <f t="shared" ref="V13:V26" si="13">V12+1</f>
        <v>15</v>
      </c>
      <c r="AA13" s="8">
        <v>100.4</v>
      </c>
      <c r="AB13" s="9">
        <f t="shared" si="9"/>
        <v>101.82516666666668</v>
      </c>
      <c r="AC13" s="9">
        <f t="shared" si="10"/>
        <v>100.25916666666667</v>
      </c>
      <c r="AD13" s="9">
        <f t="shared" si="11"/>
        <v>98.69316666666667</v>
      </c>
      <c r="AE13" s="10">
        <f t="shared" ref="AE13:AE25" si="14">AE12+1</f>
        <v>15</v>
      </c>
    </row>
    <row r="14" spans="1:31">
      <c r="A14" s="8">
        <v>102.56</v>
      </c>
      <c r="B14" s="9">
        <f t="shared" si="0"/>
        <v>102.14866666666667</v>
      </c>
      <c r="C14" s="9">
        <f t="shared" si="1"/>
        <v>100.58266666666667</v>
      </c>
      <c r="D14" s="9">
        <f t="shared" si="2"/>
        <v>99.016666666666666</v>
      </c>
      <c r="E14" s="10">
        <f t="shared" si="12"/>
        <v>13</v>
      </c>
      <c r="F14" s="9">
        <f t="shared" si="3"/>
        <v>5.6997</v>
      </c>
      <c r="G14" s="9">
        <f t="shared" si="4"/>
        <v>2.6999999999999997</v>
      </c>
      <c r="H14" s="10">
        <f t="shared" si="5"/>
        <v>0</v>
      </c>
      <c r="I14" s="9">
        <v>1.8</v>
      </c>
      <c r="R14" s="8">
        <v>100.1</v>
      </c>
      <c r="S14" s="9">
        <f t="shared" si="6"/>
        <v>101.89080000000001</v>
      </c>
      <c r="T14" s="9">
        <f t="shared" si="7"/>
        <v>100.32480000000001</v>
      </c>
      <c r="U14" s="9">
        <f t="shared" si="8"/>
        <v>98.758800000000008</v>
      </c>
      <c r="V14" s="10">
        <f t="shared" si="13"/>
        <v>16</v>
      </c>
      <c r="AA14" s="8">
        <v>100.1</v>
      </c>
      <c r="AB14" s="9">
        <f t="shared" si="9"/>
        <v>101.82516666666668</v>
      </c>
      <c r="AC14" s="9">
        <f t="shared" si="10"/>
        <v>100.25916666666667</v>
      </c>
      <c r="AD14" s="9">
        <f t="shared" si="11"/>
        <v>98.69316666666667</v>
      </c>
      <c r="AE14" s="10">
        <f t="shared" si="14"/>
        <v>16</v>
      </c>
    </row>
    <row r="15" spans="1:31">
      <c r="A15" s="8">
        <v>99.3</v>
      </c>
      <c r="B15" s="9">
        <f t="shared" si="0"/>
        <v>102.14866666666667</v>
      </c>
      <c r="C15" s="9">
        <f t="shared" si="1"/>
        <v>100.58266666666667</v>
      </c>
      <c r="D15" s="9">
        <f t="shared" si="2"/>
        <v>99.016666666666666</v>
      </c>
      <c r="E15" s="10">
        <f t="shared" si="12"/>
        <v>14</v>
      </c>
      <c r="F15" s="9">
        <f t="shared" si="3"/>
        <v>5.6997</v>
      </c>
      <c r="G15" s="9">
        <f t="shared" si="4"/>
        <v>2.6999999999999997</v>
      </c>
      <c r="H15" s="10">
        <f t="shared" si="5"/>
        <v>0</v>
      </c>
      <c r="I15" s="9">
        <v>2.9</v>
      </c>
      <c r="R15" s="8">
        <v>100.64</v>
      </c>
      <c r="S15" s="9">
        <f t="shared" si="6"/>
        <v>101.89080000000001</v>
      </c>
      <c r="T15" s="9">
        <f t="shared" si="7"/>
        <v>100.32480000000001</v>
      </c>
      <c r="U15" s="9">
        <f t="shared" si="8"/>
        <v>98.758800000000008</v>
      </c>
      <c r="V15" s="10">
        <f t="shared" si="13"/>
        <v>17</v>
      </c>
      <c r="AA15" s="8">
        <v>100.64</v>
      </c>
      <c r="AB15" s="9">
        <f t="shared" si="9"/>
        <v>101.82516666666668</v>
      </c>
      <c r="AC15" s="9">
        <f t="shared" si="10"/>
        <v>100.25916666666667</v>
      </c>
      <c r="AD15" s="9">
        <f t="shared" si="11"/>
        <v>98.69316666666667</v>
      </c>
      <c r="AE15" s="10">
        <f t="shared" si="14"/>
        <v>17</v>
      </c>
    </row>
    <row r="16" spans="1:31">
      <c r="A16" s="8">
        <v>100.4</v>
      </c>
      <c r="B16" s="9">
        <f t="shared" si="0"/>
        <v>102.14866666666667</v>
      </c>
      <c r="C16" s="9">
        <f t="shared" si="1"/>
        <v>100.58266666666667</v>
      </c>
      <c r="D16" s="9">
        <f t="shared" si="2"/>
        <v>99.016666666666666</v>
      </c>
      <c r="E16" s="10">
        <f t="shared" si="12"/>
        <v>15</v>
      </c>
      <c r="F16" s="9">
        <f t="shared" si="3"/>
        <v>5.6997</v>
      </c>
      <c r="G16" s="9">
        <f t="shared" si="4"/>
        <v>2.6999999999999997</v>
      </c>
      <c r="H16" s="10">
        <f t="shared" si="5"/>
        <v>0</v>
      </c>
      <c r="I16" s="9">
        <v>2.4</v>
      </c>
      <c r="R16" s="8">
        <v>99.94</v>
      </c>
      <c r="S16" s="9">
        <f t="shared" si="6"/>
        <v>101.89080000000001</v>
      </c>
      <c r="T16" s="9">
        <f t="shared" si="7"/>
        <v>100.32480000000001</v>
      </c>
      <c r="U16" s="9">
        <f t="shared" si="8"/>
        <v>98.758800000000008</v>
      </c>
      <c r="V16" s="10">
        <f t="shared" si="13"/>
        <v>18</v>
      </c>
      <c r="AA16" s="8">
        <v>99.94</v>
      </c>
      <c r="AB16" s="9">
        <f t="shared" si="9"/>
        <v>101.82516666666668</v>
      </c>
      <c r="AC16" s="9">
        <f t="shared" si="10"/>
        <v>100.25916666666667</v>
      </c>
      <c r="AD16" s="9">
        <f t="shared" si="11"/>
        <v>98.69316666666667</v>
      </c>
      <c r="AE16" s="10">
        <f t="shared" si="14"/>
        <v>18</v>
      </c>
    </row>
    <row r="17" spans="1:31">
      <c r="A17" s="8">
        <v>100.1</v>
      </c>
      <c r="B17" s="9">
        <f t="shared" si="0"/>
        <v>102.14866666666667</v>
      </c>
      <c r="C17" s="9">
        <f t="shared" si="1"/>
        <v>100.58266666666667</v>
      </c>
      <c r="D17" s="9">
        <f t="shared" si="2"/>
        <v>99.016666666666666</v>
      </c>
      <c r="E17" s="10">
        <f t="shared" si="12"/>
        <v>16</v>
      </c>
      <c r="F17" s="9">
        <f t="shared" si="3"/>
        <v>5.6997</v>
      </c>
      <c r="G17" s="9">
        <f t="shared" si="4"/>
        <v>2.6999999999999997</v>
      </c>
      <c r="H17" s="10">
        <f t="shared" si="5"/>
        <v>0</v>
      </c>
      <c r="I17" s="9">
        <v>4.3</v>
      </c>
      <c r="R17" s="8">
        <v>99.98</v>
      </c>
      <c r="S17" s="9">
        <f t="shared" si="6"/>
        <v>101.89080000000001</v>
      </c>
      <c r="T17" s="9">
        <f t="shared" si="7"/>
        <v>100.32480000000001</v>
      </c>
      <c r="U17" s="9">
        <f t="shared" si="8"/>
        <v>98.758800000000008</v>
      </c>
      <c r="V17" s="10">
        <f t="shared" si="13"/>
        <v>19</v>
      </c>
      <c r="AA17" s="8">
        <v>99.98</v>
      </c>
      <c r="AB17" s="9">
        <f t="shared" si="9"/>
        <v>101.82516666666668</v>
      </c>
      <c r="AC17" s="9">
        <f t="shared" si="10"/>
        <v>100.25916666666667</v>
      </c>
      <c r="AD17" s="9">
        <f t="shared" si="11"/>
        <v>98.69316666666667</v>
      </c>
      <c r="AE17" s="10">
        <f t="shared" si="14"/>
        <v>19</v>
      </c>
    </row>
    <row r="18" spans="1:31">
      <c r="A18" s="8">
        <v>100.64</v>
      </c>
      <c r="B18" s="9">
        <f t="shared" si="0"/>
        <v>102.14866666666667</v>
      </c>
      <c r="C18" s="9">
        <f t="shared" si="1"/>
        <v>100.58266666666667</v>
      </c>
      <c r="D18" s="9">
        <f t="shared" si="2"/>
        <v>99.016666666666666</v>
      </c>
      <c r="E18" s="10">
        <f t="shared" si="12"/>
        <v>17</v>
      </c>
      <c r="F18" s="9">
        <f t="shared" si="3"/>
        <v>5.6997</v>
      </c>
      <c r="G18" s="9">
        <f t="shared" si="4"/>
        <v>2.6999999999999997</v>
      </c>
      <c r="H18" s="10">
        <f t="shared" si="5"/>
        <v>0</v>
      </c>
      <c r="I18" s="9">
        <v>1.8</v>
      </c>
      <c r="R18" s="8">
        <v>101.1</v>
      </c>
      <c r="S18" s="9">
        <f t="shared" si="6"/>
        <v>101.89080000000001</v>
      </c>
      <c r="T18" s="9">
        <f t="shared" si="7"/>
        <v>100.32480000000001</v>
      </c>
      <c r="U18" s="9">
        <f t="shared" si="8"/>
        <v>98.758800000000008</v>
      </c>
      <c r="V18" s="10">
        <f t="shared" si="13"/>
        <v>20</v>
      </c>
      <c r="AA18" s="8">
        <v>101.1</v>
      </c>
      <c r="AB18" s="9">
        <f t="shared" si="9"/>
        <v>101.82516666666668</v>
      </c>
      <c r="AC18" s="9">
        <f t="shared" si="10"/>
        <v>100.25916666666667</v>
      </c>
      <c r="AD18" s="9">
        <f t="shared" si="11"/>
        <v>98.69316666666667</v>
      </c>
      <c r="AE18" s="10">
        <f t="shared" si="14"/>
        <v>20</v>
      </c>
    </row>
    <row r="19" spans="1:31">
      <c r="A19" s="8">
        <v>99.94</v>
      </c>
      <c r="B19" s="9">
        <f t="shared" si="0"/>
        <v>102.14866666666667</v>
      </c>
      <c r="C19" s="9">
        <f t="shared" si="1"/>
        <v>100.58266666666667</v>
      </c>
      <c r="D19" s="9">
        <f t="shared" si="2"/>
        <v>99.016666666666666</v>
      </c>
      <c r="E19" s="10">
        <f t="shared" si="12"/>
        <v>18</v>
      </c>
      <c r="F19" s="9">
        <f t="shared" si="3"/>
        <v>5.6997</v>
      </c>
      <c r="G19" s="9">
        <f t="shared" si="4"/>
        <v>2.6999999999999997</v>
      </c>
      <c r="H19" s="10">
        <f t="shared" si="5"/>
        <v>0</v>
      </c>
      <c r="I19" s="9">
        <v>4.4000000000000004</v>
      </c>
      <c r="R19" s="8">
        <v>100.14</v>
      </c>
      <c r="S19" s="9">
        <f t="shared" si="6"/>
        <v>101.89080000000001</v>
      </c>
      <c r="T19" s="9">
        <f t="shared" si="7"/>
        <v>100.32480000000001</v>
      </c>
      <c r="U19" s="9">
        <f t="shared" si="8"/>
        <v>98.758800000000008</v>
      </c>
      <c r="V19" s="10">
        <f t="shared" si="13"/>
        <v>21</v>
      </c>
      <c r="AA19" s="8">
        <v>100.14</v>
      </c>
      <c r="AB19" s="9">
        <f t="shared" si="9"/>
        <v>101.82516666666668</v>
      </c>
      <c r="AC19" s="9">
        <f t="shared" si="10"/>
        <v>100.25916666666667</v>
      </c>
      <c r="AD19" s="9">
        <f t="shared" si="11"/>
        <v>98.69316666666667</v>
      </c>
      <c r="AE19" s="10">
        <f t="shared" si="14"/>
        <v>21</v>
      </c>
    </row>
    <row r="20" spans="1:31">
      <c r="A20" s="8">
        <v>99.98</v>
      </c>
      <c r="B20" s="9">
        <f t="shared" si="0"/>
        <v>102.14866666666667</v>
      </c>
      <c r="C20" s="9">
        <f t="shared" si="1"/>
        <v>100.58266666666667</v>
      </c>
      <c r="D20" s="9">
        <f t="shared" si="2"/>
        <v>99.016666666666666</v>
      </c>
      <c r="E20" s="10">
        <f t="shared" si="12"/>
        <v>19</v>
      </c>
      <c r="F20" s="9">
        <f t="shared" si="3"/>
        <v>5.6997</v>
      </c>
      <c r="G20" s="9">
        <f t="shared" si="4"/>
        <v>2.6999999999999997</v>
      </c>
      <c r="H20" s="10">
        <f t="shared" si="5"/>
        <v>0</v>
      </c>
      <c r="I20" s="9">
        <v>2.2999999999999998</v>
      </c>
      <c r="R20" s="8">
        <v>99.68</v>
      </c>
      <c r="S20" s="9">
        <f t="shared" si="6"/>
        <v>101.89080000000001</v>
      </c>
      <c r="T20" s="9">
        <f t="shared" si="7"/>
        <v>100.32480000000001</v>
      </c>
      <c r="U20" s="9">
        <f t="shared" si="8"/>
        <v>98.758800000000008</v>
      </c>
      <c r="V20" s="10">
        <f t="shared" si="13"/>
        <v>22</v>
      </c>
      <c r="AA20" s="8">
        <v>99.68</v>
      </c>
      <c r="AB20" s="9">
        <f t="shared" si="9"/>
        <v>101.82516666666668</v>
      </c>
      <c r="AC20" s="9">
        <f t="shared" si="10"/>
        <v>100.25916666666667</v>
      </c>
      <c r="AD20" s="9">
        <f t="shared" si="11"/>
        <v>98.69316666666667</v>
      </c>
      <c r="AE20" s="10">
        <f t="shared" si="14"/>
        <v>22</v>
      </c>
    </row>
    <row r="21" spans="1:31">
      <c r="A21" s="8">
        <v>101.1</v>
      </c>
      <c r="B21" s="9">
        <f t="shared" si="0"/>
        <v>102.14866666666667</v>
      </c>
      <c r="C21" s="9">
        <f t="shared" si="1"/>
        <v>100.58266666666667</v>
      </c>
      <c r="D21" s="9">
        <f t="shared" si="2"/>
        <v>99.016666666666666</v>
      </c>
      <c r="E21" s="10">
        <f t="shared" si="12"/>
        <v>20</v>
      </c>
      <c r="F21" s="9">
        <f t="shared" si="3"/>
        <v>5.6997</v>
      </c>
      <c r="G21" s="9">
        <f t="shared" si="4"/>
        <v>2.6999999999999997</v>
      </c>
      <c r="H21" s="10">
        <f t="shared" si="5"/>
        <v>0</v>
      </c>
      <c r="I21" s="9">
        <v>1.9</v>
      </c>
      <c r="R21" s="8">
        <v>99.6</v>
      </c>
      <c r="S21" s="9">
        <f t="shared" si="6"/>
        <v>101.89080000000001</v>
      </c>
      <c r="T21" s="9">
        <f t="shared" si="7"/>
        <v>100.32480000000001</v>
      </c>
      <c r="U21" s="9">
        <f t="shared" si="8"/>
        <v>98.758800000000008</v>
      </c>
      <c r="V21" s="10">
        <f t="shared" si="13"/>
        <v>23</v>
      </c>
      <c r="AA21" s="8">
        <v>99.6</v>
      </c>
      <c r="AB21" s="9">
        <f t="shared" si="9"/>
        <v>101.82516666666668</v>
      </c>
      <c r="AC21" s="9">
        <f t="shared" si="10"/>
        <v>100.25916666666667</v>
      </c>
      <c r="AD21" s="9">
        <f t="shared" si="11"/>
        <v>98.69316666666667</v>
      </c>
      <c r="AE21" s="10">
        <f t="shared" si="14"/>
        <v>23</v>
      </c>
    </row>
    <row r="22" spans="1:31">
      <c r="A22" s="8">
        <v>100.14</v>
      </c>
      <c r="B22" s="9">
        <f t="shared" si="0"/>
        <v>102.14866666666667</v>
      </c>
      <c r="C22" s="9">
        <f t="shared" si="1"/>
        <v>100.58266666666667</v>
      </c>
      <c r="D22" s="9">
        <f t="shared" si="2"/>
        <v>99.016666666666666</v>
      </c>
      <c r="E22" s="10">
        <f t="shared" si="12"/>
        <v>21</v>
      </c>
      <c r="F22" s="9">
        <f t="shared" si="3"/>
        <v>5.6997</v>
      </c>
      <c r="G22" s="9">
        <f t="shared" si="4"/>
        <v>2.6999999999999997</v>
      </c>
      <c r="H22" s="10">
        <f t="shared" si="5"/>
        <v>0</v>
      </c>
      <c r="I22" s="9">
        <v>1.8</v>
      </c>
      <c r="R22" s="8">
        <v>101.58</v>
      </c>
      <c r="S22" s="9">
        <f t="shared" si="6"/>
        <v>101.89080000000001</v>
      </c>
      <c r="T22" s="9">
        <f t="shared" si="7"/>
        <v>100.32480000000001</v>
      </c>
      <c r="U22" s="9">
        <f t="shared" si="8"/>
        <v>98.758800000000008</v>
      </c>
      <c r="V22" s="10">
        <f t="shared" si="13"/>
        <v>24</v>
      </c>
      <c r="AA22" s="8">
        <v>101.58</v>
      </c>
      <c r="AB22" s="9">
        <f t="shared" si="9"/>
        <v>101.82516666666668</v>
      </c>
      <c r="AC22" s="9">
        <f t="shared" si="10"/>
        <v>100.25916666666667</v>
      </c>
      <c r="AD22" s="9">
        <f t="shared" si="11"/>
        <v>98.69316666666667</v>
      </c>
      <c r="AE22" s="10">
        <f t="shared" si="14"/>
        <v>24</v>
      </c>
    </row>
    <row r="23" spans="1:31">
      <c r="A23" s="8">
        <v>99.68</v>
      </c>
      <c r="B23" s="9">
        <f t="shared" si="0"/>
        <v>102.14866666666667</v>
      </c>
      <c r="C23" s="9">
        <f t="shared" si="1"/>
        <v>100.58266666666667</v>
      </c>
      <c r="D23" s="9">
        <f t="shared" si="2"/>
        <v>99.016666666666666</v>
      </c>
      <c r="E23" s="10">
        <f t="shared" si="12"/>
        <v>22</v>
      </c>
      <c r="F23" s="9">
        <f t="shared" si="3"/>
        <v>5.6997</v>
      </c>
      <c r="G23" s="9">
        <f t="shared" si="4"/>
        <v>2.6999999999999997</v>
      </c>
      <c r="H23" s="10">
        <f t="shared" si="5"/>
        <v>0</v>
      </c>
      <c r="I23" s="9">
        <v>3.5</v>
      </c>
      <c r="R23" s="8">
        <v>100</v>
      </c>
      <c r="S23" s="9">
        <f t="shared" si="6"/>
        <v>101.89080000000001</v>
      </c>
      <c r="T23" s="9">
        <f t="shared" si="7"/>
        <v>100.32480000000001</v>
      </c>
      <c r="U23" s="9">
        <f t="shared" si="8"/>
        <v>98.758800000000008</v>
      </c>
      <c r="V23" s="10">
        <f t="shared" si="13"/>
        <v>25</v>
      </c>
      <c r="AA23" s="8">
        <v>100</v>
      </c>
      <c r="AB23" s="9">
        <f t="shared" si="9"/>
        <v>101.82516666666668</v>
      </c>
      <c r="AC23" s="9">
        <f t="shared" si="10"/>
        <v>100.25916666666667</v>
      </c>
      <c r="AD23" s="9">
        <f t="shared" si="11"/>
        <v>98.69316666666667</v>
      </c>
      <c r="AE23" s="10">
        <f t="shared" si="14"/>
        <v>25</v>
      </c>
    </row>
    <row r="24" spans="1:31">
      <c r="A24" s="8">
        <v>99.6</v>
      </c>
      <c r="B24" s="9">
        <f t="shared" si="0"/>
        <v>102.14866666666667</v>
      </c>
      <c r="C24" s="9">
        <f t="shared" si="1"/>
        <v>100.58266666666667</v>
      </c>
      <c r="D24" s="9">
        <f t="shared" si="2"/>
        <v>99.016666666666666</v>
      </c>
      <c r="E24" s="10">
        <f t="shared" si="12"/>
        <v>23</v>
      </c>
      <c r="F24" s="9">
        <f t="shared" si="3"/>
        <v>5.6997</v>
      </c>
      <c r="G24" s="9">
        <f t="shared" si="4"/>
        <v>2.6999999999999997</v>
      </c>
      <c r="H24" s="10">
        <f t="shared" si="5"/>
        <v>0</v>
      </c>
      <c r="I24" s="9">
        <v>3.7</v>
      </c>
      <c r="R24" s="8">
        <v>101.3</v>
      </c>
      <c r="S24" s="9">
        <f t="shared" si="6"/>
        <v>101.89080000000001</v>
      </c>
      <c r="T24" s="9">
        <f t="shared" si="7"/>
        <v>100.32480000000001</v>
      </c>
      <c r="U24" s="9">
        <f t="shared" si="8"/>
        <v>98.758800000000008</v>
      </c>
      <c r="V24" s="10">
        <f t="shared" si="13"/>
        <v>26</v>
      </c>
      <c r="AA24" s="8">
        <v>101.3</v>
      </c>
      <c r="AB24" s="9">
        <f t="shared" si="9"/>
        <v>101.82516666666668</v>
      </c>
      <c r="AC24" s="9">
        <f t="shared" si="10"/>
        <v>100.25916666666667</v>
      </c>
      <c r="AD24" s="9">
        <f t="shared" si="11"/>
        <v>98.69316666666667</v>
      </c>
      <c r="AE24" s="10">
        <f t="shared" si="14"/>
        <v>26</v>
      </c>
    </row>
    <row r="25" spans="1:31">
      <c r="A25" s="8">
        <v>101.58</v>
      </c>
      <c r="B25" s="9">
        <f t="shared" si="0"/>
        <v>102.14866666666667</v>
      </c>
      <c r="C25" s="9">
        <f t="shared" si="1"/>
        <v>100.58266666666667</v>
      </c>
      <c r="D25" s="9">
        <f t="shared" si="2"/>
        <v>99.016666666666666</v>
      </c>
      <c r="E25" s="10">
        <f t="shared" si="12"/>
        <v>24</v>
      </c>
      <c r="F25" s="9">
        <f t="shared" si="3"/>
        <v>5.6997</v>
      </c>
      <c r="G25" s="9">
        <f t="shared" si="4"/>
        <v>2.6999999999999997</v>
      </c>
      <c r="H25" s="10">
        <f t="shared" si="5"/>
        <v>0</v>
      </c>
      <c r="I25" s="9">
        <v>2.1</v>
      </c>
      <c r="R25" s="8">
        <v>101.6</v>
      </c>
      <c r="S25" s="9">
        <f t="shared" si="6"/>
        <v>101.89080000000001</v>
      </c>
      <c r="T25" s="9">
        <f t="shared" si="7"/>
        <v>100.32480000000001</v>
      </c>
      <c r="U25" s="9">
        <f t="shared" si="8"/>
        <v>98.758800000000008</v>
      </c>
      <c r="V25" s="10">
        <f t="shared" si="13"/>
        <v>27</v>
      </c>
      <c r="AA25" s="8">
        <v>101.6</v>
      </c>
      <c r="AB25" s="9">
        <f t="shared" si="9"/>
        <v>101.82516666666668</v>
      </c>
      <c r="AC25" s="9">
        <f t="shared" si="10"/>
        <v>100.25916666666667</v>
      </c>
      <c r="AD25" s="9">
        <f t="shared" si="11"/>
        <v>98.69316666666667</v>
      </c>
      <c r="AE25" s="10">
        <f t="shared" si="14"/>
        <v>27</v>
      </c>
    </row>
    <row r="26" spans="1:31">
      <c r="A26" s="8">
        <v>100</v>
      </c>
      <c r="B26" s="9">
        <f t="shared" si="0"/>
        <v>102.14866666666667</v>
      </c>
      <c r="C26" s="9">
        <f t="shared" si="1"/>
        <v>100.58266666666667</v>
      </c>
      <c r="D26" s="9">
        <f t="shared" si="2"/>
        <v>99.016666666666666</v>
      </c>
      <c r="E26" s="10">
        <f t="shared" si="12"/>
        <v>25</v>
      </c>
      <c r="F26" s="9">
        <f t="shared" si="3"/>
        <v>5.6997</v>
      </c>
      <c r="G26" s="9">
        <f t="shared" si="4"/>
        <v>2.6999999999999997</v>
      </c>
      <c r="H26" s="10">
        <f t="shared" si="5"/>
        <v>0</v>
      </c>
      <c r="I26" s="9">
        <v>1.5</v>
      </c>
      <c r="R26" s="8">
        <v>101.9</v>
      </c>
      <c r="S26" s="9">
        <f t="shared" si="6"/>
        <v>101.89080000000001</v>
      </c>
      <c r="T26" s="9">
        <f t="shared" si="7"/>
        <v>100.32480000000001</v>
      </c>
      <c r="U26" s="9">
        <f t="shared" si="8"/>
        <v>98.758800000000008</v>
      </c>
      <c r="V26" s="10">
        <f t="shared" si="13"/>
        <v>28</v>
      </c>
      <c r="AA26" s="11">
        <f>AVERAGE(AA2:AA25)</f>
        <v>100.25916666666667</v>
      </c>
    </row>
    <row r="27" spans="1:31">
      <c r="A27" s="8">
        <v>101.3</v>
      </c>
      <c r="B27" s="9">
        <f t="shared" si="0"/>
        <v>102.14866666666667</v>
      </c>
      <c r="C27" s="9">
        <f t="shared" si="1"/>
        <v>100.58266666666667</v>
      </c>
      <c r="D27" s="9">
        <f t="shared" si="2"/>
        <v>99.016666666666666</v>
      </c>
      <c r="E27" s="10">
        <f t="shared" si="12"/>
        <v>26</v>
      </c>
      <c r="F27" s="9">
        <f t="shared" si="3"/>
        <v>5.6997</v>
      </c>
      <c r="G27" s="9">
        <f t="shared" si="4"/>
        <v>2.6999999999999997</v>
      </c>
      <c r="H27" s="10">
        <f t="shared" si="5"/>
        <v>0</v>
      </c>
      <c r="I27" s="9">
        <v>1.9</v>
      </c>
      <c r="R27" s="8">
        <f>AVERAGE(R2:R26)</f>
        <v>100.32480000000001</v>
      </c>
    </row>
    <row r="28" spans="1:31">
      <c r="A28" s="8">
        <v>101.6</v>
      </c>
      <c r="B28" s="9">
        <f t="shared" si="0"/>
        <v>102.14866666666667</v>
      </c>
      <c r="C28" s="9">
        <f t="shared" si="1"/>
        <v>100.58266666666667</v>
      </c>
      <c r="D28" s="9">
        <f t="shared" si="2"/>
        <v>99.016666666666666</v>
      </c>
      <c r="E28" s="10">
        <f>E27+1</f>
        <v>27</v>
      </c>
      <c r="F28" s="9">
        <f t="shared" si="3"/>
        <v>5.6997</v>
      </c>
      <c r="G28" s="9">
        <f t="shared" si="4"/>
        <v>2.6999999999999997</v>
      </c>
      <c r="H28" s="10">
        <f t="shared" si="5"/>
        <v>0</v>
      </c>
      <c r="I28" s="9">
        <v>2.1</v>
      </c>
      <c r="AA28" s="8"/>
    </row>
    <row r="29" spans="1:31">
      <c r="A29" s="8">
        <v>101.9</v>
      </c>
      <c r="B29" s="9">
        <f t="shared" si="0"/>
        <v>102.14866666666667</v>
      </c>
      <c r="C29" s="9">
        <f t="shared" si="1"/>
        <v>100.58266666666667</v>
      </c>
      <c r="D29" s="9">
        <f t="shared" si="2"/>
        <v>99.016666666666666</v>
      </c>
      <c r="E29" s="10">
        <f t="shared" si="12"/>
        <v>28</v>
      </c>
      <c r="F29" s="9">
        <f t="shared" si="3"/>
        <v>5.6997</v>
      </c>
      <c r="G29" s="9">
        <f t="shared" si="4"/>
        <v>2.6999999999999997</v>
      </c>
      <c r="H29" s="10">
        <f t="shared" si="5"/>
        <v>0</v>
      </c>
      <c r="I29" s="9">
        <v>1.9</v>
      </c>
    </row>
    <row r="30" spans="1:31">
      <c r="A30" s="8">
        <v>102.3</v>
      </c>
      <c r="B30" s="9">
        <f t="shared" si="0"/>
        <v>102.14866666666667</v>
      </c>
      <c r="C30" s="9">
        <f t="shared" si="1"/>
        <v>100.58266666666667</v>
      </c>
      <c r="D30" s="9">
        <f t="shared" si="2"/>
        <v>99.016666666666666</v>
      </c>
      <c r="E30" s="10">
        <f t="shared" si="12"/>
        <v>29</v>
      </c>
      <c r="F30" s="9">
        <f t="shared" si="3"/>
        <v>5.6997</v>
      </c>
      <c r="G30" s="9">
        <f t="shared" si="4"/>
        <v>2.6999999999999997</v>
      </c>
      <c r="H30" s="10">
        <f t="shared" si="5"/>
        <v>0</v>
      </c>
      <c r="I30" s="9">
        <v>3</v>
      </c>
      <c r="V30" s="10"/>
    </row>
    <row r="31" spans="1:31">
      <c r="A31" s="8">
        <v>102.5</v>
      </c>
      <c r="B31" s="9">
        <f t="shared" si="0"/>
        <v>102.14866666666667</v>
      </c>
      <c r="C31" s="9">
        <f t="shared" si="1"/>
        <v>100.58266666666667</v>
      </c>
      <c r="D31" s="9">
        <f t="shared" si="2"/>
        <v>99.016666666666666</v>
      </c>
      <c r="E31" s="10">
        <f t="shared" si="12"/>
        <v>30</v>
      </c>
      <c r="F31" s="9">
        <f t="shared" si="3"/>
        <v>5.6997</v>
      </c>
      <c r="G31" s="9">
        <f t="shared" si="4"/>
        <v>2.6999999999999997</v>
      </c>
      <c r="H31" s="10">
        <f t="shared" si="5"/>
        <v>0</v>
      </c>
      <c r="I31" s="9">
        <v>1.5</v>
      </c>
      <c r="V31" s="10"/>
    </row>
    <row r="32" spans="1:31">
      <c r="A32" s="8">
        <f>AVERAGE(A2:A31)</f>
        <v>100.58266666666667</v>
      </c>
      <c r="B32" s="10"/>
      <c r="C32" s="10"/>
      <c r="D32" s="10"/>
      <c r="E32" s="10"/>
      <c r="F32" s="10"/>
      <c r="G32" s="10"/>
      <c r="H32" s="10"/>
      <c r="I32" s="9">
        <f>AVERAGE(I2:I31)</f>
        <v>2.6999999999999997</v>
      </c>
      <c r="S32" s="10"/>
      <c r="T32" s="10"/>
      <c r="U32" s="10"/>
      <c r="V32" s="10"/>
    </row>
    <row r="33" spans="1:9">
      <c r="A33" s="10"/>
      <c r="B33" s="10"/>
      <c r="C33" s="10"/>
      <c r="D33" s="10"/>
      <c r="E33" s="10"/>
      <c r="F33" s="10"/>
      <c r="G33" s="10"/>
      <c r="H33" s="10"/>
      <c r="I33" s="9"/>
    </row>
    <row r="34" spans="1:9">
      <c r="A34" s="12" t="s">
        <v>35</v>
      </c>
      <c r="B34" s="13">
        <v>0.57999999999999996</v>
      </c>
    </row>
    <row r="35" spans="1:9">
      <c r="A35" s="12" t="s">
        <v>36</v>
      </c>
      <c r="B35" s="13">
        <v>2.1110000000000002</v>
      </c>
    </row>
    <row r="36" spans="1:9">
      <c r="A36" s="12" t="s">
        <v>37</v>
      </c>
      <c r="B36" s="13">
        <v>0</v>
      </c>
    </row>
    <row r="37" spans="1:9">
      <c r="A37" s="12" t="s">
        <v>38</v>
      </c>
      <c r="B37" s="13">
        <v>2.33</v>
      </c>
    </row>
    <row r="39" spans="1:9">
      <c r="A39" s="12" t="s">
        <v>39</v>
      </c>
    </row>
    <row r="41" spans="1:9">
      <c r="A41" s="12" t="s">
        <v>40</v>
      </c>
      <c r="B41" s="7">
        <f>I32/B37</f>
        <v>1.1587982832618025</v>
      </c>
      <c r="D41" s="7" t="s">
        <v>41</v>
      </c>
      <c r="E41" s="7" t="s">
        <v>42</v>
      </c>
    </row>
    <row r="42" spans="1:9">
      <c r="D42" s="7">
        <f>(B43-AA26)/B41</f>
        <v>1.5022746913580198</v>
      </c>
      <c r="E42" s="7">
        <f>(B45-AA26)/B41</f>
        <v>-1.9495771604938323</v>
      </c>
    </row>
    <row r="43" spans="1:9">
      <c r="A43" s="7" t="s">
        <v>43</v>
      </c>
      <c r="B43" s="7">
        <v>102</v>
      </c>
      <c r="D43" s="7">
        <f>NORMSDIST(D42)</f>
        <v>0.93348690898998266</v>
      </c>
      <c r="E43" s="7">
        <f>NORMSDIST(E42)</f>
        <v>2.5613268908580279E-2</v>
      </c>
    </row>
    <row r="44" spans="1:9">
      <c r="A44" s="7" t="s">
        <v>10</v>
      </c>
      <c r="B44" s="7">
        <v>100</v>
      </c>
    </row>
    <row r="45" spans="1:9">
      <c r="A45" s="7" t="s">
        <v>44</v>
      </c>
      <c r="B45" s="7">
        <v>98</v>
      </c>
      <c r="D45" s="7" t="s">
        <v>45</v>
      </c>
      <c r="E45" s="14">
        <f>1-(D43-E43)</f>
        <v>9.2126359918597633E-2</v>
      </c>
    </row>
    <row r="47" spans="1:9">
      <c r="A47" s="12" t="s">
        <v>46</v>
      </c>
    </row>
    <row r="49" spans="1:3">
      <c r="A49" s="7" t="s">
        <v>47</v>
      </c>
      <c r="B49" s="11">
        <f>(8/60)*100</f>
        <v>13.333333333333334</v>
      </c>
    </row>
    <row r="51" spans="1:3">
      <c r="A51" s="12" t="s">
        <v>48</v>
      </c>
    </row>
    <row r="53" spans="1:3">
      <c r="A53" s="7" t="s">
        <v>49</v>
      </c>
      <c r="B53" s="7">
        <f>(B43-B45)/(6*B41)</f>
        <v>0.57530864197530873</v>
      </c>
    </row>
    <row r="54" spans="1:3">
      <c r="A54" s="7" t="s">
        <v>50</v>
      </c>
      <c r="B54" s="7">
        <f>(B43-AA26)/(3*B41)</f>
        <v>0.50075823045267331</v>
      </c>
      <c r="C54" s="7">
        <f>(AA26-B45)/(3*B41)</f>
        <v>0.64985905349794415</v>
      </c>
    </row>
    <row r="55" spans="1:3">
      <c r="A55" s="7" t="s">
        <v>51</v>
      </c>
      <c r="B55" s="7">
        <f>(B43-B45)/(6*B56)</f>
        <v>0.56143843215689249</v>
      </c>
    </row>
    <row r="56" spans="1:3">
      <c r="A56" s="7" t="s">
        <v>52</v>
      </c>
      <c r="B56" s="7">
        <f>SQRT((B41^2+(AA26-B44)^2))</f>
        <v>1.1874261334506726</v>
      </c>
    </row>
    <row r="58" spans="1:3">
      <c r="A58" s="12" t="s">
        <v>53</v>
      </c>
    </row>
    <row r="59" spans="1:3">
      <c r="A59" s="7" t="s">
        <v>54</v>
      </c>
    </row>
    <row r="60" spans="1:3">
      <c r="A60" s="7" t="s">
        <v>55</v>
      </c>
    </row>
    <row r="61" spans="1:3">
      <c r="A61" s="12" t="s">
        <v>56</v>
      </c>
    </row>
    <row r="62" spans="1:3">
      <c r="A62" s="7" t="s">
        <v>57</v>
      </c>
    </row>
    <row r="63" spans="1:3">
      <c r="A63" s="7" t="s">
        <v>58</v>
      </c>
    </row>
  </sheetData>
  <pageMargins left="0.75" right="0.75" top="1" bottom="1" header="0.5" footer="0.5"/>
  <pageSetup paperSize="0"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2"/>
  <sheetViews>
    <sheetView workbookViewId="0">
      <selection activeCell="G40" sqref="G40"/>
    </sheetView>
  </sheetViews>
  <sheetFormatPr baseColWidth="10" defaultRowHeight="13"/>
  <cols>
    <col min="1" max="1" width="17.1640625" style="7" customWidth="1"/>
    <col min="2" max="3" width="10.83203125" style="7"/>
    <col min="4" max="4" width="12.6640625" style="7" bestFit="1" customWidth="1"/>
    <col min="5" max="5" width="13.1640625" style="7" bestFit="1" customWidth="1"/>
    <col min="6" max="16384" width="10.83203125" style="7"/>
  </cols>
  <sheetData>
    <row r="1" spans="1:29">
      <c r="A1" s="6" t="s">
        <v>29</v>
      </c>
      <c r="B1" s="6" t="s">
        <v>30</v>
      </c>
      <c r="C1" s="6" t="s">
        <v>31</v>
      </c>
      <c r="D1" s="6" t="s">
        <v>32</v>
      </c>
      <c r="E1" s="6" t="s">
        <v>33</v>
      </c>
      <c r="F1" s="6" t="s">
        <v>30</v>
      </c>
      <c r="G1" s="6" t="s">
        <v>31</v>
      </c>
      <c r="H1" s="6" t="s">
        <v>32</v>
      </c>
      <c r="I1" s="6" t="s">
        <v>34</v>
      </c>
      <c r="Y1" s="6"/>
      <c r="Z1" s="6"/>
      <c r="AA1" s="6"/>
      <c r="AB1" s="6"/>
      <c r="AC1" s="6"/>
    </row>
    <row r="2" spans="1:29">
      <c r="A2" s="15">
        <v>30.3</v>
      </c>
      <c r="B2" s="9">
        <f t="shared" ref="B2:B21" si="0">$A$22+($B$24*$I$22)</f>
        <v>31.105849999999997</v>
      </c>
      <c r="C2" s="9">
        <f t="shared" ref="C2:C21" si="1">$A$22</f>
        <v>28.714999999999996</v>
      </c>
      <c r="D2" s="9">
        <f t="shared" ref="D2:D21" si="2">$A$22-($B$24*$I$22)</f>
        <v>26.324149999999996</v>
      </c>
      <c r="E2" s="10">
        <v>1</v>
      </c>
      <c r="F2" s="9">
        <f t="shared" ref="F2:F21" si="3">$B$25*$I$22</f>
        <v>9.9198000000000004</v>
      </c>
      <c r="G2" s="9">
        <f t="shared" ref="G2:G21" si="4">$I$22</f>
        <v>4.95</v>
      </c>
      <c r="H2" s="10">
        <f t="shared" ref="H2:H21" si="5">$B$26*$I$22</f>
        <v>0</v>
      </c>
      <c r="I2" s="9">
        <v>5</v>
      </c>
      <c r="Y2" s="8"/>
      <c r="Z2" s="9"/>
      <c r="AA2" s="9"/>
      <c r="AB2" s="9"/>
      <c r="AC2" s="10"/>
    </row>
    <row r="3" spans="1:29">
      <c r="A3" s="15">
        <v>30.2</v>
      </c>
      <c r="B3" s="9">
        <f t="shared" si="0"/>
        <v>31.105849999999997</v>
      </c>
      <c r="C3" s="9">
        <f t="shared" si="1"/>
        <v>28.714999999999996</v>
      </c>
      <c r="D3" s="9">
        <f t="shared" si="2"/>
        <v>26.324149999999996</v>
      </c>
      <c r="E3" s="10">
        <f>E2+1</f>
        <v>2</v>
      </c>
      <c r="F3" s="9">
        <f t="shared" si="3"/>
        <v>9.9198000000000004</v>
      </c>
      <c r="G3" s="9">
        <f t="shared" si="4"/>
        <v>4.95</v>
      </c>
      <c r="H3" s="10">
        <f t="shared" si="5"/>
        <v>0</v>
      </c>
      <c r="I3" s="9">
        <v>8</v>
      </c>
      <c r="Y3" s="8"/>
      <c r="Z3" s="9"/>
      <c r="AA3" s="9"/>
      <c r="AB3" s="9"/>
      <c r="AC3" s="10"/>
    </row>
    <row r="4" spans="1:29">
      <c r="A4" s="15">
        <v>28</v>
      </c>
      <c r="B4" s="9">
        <f t="shared" si="0"/>
        <v>31.105849999999997</v>
      </c>
      <c r="C4" s="9">
        <f t="shared" si="1"/>
        <v>28.714999999999996</v>
      </c>
      <c r="D4" s="9">
        <f t="shared" si="2"/>
        <v>26.324149999999996</v>
      </c>
      <c r="E4" s="10">
        <f t="shared" ref="E4:E21" si="6">E3+1</f>
        <v>3</v>
      </c>
      <c r="F4" s="9">
        <f t="shared" si="3"/>
        <v>9.9198000000000004</v>
      </c>
      <c r="G4" s="9">
        <f t="shared" si="4"/>
        <v>4.95</v>
      </c>
      <c r="H4" s="10">
        <f t="shared" si="5"/>
        <v>0</v>
      </c>
      <c r="I4" s="9">
        <v>6</v>
      </c>
      <c r="Y4" s="8"/>
      <c r="Z4" s="9"/>
      <c r="AA4" s="9"/>
      <c r="AB4" s="9"/>
      <c r="AC4" s="10"/>
    </row>
    <row r="5" spans="1:29">
      <c r="A5" s="15">
        <v>27</v>
      </c>
      <c r="B5" s="9">
        <f t="shared" si="0"/>
        <v>31.105849999999997</v>
      </c>
      <c r="C5" s="9">
        <f t="shared" si="1"/>
        <v>28.714999999999996</v>
      </c>
      <c r="D5" s="9">
        <f t="shared" si="2"/>
        <v>26.324149999999996</v>
      </c>
      <c r="E5" s="10">
        <f t="shared" si="6"/>
        <v>4</v>
      </c>
      <c r="F5" s="9">
        <f t="shared" si="3"/>
        <v>9.9198000000000004</v>
      </c>
      <c r="G5" s="9">
        <f t="shared" si="4"/>
        <v>4.95</v>
      </c>
      <c r="H5" s="10">
        <f t="shared" si="5"/>
        <v>0</v>
      </c>
      <c r="I5" s="9">
        <v>4</v>
      </c>
      <c r="Y5" s="8"/>
      <c r="Z5" s="9"/>
      <c r="AA5" s="9"/>
      <c r="AB5" s="9"/>
      <c r="AC5" s="10"/>
    </row>
    <row r="6" spans="1:29">
      <c r="A6" s="15">
        <v>29</v>
      </c>
      <c r="B6" s="9">
        <f t="shared" si="0"/>
        <v>31.105849999999997</v>
      </c>
      <c r="C6" s="9">
        <f t="shared" si="1"/>
        <v>28.714999999999996</v>
      </c>
      <c r="D6" s="9">
        <f t="shared" si="2"/>
        <v>26.324149999999996</v>
      </c>
      <c r="E6" s="10">
        <f t="shared" si="6"/>
        <v>5</v>
      </c>
      <c r="F6" s="9">
        <f t="shared" si="3"/>
        <v>9.9198000000000004</v>
      </c>
      <c r="G6" s="9">
        <f t="shared" si="4"/>
        <v>4.95</v>
      </c>
      <c r="H6" s="10">
        <f t="shared" si="5"/>
        <v>0</v>
      </c>
      <c r="I6" s="9">
        <v>5</v>
      </c>
      <c r="Y6" s="8"/>
      <c r="Z6" s="9"/>
      <c r="AA6" s="9"/>
      <c r="AB6" s="9"/>
      <c r="AC6" s="10"/>
    </row>
    <row r="7" spans="1:29">
      <c r="A7" s="15">
        <v>30.5</v>
      </c>
      <c r="B7" s="9">
        <f t="shared" si="0"/>
        <v>31.105849999999997</v>
      </c>
      <c r="C7" s="9">
        <f t="shared" si="1"/>
        <v>28.714999999999996</v>
      </c>
      <c r="D7" s="9">
        <f t="shared" si="2"/>
        <v>26.324149999999996</v>
      </c>
      <c r="E7" s="10">
        <f t="shared" si="6"/>
        <v>6</v>
      </c>
      <c r="F7" s="9">
        <f t="shared" si="3"/>
        <v>9.9198000000000004</v>
      </c>
      <c r="G7" s="9">
        <f t="shared" si="4"/>
        <v>4.95</v>
      </c>
      <c r="H7" s="10">
        <f t="shared" si="5"/>
        <v>0</v>
      </c>
      <c r="I7" s="9">
        <v>2</v>
      </c>
      <c r="Y7" s="8"/>
      <c r="Z7" s="9"/>
      <c r="AA7" s="9"/>
      <c r="AB7" s="9"/>
      <c r="AC7" s="10"/>
    </row>
    <row r="8" spans="1:29">
      <c r="A8" s="15">
        <v>26.6</v>
      </c>
      <c r="B8" s="9">
        <f t="shared" si="0"/>
        <v>31.105849999999997</v>
      </c>
      <c r="C8" s="9">
        <f t="shared" si="1"/>
        <v>28.714999999999996</v>
      </c>
      <c r="D8" s="9">
        <f t="shared" si="2"/>
        <v>26.324149999999996</v>
      </c>
      <c r="E8" s="10">
        <f t="shared" si="6"/>
        <v>7</v>
      </c>
      <c r="F8" s="9">
        <f t="shared" si="3"/>
        <v>9.9198000000000004</v>
      </c>
      <c r="G8" s="9">
        <f t="shared" si="4"/>
        <v>4.95</v>
      </c>
      <c r="H8" s="10">
        <f t="shared" si="5"/>
        <v>0</v>
      </c>
      <c r="I8" s="9">
        <v>7</v>
      </c>
      <c r="Y8" s="8"/>
      <c r="Z8" s="9"/>
      <c r="AA8" s="9"/>
      <c r="AB8" s="9"/>
      <c r="AC8" s="10"/>
    </row>
    <row r="9" spans="1:29">
      <c r="A9" s="15">
        <v>26.5</v>
      </c>
      <c r="B9" s="9">
        <f t="shared" si="0"/>
        <v>31.105849999999997</v>
      </c>
      <c r="C9" s="9">
        <f t="shared" si="1"/>
        <v>28.714999999999996</v>
      </c>
      <c r="D9" s="9">
        <f t="shared" si="2"/>
        <v>26.324149999999996</v>
      </c>
      <c r="E9" s="10">
        <f t="shared" si="6"/>
        <v>8</v>
      </c>
      <c r="F9" s="9">
        <f t="shared" si="3"/>
        <v>9.9198000000000004</v>
      </c>
      <c r="G9" s="9">
        <f t="shared" si="4"/>
        <v>4.95</v>
      </c>
      <c r="H9" s="10">
        <f t="shared" si="5"/>
        <v>0</v>
      </c>
      <c r="I9" s="9">
        <v>4</v>
      </c>
      <c r="Y9" s="8"/>
      <c r="Z9" s="9"/>
      <c r="AA9" s="9"/>
      <c r="AB9" s="9"/>
      <c r="AC9" s="10"/>
    </row>
    <row r="10" spans="1:29">
      <c r="A10" s="15">
        <v>26.6</v>
      </c>
      <c r="B10" s="9">
        <f t="shared" si="0"/>
        <v>31.105849999999997</v>
      </c>
      <c r="C10" s="9">
        <f t="shared" si="1"/>
        <v>28.714999999999996</v>
      </c>
      <c r="D10" s="9">
        <f t="shared" si="2"/>
        <v>26.324149999999996</v>
      </c>
      <c r="E10" s="10">
        <f t="shared" si="6"/>
        <v>9</v>
      </c>
      <c r="F10" s="9">
        <f t="shared" si="3"/>
        <v>9.9198000000000004</v>
      </c>
      <c r="G10" s="9">
        <f t="shared" si="4"/>
        <v>4.95</v>
      </c>
      <c r="H10" s="10">
        <f t="shared" si="5"/>
        <v>0</v>
      </c>
      <c r="I10" s="9">
        <v>3</v>
      </c>
      <c r="Y10" s="8"/>
      <c r="Z10" s="9"/>
      <c r="AA10" s="9"/>
      <c r="AB10" s="9"/>
      <c r="AC10" s="10"/>
    </row>
    <row r="11" spans="1:29">
      <c r="A11" s="15">
        <v>29</v>
      </c>
      <c r="B11" s="9">
        <f t="shared" si="0"/>
        <v>31.105849999999997</v>
      </c>
      <c r="C11" s="9">
        <f t="shared" si="1"/>
        <v>28.714999999999996</v>
      </c>
      <c r="D11" s="9">
        <f t="shared" si="2"/>
        <v>26.324149999999996</v>
      </c>
      <c r="E11" s="10">
        <f t="shared" si="6"/>
        <v>10</v>
      </c>
      <c r="F11" s="9">
        <f t="shared" si="3"/>
        <v>9.9198000000000004</v>
      </c>
      <c r="G11" s="9">
        <f t="shared" si="4"/>
        <v>4.95</v>
      </c>
      <c r="H11" s="10">
        <f t="shared" si="5"/>
        <v>0</v>
      </c>
      <c r="I11" s="9">
        <v>7</v>
      </c>
      <c r="Y11" s="8"/>
      <c r="Z11" s="9"/>
      <c r="AA11" s="9"/>
      <c r="AB11" s="9"/>
      <c r="AC11" s="10"/>
    </row>
    <row r="12" spans="1:29">
      <c r="A12" s="15">
        <v>28</v>
      </c>
      <c r="B12" s="9">
        <f t="shared" si="0"/>
        <v>31.105849999999997</v>
      </c>
      <c r="C12" s="9">
        <f t="shared" si="1"/>
        <v>28.714999999999996</v>
      </c>
      <c r="D12" s="9">
        <f t="shared" si="2"/>
        <v>26.324149999999996</v>
      </c>
      <c r="E12" s="10">
        <f t="shared" si="6"/>
        <v>11</v>
      </c>
      <c r="F12" s="9">
        <f t="shared" si="3"/>
        <v>9.9198000000000004</v>
      </c>
      <c r="G12" s="9">
        <f t="shared" si="4"/>
        <v>4.95</v>
      </c>
      <c r="H12" s="10">
        <f t="shared" si="5"/>
        <v>0</v>
      </c>
      <c r="I12" s="9">
        <v>4</v>
      </c>
      <c r="Y12" s="8"/>
      <c r="Z12" s="9"/>
      <c r="AA12" s="9"/>
      <c r="AB12" s="9"/>
      <c r="AC12" s="10"/>
    </row>
    <row r="13" spans="1:29">
      <c r="A13" s="15">
        <v>30.4</v>
      </c>
      <c r="B13" s="9">
        <f t="shared" si="0"/>
        <v>31.105849999999997</v>
      </c>
      <c r="C13" s="9">
        <f t="shared" si="1"/>
        <v>28.714999999999996</v>
      </c>
      <c r="D13" s="9">
        <f t="shared" si="2"/>
        <v>26.324149999999996</v>
      </c>
      <c r="E13" s="10">
        <f t="shared" si="6"/>
        <v>12</v>
      </c>
      <c r="F13" s="9">
        <f t="shared" si="3"/>
        <v>9.9198000000000004</v>
      </c>
      <c r="G13" s="9">
        <f t="shared" si="4"/>
        <v>4.95</v>
      </c>
      <c r="H13" s="10">
        <f t="shared" si="5"/>
        <v>0</v>
      </c>
      <c r="I13" s="9">
        <v>6</v>
      </c>
      <c r="Y13" s="8"/>
      <c r="Z13" s="9"/>
      <c r="AA13" s="9"/>
      <c r="AB13" s="9"/>
      <c r="AC13" s="10"/>
    </row>
    <row r="14" spans="1:29">
      <c r="A14" s="15">
        <v>29</v>
      </c>
      <c r="B14" s="9">
        <f t="shared" si="0"/>
        <v>31.105849999999997</v>
      </c>
      <c r="C14" s="9">
        <f t="shared" si="1"/>
        <v>28.714999999999996</v>
      </c>
      <c r="D14" s="9">
        <f t="shared" si="2"/>
        <v>26.324149999999996</v>
      </c>
      <c r="E14" s="10">
        <f t="shared" si="6"/>
        <v>13</v>
      </c>
      <c r="F14" s="9">
        <f t="shared" si="3"/>
        <v>9.9198000000000004</v>
      </c>
      <c r="G14" s="9">
        <f t="shared" si="4"/>
        <v>4.95</v>
      </c>
      <c r="H14" s="10">
        <f t="shared" si="5"/>
        <v>0</v>
      </c>
      <c r="I14" s="9">
        <v>3</v>
      </c>
      <c r="Y14" s="8"/>
      <c r="Z14" s="9"/>
      <c r="AA14" s="9"/>
      <c r="AB14" s="9"/>
      <c r="AC14" s="10"/>
    </row>
    <row r="15" spans="1:29">
      <c r="A15" s="15">
        <v>28</v>
      </c>
      <c r="B15" s="9">
        <f t="shared" si="0"/>
        <v>31.105849999999997</v>
      </c>
      <c r="C15" s="9">
        <f t="shared" si="1"/>
        <v>28.714999999999996</v>
      </c>
      <c r="D15" s="9">
        <f t="shared" si="2"/>
        <v>26.324149999999996</v>
      </c>
      <c r="E15" s="10">
        <f t="shared" si="6"/>
        <v>14</v>
      </c>
      <c r="F15" s="9">
        <f t="shared" si="3"/>
        <v>9.9198000000000004</v>
      </c>
      <c r="G15" s="9">
        <f t="shared" si="4"/>
        <v>4.95</v>
      </c>
      <c r="H15" s="10">
        <f t="shared" si="5"/>
        <v>0</v>
      </c>
      <c r="I15" s="9">
        <v>7</v>
      </c>
      <c r="Y15" s="8"/>
      <c r="Z15" s="9"/>
      <c r="AA15" s="9"/>
      <c r="AB15" s="9"/>
      <c r="AC15" s="10"/>
    </row>
    <row r="16" spans="1:29">
      <c r="A16" s="15">
        <v>29</v>
      </c>
      <c r="B16" s="9">
        <f t="shared" si="0"/>
        <v>31.105849999999997</v>
      </c>
      <c r="C16" s="9">
        <f t="shared" si="1"/>
        <v>28.714999999999996</v>
      </c>
      <c r="D16" s="9">
        <f t="shared" si="2"/>
        <v>26.324149999999996</v>
      </c>
      <c r="E16" s="10">
        <f t="shared" si="6"/>
        <v>15</v>
      </c>
      <c r="F16" s="9">
        <f t="shared" si="3"/>
        <v>9.9198000000000004</v>
      </c>
      <c r="G16" s="9">
        <f t="shared" si="4"/>
        <v>4.95</v>
      </c>
      <c r="H16" s="10">
        <f t="shared" si="5"/>
        <v>0</v>
      </c>
      <c r="I16" s="9">
        <v>4</v>
      </c>
      <c r="Y16" s="8"/>
      <c r="Z16" s="9"/>
      <c r="AA16" s="9"/>
      <c r="AB16" s="9"/>
      <c r="AC16" s="10"/>
    </row>
    <row r="17" spans="1:29">
      <c r="A17" s="15">
        <v>29.5</v>
      </c>
      <c r="B17" s="9">
        <f t="shared" si="0"/>
        <v>31.105849999999997</v>
      </c>
      <c r="C17" s="9">
        <f t="shared" si="1"/>
        <v>28.714999999999996</v>
      </c>
      <c r="D17" s="9">
        <f t="shared" si="2"/>
        <v>26.324149999999996</v>
      </c>
      <c r="E17" s="10">
        <f t="shared" si="6"/>
        <v>16</v>
      </c>
      <c r="F17" s="9">
        <f t="shared" si="3"/>
        <v>9.9198000000000004</v>
      </c>
      <c r="G17" s="9">
        <f t="shared" si="4"/>
        <v>4.95</v>
      </c>
      <c r="H17" s="10">
        <f t="shared" si="5"/>
        <v>0</v>
      </c>
      <c r="I17" s="9">
        <v>7</v>
      </c>
      <c r="Y17" s="8"/>
      <c r="Z17" s="9"/>
      <c r="AA17" s="9"/>
      <c r="AB17" s="9"/>
      <c r="AC17" s="10"/>
    </row>
    <row r="18" spans="1:29">
      <c r="A18" s="15">
        <v>28</v>
      </c>
      <c r="B18" s="9">
        <f t="shared" si="0"/>
        <v>31.105849999999997</v>
      </c>
      <c r="C18" s="9">
        <f t="shared" si="1"/>
        <v>28.714999999999996</v>
      </c>
      <c r="D18" s="9">
        <f t="shared" si="2"/>
        <v>26.324149999999996</v>
      </c>
      <c r="E18" s="10">
        <f t="shared" si="6"/>
        <v>17</v>
      </c>
      <c r="F18" s="9">
        <f t="shared" si="3"/>
        <v>9.9198000000000004</v>
      </c>
      <c r="G18" s="9">
        <f t="shared" si="4"/>
        <v>4.95</v>
      </c>
      <c r="H18" s="10">
        <f t="shared" si="5"/>
        <v>0</v>
      </c>
      <c r="I18" s="9">
        <v>5</v>
      </c>
      <c r="Y18" s="8"/>
      <c r="Z18" s="9"/>
      <c r="AA18" s="9"/>
      <c r="AB18" s="9"/>
      <c r="AC18" s="10"/>
    </row>
    <row r="19" spans="1:29">
      <c r="A19" s="15">
        <v>29.4</v>
      </c>
      <c r="B19" s="9">
        <f t="shared" si="0"/>
        <v>31.105849999999997</v>
      </c>
      <c r="C19" s="9">
        <f t="shared" si="1"/>
        <v>28.714999999999996</v>
      </c>
      <c r="D19" s="9">
        <f t="shared" si="2"/>
        <v>26.324149999999996</v>
      </c>
      <c r="E19" s="10">
        <f t="shared" si="6"/>
        <v>18</v>
      </c>
      <c r="F19" s="9">
        <f t="shared" si="3"/>
        <v>9.9198000000000004</v>
      </c>
      <c r="G19" s="9">
        <f t="shared" si="4"/>
        <v>4.95</v>
      </c>
      <c r="H19" s="10">
        <f t="shared" si="5"/>
        <v>0</v>
      </c>
      <c r="I19" s="9">
        <v>2</v>
      </c>
      <c r="Y19" s="8"/>
      <c r="Z19" s="9"/>
      <c r="AA19" s="9"/>
      <c r="AB19" s="9"/>
      <c r="AC19" s="10"/>
    </row>
    <row r="20" spans="1:29">
      <c r="A20" s="15">
        <v>29.3</v>
      </c>
      <c r="B20" s="9">
        <f t="shared" si="0"/>
        <v>31.105849999999997</v>
      </c>
      <c r="C20" s="9">
        <f t="shared" si="1"/>
        <v>28.714999999999996</v>
      </c>
      <c r="D20" s="9">
        <f t="shared" si="2"/>
        <v>26.324149999999996</v>
      </c>
      <c r="E20" s="10">
        <f t="shared" si="6"/>
        <v>19</v>
      </c>
      <c r="F20" s="9">
        <f t="shared" si="3"/>
        <v>9.9198000000000004</v>
      </c>
      <c r="G20" s="9">
        <f t="shared" si="4"/>
        <v>4.95</v>
      </c>
      <c r="H20" s="10">
        <f t="shared" si="5"/>
        <v>0</v>
      </c>
      <c r="I20" s="9">
        <v>3</v>
      </c>
      <c r="Y20" s="8"/>
      <c r="Z20" s="9"/>
      <c r="AA20" s="9"/>
      <c r="AB20" s="9"/>
      <c r="AC20" s="10"/>
    </row>
    <row r="21" spans="1:29">
      <c r="A21" s="15">
        <v>30</v>
      </c>
      <c r="B21" s="9">
        <f t="shared" si="0"/>
        <v>31.105849999999997</v>
      </c>
      <c r="C21" s="9">
        <f t="shared" si="1"/>
        <v>28.714999999999996</v>
      </c>
      <c r="D21" s="9">
        <f t="shared" si="2"/>
        <v>26.324149999999996</v>
      </c>
      <c r="E21" s="10">
        <f t="shared" si="6"/>
        <v>20</v>
      </c>
      <c r="F21" s="9">
        <f t="shared" si="3"/>
        <v>9.9198000000000004</v>
      </c>
      <c r="G21" s="9">
        <f t="shared" si="4"/>
        <v>4.95</v>
      </c>
      <c r="H21" s="10">
        <f t="shared" si="5"/>
        <v>0</v>
      </c>
      <c r="I21" s="9">
        <v>7</v>
      </c>
      <c r="Y21" s="8"/>
      <c r="Z21" s="9"/>
      <c r="AA21" s="9"/>
      <c r="AB21" s="9"/>
      <c r="AC21" s="10"/>
    </row>
    <row r="22" spans="1:29">
      <c r="A22" s="15">
        <f>AVERAGE(A2:A21)</f>
        <v>28.714999999999996</v>
      </c>
      <c r="B22" s="10"/>
      <c r="C22" s="10"/>
      <c r="D22" s="10"/>
      <c r="E22" s="10"/>
      <c r="F22" s="10"/>
      <c r="G22" s="10"/>
      <c r="H22" s="10"/>
      <c r="I22" s="9">
        <f>AVERAGE(I2:I21)</f>
        <v>4.95</v>
      </c>
      <c r="Q22" s="10"/>
      <c r="R22" s="10"/>
      <c r="S22" s="10"/>
      <c r="T22" s="10"/>
    </row>
    <row r="23" spans="1:29">
      <c r="A23" s="10"/>
      <c r="B23" s="10"/>
      <c r="C23" s="10"/>
      <c r="D23" s="10"/>
      <c r="E23" s="10"/>
      <c r="F23" s="10"/>
      <c r="G23" s="10"/>
      <c r="H23" s="10"/>
      <c r="I23" s="9"/>
    </row>
    <row r="24" spans="1:29">
      <c r="A24" s="12" t="s">
        <v>35</v>
      </c>
      <c r="B24" s="13">
        <v>0.48299999999999998</v>
      </c>
    </row>
    <row r="25" spans="1:29">
      <c r="A25" s="12" t="s">
        <v>36</v>
      </c>
      <c r="B25" s="13">
        <v>2.004</v>
      </c>
    </row>
    <row r="26" spans="1:29">
      <c r="A26" s="12" t="s">
        <v>37</v>
      </c>
      <c r="B26" s="13">
        <v>0</v>
      </c>
    </row>
    <row r="27" spans="1:29">
      <c r="A27" s="12" t="s">
        <v>38</v>
      </c>
      <c r="B27" s="13">
        <v>2.5339999999999998</v>
      </c>
    </row>
    <row r="29" spans="1:29">
      <c r="A29" s="12" t="s">
        <v>39</v>
      </c>
    </row>
    <row r="31" spans="1:29">
      <c r="A31" s="12" t="s">
        <v>40</v>
      </c>
      <c r="B31" s="7">
        <f>I22/B27</f>
        <v>1.9534333070244674</v>
      </c>
      <c r="D31" s="7" t="s">
        <v>41</v>
      </c>
      <c r="E31" s="7" t="s">
        <v>42</v>
      </c>
    </row>
    <row r="32" spans="1:29">
      <c r="D32" s="16">
        <f>(B33-A22)/B31</f>
        <v>3.7293313131313148</v>
      </c>
      <c r="E32" s="16">
        <f>(B35-A22)/B31</f>
        <v>-3.4375373737373716</v>
      </c>
    </row>
    <row r="33" spans="1:5">
      <c r="A33" s="7" t="s">
        <v>43</v>
      </c>
      <c r="B33" s="7">
        <f>B34+7</f>
        <v>36</v>
      </c>
      <c r="D33" s="16">
        <f>NORMSDIST(D32)</f>
        <v>0.99990400570911087</v>
      </c>
      <c r="E33" s="16">
        <f>NORMSDIST(E32)</f>
        <v>2.9351485101682118E-4</v>
      </c>
    </row>
    <row r="34" spans="1:5">
      <c r="A34" s="7" t="s">
        <v>10</v>
      </c>
      <c r="B34" s="7">
        <v>29</v>
      </c>
    </row>
    <row r="35" spans="1:5">
      <c r="A35" s="7" t="s">
        <v>44</v>
      </c>
      <c r="B35" s="7">
        <f>B34-7</f>
        <v>22</v>
      </c>
      <c r="D35" s="7" t="s">
        <v>45</v>
      </c>
      <c r="E35" s="14">
        <f>1-(D33-E33)</f>
        <v>3.8950914190594155E-4</v>
      </c>
    </row>
    <row r="37" spans="1:5">
      <c r="A37" s="12" t="s">
        <v>46</v>
      </c>
    </row>
    <row r="38" spans="1:5">
      <c r="A38" s="7" t="s">
        <v>59</v>
      </c>
      <c r="B38" s="7">
        <v>1</v>
      </c>
    </row>
    <row r="39" spans="1:5">
      <c r="A39" s="7" t="s">
        <v>60</v>
      </c>
      <c r="B39" s="11">
        <v>40</v>
      </c>
    </row>
    <row r="40" spans="1:5">
      <c r="A40" s="7" t="s">
        <v>47</v>
      </c>
      <c r="B40" s="7">
        <f>B38/B39</f>
        <v>2.5000000000000001E-2</v>
      </c>
    </row>
    <row r="41" spans="1:5">
      <c r="A41" s="12" t="s">
        <v>48</v>
      </c>
    </row>
    <row r="43" spans="1:5">
      <c r="A43" s="7" t="s">
        <v>49</v>
      </c>
      <c r="B43" s="17">
        <f>(B33-B35)/(6*B31)</f>
        <v>1.1944781144781145</v>
      </c>
      <c r="C43" s="17"/>
    </row>
    <row r="44" spans="1:5">
      <c r="A44" s="7" t="s">
        <v>50</v>
      </c>
      <c r="B44" s="17">
        <f>(B33-A22)/(3*B31)</f>
        <v>1.2431104377104383</v>
      </c>
      <c r="C44" s="17">
        <f>(A22-B35)/(3*B31)</f>
        <v>1.1458457912457907</v>
      </c>
    </row>
    <row r="45" spans="1:5">
      <c r="A45" s="7" t="s">
        <v>51</v>
      </c>
      <c r="B45" s="17">
        <f>(B33-B35)/(6*B46)</f>
        <v>1.1819647465723082</v>
      </c>
      <c r="C45" s="17"/>
    </row>
    <row r="46" spans="1:5">
      <c r="A46" s="7" t="s">
        <v>52</v>
      </c>
      <c r="B46" s="17">
        <f>SQRT((B31^2+(A22-B34)^2))</f>
        <v>1.9741141519660277</v>
      </c>
      <c r="C46" s="17"/>
    </row>
    <row r="48" spans="1:5">
      <c r="A48" s="12" t="s">
        <v>53</v>
      </c>
    </row>
    <row r="49" spans="1:1">
      <c r="A49" s="7" t="s">
        <v>61</v>
      </c>
    </row>
    <row r="50" spans="1:1">
      <c r="A50" s="7" t="s">
        <v>62</v>
      </c>
    </row>
    <row r="51" spans="1:1">
      <c r="A51" s="12" t="s">
        <v>56</v>
      </c>
    </row>
    <row r="52" spans="1:1">
      <c r="A52" s="7" t="s">
        <v>63</v>
      </c>
    </row>
  </sheetData>
  <pageMargins left="0.75" right="0.75" top="1" bottom="1" header="0.5" footer="0.5"/>
  <pageSetup paperSize="0"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6"/>
  <sheetViews>
    <sheetView zoomScale="125" workbookViewId="0">
      <selection activeCell="J13" sqref="J13"/>
    </sheetView>
  </sheetViews>
  <sheetFormatPr baseColWidth="10" defaultRowHeight="13"/>
  <cols>
    <col min="1" max="1" width="10.6640625" style="7" customWidth="1"/>
    <col min="2" max="2" width="8.83203125" style="7" customWidth="1"/>
    <col min="3" max="3" width="9.1640625" style="7" customWidth="1"/>
    <col min="4" max="4" width="9.6640625" style="7" customWidth="1"/>
    <col min="5" max="5" width="10.5" style="7" customWidth="1"/>
    <col min="6" max="6" width="8.1640625" style="7" customWidth="1"/>
    <col min="7" max="7" width="9.33203125" style="7" customWidth="1"/>
    <col min="8" max="8" width="7.5" style="7" customWidth="1"/>
    <col min="9" max="9" width="10.5" style="7" customWidth="1"/>
    <col min="10" max="15" width="10.83203125" style="7"/>
    <col min="16" max="16" width="10.6640625" style="7" customWidth="1"/>
    <col min="17" max="18" width="9.5" style="7" customWidth="1"/>
    <col min="19" max="19" width="9.1640625" style="7" customWidth="1"/>
    <col min="20" max="20" width="4" style="7" customWidth="1"/>
    <col min="21" max="21" width="8" style="7" customWidth="1"/>
    <col min="22" max="22" width="7.5" style="7" customWidth="1"/>
    <col min="23" max="23" width="6.83203125" style="7" customWidth="1"/>
    <col min="24" max="24" width="10.6640625" style="7" customWidth="1"/>
    <col min="25" max="25" width="10.5" style="7" customWidth="1"/>
    <col min="26" max="26" width="9.1640625" style="7" customWidth="1"/>
    <col min="27" max="27" width="8.5" style="7" customWidth="1"/>
    <col min="28" max="28" width="7.6640625" style="7" customWidth="1"/>
    <col min="29" max="29" width="4.83203125" style="7" customWidth="1"/>
    <col min="30" max="16384" width="10.83203125" style="7"/>
  </cols>
  <sheetData>
    <row r="1" spans="1:9">
      <c r="A1" s="6" t="s">
        <v>29</v>
      </c>
      <c r="B1" s="6" t="s">
        <v>30</v>
      </c>
      <c r="C1" s="6" t="s">
        <v>31</v>
      </c>
      <c r="D1" s="6" t="s">
        <v>32</v>
      </c>
      <c r="E1" s="6" t="s">
        <v>33</v>
      </c>
      <c r="F1" s="6" t="s">
        <v>30</v>
      </c>
      <c r="G1" s="6" t="s">
        <v>31</v>
      </c>
      <c r="H1" s="6" t="s">
        <v>32</v>
      </c>
      <c r="I1" s="6" t="s">
        <v>34</v>
      </c>
    </row>
    <row r="2" spans="1:9">
      <c r="A2" s="11">
        <v>63.5</v>
      </c>
      <c r="B2" s="9">
        <f t="shared" ref="B2:B25" si="0">$A$26+($B$28*$I$26)</f>
        <v>64.183916666666661</v>
      </c>
      <c r="C2" s="9">
        <f t="shared" ref="C2:C25" si="1">$A$26</f>
        <v>63.5</v>
      </c>
      <c r="D2" s="9">
        <f t="shared" ref="D2:D25" si="2">$A$26-($B$28*$I$26)</f>
        <v>62.816083333333331</v>
      </c>
      <c r="E2" s="10">
        <v>1</v>
      </c>
      <c r="F2" s="9">
        <f t="shared" ref="F2:F25" si="3">$B$29*$I$26</f>
        <v>2.4892208333333334</v>
      </c>
      <c r="G2" s="9">
        <f t="shared" ref="G2:G25" si="4">$I$26</f>
        <v>1.1791666666666667</v>
      </c>
      <c r="H2" s="10">
        <f t="shared" ref="H2:H25" si="5">$B$30*$I$26</f>
        <v>0</v>
      </c>
      <c r="I2" s="18">
        <v>1.2</v>
      </c>
    </row>
    <row r="3" spans="1:9">
      <c r="A3" s="11">
        <v>63.6</v>
      </c>
      <c r="B3" s="9">
        <f t="shared" si="0"/>
        <v>64.183916666666661</v>
      </c>
      <c r="C3" s="9">
        <f t="shared" si="1"/>
        <v>63.5</v>
      </c>
      <c r="D3" s="9">
        <f t="shared" si="2"/>
        <v>62.816083333333331</v>
      </c>
      <c r="E3" s="10">
        <f>E2+1</f>
        <v>2</v>
      </c>
      <c r="F3" s="9">
        <f t="shared" si="3"/>
        <v>2.4892208333333334</v>
      </c>
      <c r="G3" s="9">
        <f t="shared" si="4"/>
        <v>1.1791666666666667</v>
      </c>
      <c r="H3" s="10">
        <f t="shared" si="5"/>
        <v>0</v>
      </c>
      <c r="I3" s="18">
        <v>1</v>
      </c>
    </row>
    <row r="4" spans="1:9">
      <c r="A4" s="11">
        <v>63.7</v>
      </c>
      <c r="B4" s="9">
        <f t="shared" si="0"/>
        <v>64.183916666666661</v>
      </c>
      <c r="C4" s="9">
        <f t="shared" si="1"/>
        <v>63.5</v>
      </c>
      <c r="D4" s="9">
        <f t="shared" si="2"/>
        <v>62.816083333333331</v>
      </c>
      <c r="E4" s="10">
        <f t="shared" ref="E4:E25" si="6">E3+1</f>
        <v>3</v>
      </c>
      <c r="F4" s="9">
        <f t="shared" si="3"/>
        <v>2.4892208333333334</v>
      </c>
      <c r="G4" s="9">
        <f t="shared" si="4"/>
        <v>1.1791666666666667</v>
      </c>
      <c r="H4" s="10">
        <f t="shared" si="5"/>
        <v>0</v>
      </c>
      <c r="I4" s="18">
        <v>1.5</v>
      </c>
    </row>
    <row r="5" spans="1:9">
      <c r="A5" s="11">
        <v>63.9</v>
      </c>
      <c r="B5" s="9">
        <f t="shared" si="0"/>
        <v>64.183916666666661</v>
      </c>
      <c r="C5" s="9">
        <f t="shared" si="1"/>
        <v>63.5</v>
      </c>
      <c r="D5" s="9">
        <f t="shared" si="2"/>
        <v>62.816083333333331</v>
      </c>
      <c r="E5" s="10">
        <f t="shared" si="6"/>
        <v>4</v>
      </c>
      <c r="F5" s="9">
        <f t="shared" si="3"/>
        <v>2.4892208333333334</v>
      </c>
      <c r="G5" s="9">
        <f t="shared" si="4"/>
        <v>1.1791666666666667</v>
      </c>
      <c r="H5" s="10">
        <f t="shared" si="5"/>
        <v>0</v>
      </c>
      <c r="I5" s="18">
        <v>1.4</v>
      </c>
    </row>
    <row r="6" spans="1:9">
      <c r="A6" s="11">
        <v>63.4</v>
      </c>
      <c r="B6" s="9">
        <f t="shared" si="0"/>
        <v>64.183916666666661</v>
      </c>
      <c r="C6" s="9">
        <f t="shared" si="1"/>
        <v>63.5</v>
      </c>
      <c r="D6" s="9">
        <f t="shared" si="2"/>
        <v>62.816083333333331</v>
      </c>
      <c r="E6" s="10">
        <f t="shared" si="6"/>
        <v>5</v>
      </c>
      <c r="F6" s="9">
        <f t="shared" si="3"/>
        <v>2.4892208333333334</v>
      </c>
      <c r="G6" s="9">
        <f t="shared" si="4"/>
        <v>1.1791666666666667</v>
      </c>
      <c r="H6" s="10">
        <f t="shared" si="5"/>
        <v>0</v>
      </c>
      <c r="I6" s="18">
        <v>0.9</v>
      </c>
    </row>
    <row r="7" spans="1:9">
      <c r="A7" s="11">
        <v>63</v>
      </c>
      <c r="B7" s="9">
        <f t="shared" si="0"/>
        <v>64.183916666666661</v>
      </c>
      <c r="C7" s="9">
        <f t="shared" si="1"/>
        <v>63.5</v>
      </c>
      <c r="D7" s="9">
        <f t="shared" si="2"/>
        <v>62.816083333333331</v>
      </c>
      <c r="E7" s="10">
        <f t="shared" si="6"/>
        <v>6</v>
      </c>
      <c r="F7" s="9">
        <f t="shared" si="3"/>
        <v>2.4892208333333334</v>
      </c>
      <c r="G7" s="9">
        <f t="shared" si="4"/>
        <v>1.1791666666666667</v>
      </c>
      <c r="H7" s="10">
        <f t="shared" si="5"/>
        <v>0</v>
      </c>
      <c r="I7" s="18">
        <v>1</v>
      </c>
    </row>
    <row r="8" spans="1:9">
      <c r="A8" s="11">
        <v>63.2</v>
      </c>
      <c r="B8" s="9">
        <f t="shared" si="0"/>
        <v>64.183916666666661</v>
      </c>
      <c r="C8" s="9">
        <f t="shared" si="1"/>
        <v>63.5</v>
      </c>
      <c r="D8" s="9">
        <f t="shared" si="2"/>
        <v>62.816083333333331</v>
      </c>
      <c r="E8" s="10">
        <f t="shared" si="6"/>
        <v>7</v>
      </c>
      <c r="F8" s="9">
        <f t="shared" si="3"/>
        <v>2.4892208333333334</v>
      </c>
      <c r="G8" s="9">
        <f t="shared" si="4"/>
        <v>1.1791666666666667</v>
      </c>
      <c r="H8" s="10">
        <f t="shared" si="5"/>
        <v>0</v>
      </c>
      <c r="I8" s="18">
        <v>1.1000000000000001</v>
      </c>
    </row>
    <row r="9" spans="1:9">
      <c r="A9" s="11">
        <v>63.3</v>
      </c>
      <c r="B9" s="9">
        <f t="shared" si="0"/>
        <v>64.183916666666661</v>
      </c>
      <c r="C9" s="9">
        <f t="shared" si="1"/>
        <v>63.5</v>
      </c>
      <c r="D9" s="9">
        <f t="shared" si="2"/>
        <v>62.816083333333331</v>
      </c>
      <c r="E9" s="10">
        <f t="shared" si="6"/>
        <v>8</v>
      </c>
      <c r="F9" s="9">
        <f t="shared" si="3"/>
        <v>2.4892208333333334</v>
      </c>
      <c r="G9" s="9">
        <f t="shared" si="4"/>
        <v>1.1791666666666667</v>
      </c>
      <c r="H9" s="10">
        <f t="shared" si="5"/>
        <v>0</v>
      </c>
      <c r="I9" s="18">
        <v>1.3</v>
      </c>
    </row>
    <row r="10" spans="1:9">
      <c r="A10" s="11">
        <v>63.7</v>
      </c>
      <c r="B10" s="9">
        <f t="shared" si="0"/>
        <v>64.183916666666661</v>
      </c>
      <c r="C10" s="9">
        <f t="shared" si="1"/>
        <v>63.5</v>
      </c>
      <c r="D10" s="9">
        <f t="shared" si="2"/>
        <v>62.816083333333331</v>
      </c>
      <c r="E10" s="10">
        <f t="shared" si="6"/>
        <v>9</v>
      </c>
      <c r="F10" s="9">
        <f t="shared" si="3"/>
        <v>2.4892208333333334</v>
      </c>
      <c r="G10" s="9">
        <f t="shared" si="4"/>
        <v>1.1791666666666667</v>
      </c>
      <c r="H10" s="10">
        <f t="shared" si="5"/>
        <v>0</v>
      </c>
      <c r="I10" s="18">
        <v>1.2</v>
      </c>
    </row>
    <row r="11" spans="1:9">
      <c r="A11" s="11">
        <v>63.5</v>
      </c>
      <c r="B11" s="9">
        <f t="shared" si="0"/>
        <v>64.183916666666661</v>
      </c>
      <c r="C11" s="9">
        <f t="shared" si="1"/>
        <v>63.5</v>
      </c>
      <c r="D11" s="9">
        <f t="shared" si="2"/>
        <v>62.816083333333331</v>
      </c>
      <c r="E11" s="10">
        <f t="shared" si="6"/>
        <v>10</v>
      </c>
      <c r="F11" s="9">
        <f t="shared" si="3"/>
        <v>2.4892208333333334</v>
      </c>
      <c r="G11" s="9">
        <f t="shared" si="4"/>
        <v>1.1791666666666667</v>
      </c>
      <c r="H11" s="10">
        <f t="shared" si="5"/>
        <v>0</v>
      </c>
      <c r="I11" s="18">
        <v>1.3</v>
      </c>
    </row>
    <row r="12" spans="1:9">
      <c r="A12" s="11">
        <v>63.3</v>
      </c>
      <c r="B12" s="9">
        <f t="shared" si="0"/>
        <v>64.183916666666661</v>
      </c>
      <c r="C12" s="9">
        <f t="shared" si="1"/>
        <v>63.5</v>
      </c>
      <c r="D12" s="9">
        <f t="shared" si="2"/>
        <v>62.816083333333331</v>
      </c>
      <c r="E12" s="10">
        <f t="shared" si="6"/>
        <v>11</v>
      </c>
      <c r="F12" s="9">
        <f t="shared" si="3"/>
        <v>2.4892208333333334</v>
      </c>
      <c r="G12" s="9">
        <f t="shared" si="4"/>
        <v>1.1791666666666667</v>
      </c>
      <c r="H12" s="10">
        <f t="shared" si="5"/>
        <v>0</v>
      </c>
      <c r="I12" s="18">
        <v>1.5</v>
      </c>
    </row>
    <row r="13" spans="1:9">
      <c r="A13" s="11">
        <v>63.6</v>
      </c>
      <c r="B13" s="9">
        <f t="shared" si="0"/>
        <v>64.183916666666661</v>
      </c>
      <c r="C13" s="9">
        <f t="shared" si="1"/>
        <v>63.5</v>
      </c>
      <c r="D13" s="9">
        <f t="shared" si="2"/>
        <v>62.816083333333331</v>
      </c>
      <c r="E13" s="10">
        <f t="shared" si="6"/>
        <v>12</v>
      </c>
      <c r="F13" s="9">
        <f t="shared" si="3"/>
        <v>2.4892208333333334</v>
      </c>
      <c r="G13" s="9">
        <f t="shared" si="4"/>
        <v>1.1791666666666667</v>
      </c>
      <c r="H13" s="10">
        <f t="shared" si="5"/>
        <v>0</v>
      </c>
      <c r="I13" s="18">
        <v>0.9</v>
      </c>
    </row>
    <row r="14" spans="1:9">
      <c r="A14" s="11">
        <v>63.3</v>
      </c>
      <c r="B14" s="9">
        <f t="shared" si="0"/>
        <v>64.183916666666661</v>
      </c>
      <c r="C14" s="9">
        <f t="shared" si="1"/>
        <v>63.5</v>
      </c>
      <c r="D14" s="9">
        <f t="shared" si="2"/>
        <v>62.816083333333331</v>
      </c>
      <c r="E14" s="10">
        <f t="shared" si="6"/>
        <v>13</v>
      </c>
      <c r="F14" s="9">
        <f t="shared" si="3"/>
        <v>2.4892208333333334</v>
      </c>
      <c r="G14" s="9">
        <f t="shared" si="4"/>
        <v>1.1791666666666667</v>
      </c>
      <c r="H14" s="10">
        <f t="shared" si="5"/>
        <v>0</v>
      </c>
      <c r="I14" s="18">
        <v>1.3</v>
      </c>
    </row>
    <row r="15" spans="1:9">
      <c r="A15" s="11">
        <v>63.4</v>
      </c>
      <c r="B15" s="9">
        <f t="shared" si="0"/>
        <v>64.183916666666661</v>
      </c>
      <c r="C15" s="9">
        <f t="shared" si="1"/>
        <v>63.5</v>
      </c>
      <c r="D15" s="9">
        <f t="shared" si="2"/>
        <v>62.816083333333331</v>
      </c>
      <c r="E15" s="10">
        <f t="shared" si="6"/>
        <v>14</v>
      </c>
      <c r="F15" s="9">
        <f t="shared" si="3"/>
        <v>2.4892208333333334</v>
      </c>
      <c r="G15" s="9">
        <f t="shared" si="4"/>
        <v>1.1791666666666667</v>
      </c>
      <c r="H15" s="10">
        <f t="shared" si="5"/>
        <v>0</v>
      </c>
      <c r="I15" s="18">
        <v>1.2</v>
      </c>
    </row>
    <row r="16" spans="1:9">
      <c r="A16" s="11">
        <v>63.4</v>
      </c>
      <c r="B16" s="9">
        <f t="shared" si="0"/>
        <v>64.183916666666661</v>
      </c>
      <c r="C16" s="9">
        <f t="shared" si="1"/>
        <v>63.5</v>
      </c>
      <c r="D16" s="9">
        <f t="shared" si="2"/>
        <v>62.816083333333331</v>
      </c>
      <c r="E16" s="10">
        <f t="shared" si="6"/>
        <v>15</v>
      </c>
      <c r="F16" s="9">
        <f t="shared" si="3"/>
        <v>2.4892208333333334</v>
      </c>
      <c r="G16" s="9">
        <f t="shared" si="4"/>
        <v>1.1791666666666667</v>
      </c>
      <c r="H16" s="10">
        <f t="shared" si="5"/>
        <v>0</v>
      </c>
      <c r="I16" s="18">
        <v>1</v>
      </c>
    </row>
    <row r="17" spans="1:9">
      <c r="A17" s="11">
        <v>63.5</v>
      </c>
      <c r="B17" s="9">
        <f t="shared" si="0"/>
        <v>64.183916666666661</v>
      </c>
      <c r="C17" s="9">
        <f t="shared" si="1"/>
        <v>63.5</v>
      </c>
      <c r="D17" s="9">
        <f t="shared" si="2"/>
        <v>62.816083333333331</v>
      </c>
      <c r="E17" s="10">
        <f t="shared" si="6"/>
        <v>16</v>
      </c>
      <c r="F17" s="9">
        <f t="shared" si="3"/>
        <v>2.4892208333333334</v>
      </c>
      <c r="G17" s="9">
        <f t="shared" si="4"/>
        <v>1.1791666666666667</v>
      </c>
      <c r="H17" s="10">
        <f t="shared" si="5"/>
        <v>0</v>
      </c>
      <c r="I17" s="18">
        <v>1.1000000000000001</v>
      </c>
    </row>
    <row r="18" spans="1:9">
      <c r="A18" s="11">
        <v>63.6</v>
      </c>
      <c r="B18" s="9">
        <f t="shared" si="0"/>
        <v>64.183916666666661</v>
      </c>
      <c r="C18" s="9">
        <f t="shared" si="1"/>
        <v>63.5</v>
      </c>
      <c r="D18" s="9">
        <f t="shared" si="2"/>
        <v>62.816083333333331</v>
      </c>
      <c r="E18" s="10">
        <f t="shared" si="6"/>
        <v>17</v>
      </c>
      <c r="F18" s="9">
        <f t="shared" si="3"/>
        <v>2.4892208333333334</v>
      </c>
      <c r="G18" s="9">
        <f t="shared" si="4"/>
        <v>1.1791666666666667</v>
      </c>
      <c r="H18" s="10">
        <f t="shared" si="5"/>
        <v>0</v>
      </c>
      <c r="I18" s="18">
        <v>1.5</v>
      </c>
    </row>
    <row r="19" spans="1:9">
      <c r="A19" s="11">
        <v>63.8</v>
      </c>
      <c r="B19" s="9">
        <f t="shared" si="0"/>
        <v>64.183916666666661</v>
      </c>
      <c r="C19" s="9">
        <f t="shared" si="1"/>
        <v>63.5</v>
      </c>
      <c r="D19" s="9">
        <f t="shared" si="2"/>
        <v>62.816083333333331</v>
      </c>
      <c r="E19" s="10">
        <f t="shared" si="6"/>
        <v>18</v>
      </c>
      <c r="F19" s="9">
        <f t="shared" si="3"/>
        <v>2.4892208333333334</v>
      </c>
      <c r="G19" s="9">
        <f t="shared" si="4"/>
        <v>1.1791666666666667</v>
      </c>
      <c r="H19" s="10">
        <f t="shared" si="5"/>
        <v>0</v>
      </c>
      <c r="I19" s="18">
        <v>1.4</v>
      </c>
    </row>
    <row r="20" spans="1:9">
      <c r="A20" s="11">
        <v>63.5</v>
      </c>
      <c r="B20" s="9">
        <f t="shared" si="0"/>
        <v>64.183916666666661</v>
      </c>
      <c r="C20" s="9">
        <f t="shared" si="1"/>
        <v>63.5</v>
      </c>
      <c r="D20" s="9">
        <f t="shared" si="2"/>
        <v>62.816083333333331</v>
      </c>
      <c r="E20" s="10">
        <f t="shared" si="6"/>
        <v>19</v>
      </c>
      <c r="F20" s="9">
        <f t="shared" si="3"/>
        <v>2.4892208333333334</v>
      </c>
      <c r="G20" s="9">
        <f t="shared" si="4"/>
        <v>1.1791666666666667</v>
      </c>
      <c r="H20" s="10">
        <f t="shared" si="5"/>
        <v>0</v>
      </c>
      <c r="I20" s="18">
        <v>0.9</v>
      </c>
    </row>
    <row r="21" spans="1:9">
      <c r="A21" s="11">
        <v>63.9</v>
      </c>
      <c r="B21" s="9">
        <f t="shared" si="0"/>
        <v>64.183916666666661</v>
      </c>
      <c r="C21" s="9">
        <f t="shared" si="1"/>
        <v>63.5</v>
      </c>
      <c r="D21" s="9">
        <f t="shared" si="2"/>
        <v>62.816083333333331</v>
      </c>
      <c r="E21" s="10">
        <f t="shared" si="6"/>
        <v>20</v>
      </c>
      <c r="F21" s="9">
        <f t="shared" si="3"/>
        <v>2.4892208333333334</v>
      </c>
      <c r="G21" s="9">
        <f t="shared" si="4"/>
        <v>1.1791666666666667</v>
      </c>
      <c r="H21" s="10">
        <f t="shared" si="5"/>
        <v>0</v>
      </c>
      <c r="I21" s="18">
        <v>0.8</v>
      </c>
    </row>
    <row r="22" spans="1:9">
      <c r="A22" s="11">
        <v>63.2</v>
      </c>
      <c r="B22" s="9">
        <f t="shared" si="0"/>
        <v>64.183916666666661</v>
      </c>
      <c r="C22" s="9">
        <f t="shared" si="1"/>
        <v>63.5</v>
      </c>
      <c r="D22" s="9">
        <f t="shared" si="2"/>
        <v>62.816083333333331</v>
      </c>
      <c r="E22" s="10">
        <f t="shared" si="6"/>
        <v>21</v>
      </c>
      <c r="F22" s="9">
        <f t="shared" si="3"/>
        <v>2.4892208333333334</v>
      </c>
      <c r="G22" s="9">
        <f t="shared" si="4"/>
        <v>1.1791666666666667</v>
      </c>
      <c r="H22" s="10">
        <f t="shared" si="5"/>
        <v>0</v>
      </c>
      <c r="I22" s="18">
        <v>1.4</v>
      </c>
    </row>
    <row r="23" spans="1:9">
      <c r="A23" s="11">
        <v>63.3</v>
      </c>
      <c r="B23" s="9">
        <f t="shared" si="0"/>
        <v>64.183916666666661</v>
      </c>
      <c r="C23" s="9">
        <f t="shared" si="1"/>
        <v>63.5</v>
      </c>
      <c r="D23" s="9">
        <f t="shared" si="2"/>
        <v>62.816083333333331</v>
      </c>
      <c r="E23" s="10">
        <f t="shared" si="6"/>
        <v>22</v>
      </c>
      <c r="F23" s="9">
        <f t="shared" si="3"/>
        <v>2.4892208333333334</v>
      </c>
      <c r="G23" s="9">
        <f t="shared" si="4"/>
        <v>1.1791666666666667</v>
      </c>
      <c r="H23" s="10">
        <f t="shared" si="5"/>
        <v>0</v>
      </c>
      <c r="I23" s="18">
        <v>1.3</v>
      </c>
    </row>
    <row r="24" spans="1:9">
      <c r="A24" s="11">
        <v>64</v>
      </c>
      <c r="B24" s="9">
        <f t="shared" si="0"/>
        <v>64.183916666666661</v>
      </c>
      <c r="C24" s="9">
        <f t="shared" si="1"/>
        <v>63.5</v>
      </c>
      <c r="D24" s="9">
        <f t="shared" si="2"/>
        <v>62.816083333333331</v>
      </c>
      <c r="E24" s="10">
        <f t="shared" si="6"/>
        <v>23</v>
      </c>
      <c r="F24" s="9">
        <f t="shared" si="3"/>
        <v>2.4892208333333334</v>
      </c>
      <c r="G24" s="9">
        <f t="shared" si="4"/>
        <v>1.1791666666666667</v>
      </c>
      <c r="H24" s="10">
        <f t="shared" si="5"/>
        <v>0</v>
      </c>
      <c r="I24" s="18">
        <v>1.1000000000000001</v>
      </c>
    </row>
    <row r="25" spans="1:9">
      <c r="A25" s="11">
        <v>63.4</v>
      </c>
      <c r="B25" s="9">
        <f t="shared" si="0"/>
        <v>64.183916666666661</v>
      </c>
      <c r="C25" s="9">
        <f t="shared" si="1"/>
        <v>63.5</v>
      </c>
      <c r="D25" s="9">
        <f t="shared" si="2"/>
        <v>62.816083333333331</v>
      </c>
      <c r="E25" s="10">
        <f t="shared" si="6"/>
        <v>24</v>
      </c>
      <c r="F25" s="9">
        <f t="shared" si="3"/>
        <v>2.4892208333333334</v>
      </c>
      <c r="G25" s="9">
        <f t="shared" si="4"/>
        <v>1.1791666666666667</v>
      </c>
      <c r="H25" s="10">
        <f t="shared" si="5"/>
        <v>0</v>
      </c>
      <c r="I25" s="18">
        <v>1</v>
      </c>
    </row>
    <row r="26" spans="1:9">
      <c r="A26" s="8">
        <f>AVERAGE(A2:A25)</f>
        <v>63.5</v>
      </c>
      <c r="B26" s="10"/>
      <c r="C26" s="10"/>
      <c r="D26" s="10"/>
      <c r="E26" s="10"/>
      <c r="F26" s="10"/>
      <c r="G26" s="10"/>
      <c r="H26" s="10"/>
      <c r="I26" s="9">
        <f>AVERAGE(I2:I25)</f>
        <v>1.1791666666666667</v>
      </c>
    </row>
    <row r="27" spans="1:9">
      <c r="A27" s="10"/>
      <c r="B27" s="10"/>
      <c r="C27" s="10"/>
      <c r="D27" s="10"/>
      <c r="E27" s="10"/>
      <c r="F27" s="10"/>
      <c r="G27" s="10"/>
      <c r="H27" s="10"/>
      <c r="I27" s="9"/>
    </row>
    <row r="28" spans="1:9">
      <c r="A28" s="12" t="s">
        <v>35</v>
      </c>
      <c r="B28" s="13">
        <v>0.57999999999999996</v>
      </c>
    </row>
    <row r="29" spans="1:9">
      <c r="A29" s="12" t="s">
        <v>36</v>
      </c>
      <c r="B29" s="13">
        <v>2.1110000000000002</v>
      </c>
    </row>
    <row r="30" spans="1:9">
      <c r="A30" s="12" t="s">
        <v>37</v>
      </c>
      <c r="B30" s="13">
        <v>0</v>
      </c>
    </row>
    <row r="31" spans="1:9">
      <c r="A31" s="12" t="s">
        <v>38</v>
      </c>
      <c r="B31" s="13">
        <v>2.33</v>
      </c>
    </row>
    <row r="33" spans="1:5">
      <c r="A33" s="12" t="s">
        <v>39</v>
      </c>
    </row>
    <row r="35" spans="1:5">
      <c r="A35" s="12" t="s">
        <v>40</v>
      </c>
      <c r="B35" s="7">
        <f>I26/B31</f>
        <v>0.50608011444921319</v>
      </c>
      <c r="D35" s="7" t="s">
        <v>41</v>
      </c>
      <c r="E35" s="7" t="s">
        <v>42</v>
      </c>
    </row>
    <row r="36" spans="1:5">
      <c r="D36" s="7">
        <f>(B37-A26)/B35</f>
        <v>3.9519434628975261</v>
      </c>
      <c r="E36" s="7">
        <f>(B39-A26)/B35</f>
        <v>-3.9519434628975261</v>
      </c>
    </row>
    <row r="37" spans="1:5">
      <c r="A37" s="7" t="s">
        <v>43</v>
      </c>
      <c r="B37" s="7">
        <v>65.5</v>
      </c>
      <c r="D37" s="7">
        <f>NORMSDIST(D36)</f>
        <v>0.99996124047124824</v>
      </c>
      <c r="E37" s="7">
        <f>NORMSDIST(E36)</f>
        <v>3.8759528751717858E-5</v>
      </c>
    </row>
    <row r="38" spans="1:5">
      <c r="A38" s="7" t="s">
        <v>10</v>
      </c>
      <c r="B38" s="7">
        <v>63.5</v>
      </c>
    </row>
    <row r="39" spans="1:5">
      <c r="A39" s="7" t="s">
        <v>44</v>
      </c>
      <c r="B39" s="7">
        <v>61.5</v>
      </c>
      <c r="D39" s="7" t="s">
        <v>45</v>
      </c>
      <c r="E39" s="14">
        <f>1-(D37-E37)</f>
        <v>7.7519057503527833E-5</v>
      </c>
    </row>
    <row r="41" spans="1:5">
      <c r="A41" s="12" t="s">
        <v>46</v>
      </c>
    </row>
    <row r="43" spans="1:5">
      <c r="A43" s="7" t="s">
        <v>47</v>
      </c>
      <c r="B43" s="11">
        <f>(10/48)*100</f>
        <v>20.833333333333336</v>
      </c>
    </row>
    <row r="45" spans="1:5">
      <c r="A45" s="12" t="s">
        <v>48</v>
      </c>
    </row>
    <row r="47" spans="1:5">
      <c r="A47" s="7" t="s">
        <v>49</v>
      </c>
      <c r="B47" s="7">
        <f>(B37-B39)/(6*B35)</f>
        <v>1.3173144876325087</v>
      </c>
    </row>
    <row r="48" spans="1:5">
      <c r="A48" s="7" t="s">
        <v>50</v>
      </c>
      <c r="B48" s="7">
        <f>(B37-A26)/(3*B35)</f>
        <v>1.3173144876325087</v>
      </c>
      <c r="C48" s="7">
        <f>(A26-B39)/(3*B35)</f>
        <v>1.3173144876325087</v>
      </c>
    </row>
    <row r="49" spans="1:2">
      <c r="A49" s="7" t="s">
        <v>51</v>
      </c>
      <c r="B49" s="7">
        <f>(B37-B39)/(6*B50)</f>
        <v>1.3173144876325087</v>
      </c>
    </row>
    <row r="50" spans="1:2">
      <c r="A50" s="7" t="s">
        <v>52</v>
      </c>
      <c r="B50" s="7">
        <f>SQRT((B35^2+((A26-B38)^2)))</f>
        <v>0.50608011444921319</v>
      </c>
    </row>
    <row r="52" spans="1:2">
      <c r="A52" s="12" t="s">
        <v>53</v>
      </c>
    </row>
    <row r="53" spans="1:2">
      <c r="A53" s="7" t="s">
        <v>64</v>
      </c>
    </row>
    <row r="54" spans="1:2">
      <c r="A54" s="7" t="s">
        <v>65</v>
      </c>
    </row>
    <row r="55" spans="1:2">
      <c r="A55" s="19" t="s">
        <v>66</v>
      </c>
    </row>
    <row r="56" spans="1:2">
      <c r="A56" s="19" t="s">
        <v>67</v>
      </c>
    </row>
  </sheetData>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B1" workbookViewId="0">
      <selection activeCell="E43" sqref="E43"/>
    </sheetView>
  </sheetViews>
  <sheetFormatPr baseColWidth="10" defaultRowHeight="13"/>
  <cols>
    <col min="1" max="1" width="0" style="7" hidden="1" customWidth="1"/>
    <col min="2" max="2" width="11" style="7" customWidth="1"/>
    <col min="3" max="4" width="9.33203125" style="7" customWidth="1"/>
    <col min="5" max="5" width="9.1640625" style="7" customWidth="1"/>
    <col min="6" max="7" width="9" style="7" customWidth="1"/>
    <col min="8" max="8" width="9.33203125" style="7" customWidth="1"/>
    <col min="9" max="9" width="0" style="7" hidden="1" customWidth="1"/>
    <col min="10" max="10" width="3.33203125" style="7" customWidth="1"/>
    <col min="11" max="11" width="8" style="7" customWidth="1"/>
    <col min="12" max="12" width="7.83203125" style="7" customWidth="1"/>
    <col min="13" max="13" width="6.6640625" style="7" customWidth="1"/>
    <col min="14" max="14" width="7.33203125" style="7" customWidth="1"/>
    <col min="15" max="15" width="5.83203125" style="7" customWidth="1"/>
    <col min="16" max="16" width="5.6640625" style="7" customWidth="1"/>
    <col min="17" max="16384" width="10.83203125" style="7"/>
  </cols>
  <sheetData>
    <row r="1" spans="1:16">
      <c r="B1" s="7" t="s">
        <v>68</v>
      </c>
    </row>
    <row r="2" spans="1:16">
      <c r="B2" s="7" t="s">
        <v>69</v>
      </c>
      <c r="C2" s="7">
        <v>48</v>
      </c>
    </row>
    <row r="3" spans="1:16">
      <c r="B3" s="7" t="s">
        <v>70</v>
      </c>
      <c r="C3" s="7">
        <v>46</v>
      </c>
    </row>
    <row r="4" spans="1:16">
      <c r="B4" s="7" t="s">
        <v>71</v>
      </c>
      <c r="C4" s="7">
        <v>44</v>
      </c>
    </row>
    <row r="6" spans="1:16">
      <c r="B6" s="20" t="s">
        <v>72</v>
      </c>
      <c r="C6" s="161" t="s">
        <v>73</v>
      </c>
      <c r="D6" s="161"/>
      <c r="E6" s="161"/>
      <c r="F6" s="161"/>
      <c r="G6" s="20" t="s">
        <v>74</v>
      </c>
      <c r="H6" s="20" t="s">
        <v>34</v>
      </c>
      <c r="K6" s="10" t="s">
        <v>3</v>
      </c>
      <c r="L6" s="10" t="s">
        <v>10</v>
      </c>
      <c r="M6" s="10" t="s">
        <v>4</v>
      </c>
      <c r="N6" s="10" t="s">
        <v>3</v>
      </c>
      <c r="O6" s="10" t="s">
        <v>10</v>
      </c>
      <c r="P6" s="10" t="s">
        <v>4</v>
      </c>
    </row>
    <row r="7" spans="1:16">
      <c r="B7" s="21"/>
      <c r="C7" s="161" t="s">
        <v>75</v>
      </c>
      <c r="D7" s="161"/>
      <c r="E7" s="161" t="s">
        <v>76</v>
      </c>
      <c r="F7" s="161"/>
      <c r="G7" s="20"/>
      <c r="H7" s="20"/>
      <c r="K7" s="10"/>
      <c r="L7" s="10"/>
      <c r="M7" s="10"/>
      <c r="N7" s="10"/>
      <c r="O7" s="10"/>
      <c r="P7" s="10"/>
    </row>
    <row r="8" spans="1:16">
      <c r="A8" s="17">
        <v>0.01</v>
      </c>
      <c r="B8" s="22">
        <v>1</v>
      </c>
      <c r="C8" s="23">
        <f>49+A8</f>
        <v>49.01</v>
      </c>
      <c r="D8" s="23">
        <f>48+A8</f>
        <v>48.01</v>
      </c>
      <c r="E8" s="23">
        <v>43</v>
      </c>
      <c r="F8" s="23">
        <v>43.5</v>
      </c>
      <c r="G8" s="23">
        <f>AVERAGE(C8:F8)</f>
        <v>45.879999999999995</v>
      </c>
      <c r="H8" s="24">
        <f>C8-E8</f>
        <v>6.009999999999998</v>
      </c>
      <c r="I8" s="18">
        <v>0.1</v>
      </c>
      <c r="K8" s="25">
        <f>$G$39</f>
        <v>49.289891272723587</v>
      </c>
      <c r="L8" s="25">
        <f>$G$40</f>
        <v>46.662327188940104</v>
      </c>
      <c r="M8" s="25">
        <f>$G$41</f>
        <v>44.034763105156621</v>
      </c>
      <c r="N8" s="25">
        <f>$H$39</f>
        <v>8.2066385082552546</v>
      </c>
      <c r="O8" s="25">
        <f>$H$40</f>
        <v>3.5994028544979186</v>
      </c>
      <c r="P8" s="10">
        <f>$H$41</f>
        <v>0</v>
      </c>
    </row>
    <row r="9" spans="1:16">
      <c r="A9" s="17">
        <v>2.3103427228614151E-2</v>
      </c>
      <c r="B9" s="22">
        <v>2</v>
      </c>
      <c r="C9" s="23">
        <f t="shared" ref="C9:C37" si="0">49+A9</f>
        <v>49.023103427228612</v>
      </c>
      <c r="D9" s="23">
        <f t="shared" ref="D9:D37" si="1">48+A9</f>
        <v>48.023103427228612</v>
      </c>
      <c r="E9" s="23">
        <v>44.965514084292124</v>
      </c>
      <c r="F9" s="23">
        <v>45.465514084292124</v>
      </c>
      <c r="G9" s="23">
        <f t="shared" ref="G9:G37" si="2">AVERAGE(C9:F9)</f>
        <v>46.869308755760372</v>
      </c>
      <c r="H9" s="24">
        <f>C9-E9</f>
        <v>4.0575893429364882</v>
      </c>
      <c r="I9" s="18">
        <v>0.3620685445722831</v>
      </c>
      <c r="K9" s="25">
        <f t="shared" ref="K9:K37" si="3">$G$39</f>
        <v>49.289891272723587</v>
      </c>
      <c r="L9" s="25">
        <f t="shared" ref="L9:L37" si="4">$G$40</f>
        <v>46.662327188940104</v>
      </c>
      <c r="M9" s="25">
        <f t="shared" ref="M9:M37" si="5">$G$41</f>
        <v>44.034763105156621</v>
      </c>
      <c r="N9" s="25">
        <f t="shared" ref="N9:N37" si="6">$H$39</f>
        <v>8.2066385082552546</v>
      </c>
      <c r="O9" s="25">
        <f t="shared" ref="O9:O37" si="7">$H$40</f>
        <v>3.5994028544979186</v>
      </c>
      <c r="P9" s="10">
        <f t="shared" ref="P9:P37" si="8">$H$41</f>
        <v>0</v>
      </c>
    </row>
    <row r="10" spans="1:16">
      <c r="A10" s="17">
        <v>1.6096377452925199E-2</v>
      </c>
      <c r="B10" s="22">
        <v>3</v>
      </c>
      <c r="C10" s="23">
        <f t="shared" si="0"/>
        <v>49.016096377452925</v>
      </c>
      <c r="D10" s="23">
        <f t="shared" si="1"/>
        <v>48.016096377452925</v>
      </c>
      <c r="E10" s="23">
        <v>43.914456617938782</v>
      </c>
      <c r="F10" s="23">
        <v>44.414456617938782</v>
      </c>
      <c r="G10" s="23">
        <f t="shared" si="2"/>
        <v>46.340276497695854</v>
      </c>
      <c r="H10" s="24">
        <f>C10-E10</f>
        <v>5.1016397595141427</v>
      </c>
      <c r="I10" s="18">
        <v>0.22192754905850398</v>
      </c>
      <c r="K10" s="25">
        <f t="shared" si="3"/>
        <v>49.289891272723587</v>
      </c>
      <c r="L10" s="25">
        <f t="shared" si="4"/>
        <v>46.662327188940104</v>
      </c>
      <c r="M10" s="25">
        <f t="shared" si="5"/>
        <v>44.034763105156621</v>
      </c>
      <c r="N10" s="25">
        <f t="shared" si="6"/>
        <v>8.2066385082552546</v>
      </c>
      <c r="O10" s="25">
        <f t="shared" si="7"/>
        <v>3.5994028544979186</v>
      </c>
      <c r="P10" s="10">
        <f t="shared" si="8"/>
        <v>0</v>
      </c>
    </row>
    <row r="11" spans="1:16">
      <c r="A11" s="17">
        <v>2.3499557481612594E-2</v>
      </c>
      <c r="B11" s="22">
        <v>4</v>
      </c>
      <c r="C11" s="23">
        <f t="shared" si="0"/>
        <v>49.023499557481614</v>
      </c>
      <c r="D11" s="23">
        <f t="shared" si="1"/>
        <v>48.023499557481614</v>
      </c>
      <c r="E11" s="23">
        <v>45.024933622241889</v>
      </c>
      <c r="F11" s="23">
        <v>45.524933622241889</v>
      </c>
      <c r="G11" s="23">
        <f t="shared" si="2"/>
        <v>46.899216589861751</v>
      </c>
      <c r="H11" s="24">
        <f>C11-E11</f>
        <v>3.9985659352397249</v>
      </c>
      <c r="I11" s="18">
        <v>0.36999114963225199</v>
      </c>
      <c r="K11" s="25">
        <f t="shared" si="3"/>
        <v>49.289891272723587</v>
      </c>
      <c r="L11" s="25">
        <f t="shared" si="4"/>
        <v>46.662327188940104</v>
      </c>
      <c r="M11" s="25">
        <f t="shared" si="5"/>
        <v>44.034763105156621</v>
      </c>
      <c r="N11" s="25">
        <f t="shared" si="6"/>
        <v>8.2066385082552546</v>
      </c>
      <c r="O11" s="25">
        <f t="shared" si="7"/>
        <v>3.5994028544979186</v>
      </c>
      <c r="P11" s="10">
        <f t="shared" si="8"/>
        <v>0</v>
      </c>
    </row>
    <row r="12" spans="1:16">
      <c r="A12" s="17">
        <v>1.2135074922940763E-2</v>
      </c>
      <c r="B12" s="22">
        <v>5</v>
      </c>
      <c r="C12" s="23">
        <f t="shared" si="0"/>
        <v>49.012135074922938</v>
      </c>
      <c r="D12" s="23">
        <f t="shared" si="1"/>
        <v>48.012135074922938</v>
      </c>
      <c r="E12" s="23">
        <v>43.320261238441113</v>
      </c>
      <c r="F12" s="23">
        <v>43.820261238441113</v>
      </c>
      <c r="G12" s="23">
        <f t="shared" si="2"/>
        <v>46.041198156682022</v>
      </c>
      <c r="H12" s="24">
        <f t="shared" ref="H12:H37" si="9">D12-E12</f>
        <v>4.6918738364818253</v>
      </c>
      <c r="I12" s="18">
        <v>0.14270149845881527</v>
      </c>
      <c r="K12" s="25">
        <f t="shared" si="3"/>
        <v>49.289891272723587</v>
      </c>
      <c r="L12" s="25">
        <f t="shared" si="4"/>
        <v>46.662327188940104</v>
      </c>
      <c r="M12" s="25">
        <f t="shared" si="5"/>
        <v>44.034763105156621</v>
      </c>
      <c r="N12" s="25">
        <f t="shared" si="6"/>
        <v>8.2066385082552546</v>
      </c>
      <c r="O12" s="25">
        <f t="shared" si="7"/>
        <v>3.5994028544979186</v>
      </c>
      <c r="P12" s="10">
        <f t="shared" si="8"/>
        <v>0</v>
      </c>
    </row>
    <row r="13" spans="1:16">
      <c r="A13" s="17">
        <v>2.0331736198004088E-2</v>
      </c>
      <c r="B13" s="22">
        <v>6</v>
      </c>
      <c r="C13" s="23">
        <f t="shared" si="0"/>
        <v>49.020331736198003</v>
      </c>
      <c r="D13" s="23">
        <f t="shared" si="1"/>
        <v>48.020331736198003</v>
      </c>
      <c r="E13" s="23">
        <v>44.549760429700612</v>
      </c>
      <c r="F13" s="23">
        <v>45.049760429700612</v>
      </c>
      <c r="G13" s="23">
        <f t="shared" si="2"/>
        <v>46.660046082949307</v>
      </c>
      <c r="H13" s="24">
        <f t="shared" si="9"/>
        <v>3.4705713064973907</v>
      </c>
      <c r="I13" s="18">
        <v>0.30663472396008179</v>
      </c>
      <c r="K13" s="25">
        <f t="shared" si="3"/>
        <v>49.289891272723587</v>
      </c>
      <c r="L13" s="25">
        <f t="shared" si="4"/>
        <v>46.662327188940104</v>
      </c>
      <c r="M13" s="25">
        <f t="shared" si="5"/>
        <v>44.034763105156621</v>
      </c>
      <c r="N13" s="25">
        <f t="shared" si="6"/>
        <v>8.2066385082552546</v>
      </c>
      <c r="O13" s="25">
        <f t="shared" si="7"/>
        <v>3.5994028544979186</v>
      </c>
      <c r="P13" s="10">
        <f t="shared" si="8"/>
        <v>0</v>
      </c>
    </row>
    <row r="14" spans="1:16">
      <c r="A14" s="17">
        <v>1.9793389690847499E-2</v>
      </c>
      <c r="B14" s="22">
        <v>7</v>
      </c>
      <c r="C14" s="23">
        <f t="shared" si="0"/>
        <v>49.019793389690847</v>
      </c>
      <c r="D14" s="23">
        <f t="shared" si="1"/>
        <v>48.019793389690847</v>
      </c>
      <c r="E14" s="23">
        <v>44.469008453627126</v>
      </c>
      <c r="F14" s="23">
        <v>44.969008453627126</v>
      </c>
      <c r="G14" s="23">
        <f t="shared" si="2"/>
        <v>46.619400921658979</v>
      </c>
      <c r="H14" s="24">
        <f t="shared" si="9"/>
        <v>3.5507849360637209</v>
      </c>
      <c r="I14" s="18">
        <v>0.29586779381695</v>
      </c>
      <c r="K14" s="25">
        <f t="shared" si="3"/>
        <v>49.289891272723587</v>
      </c>
      <c r="L14" s="25">
        <f t="shared" si="4"/>
        <v>46.662327188940104</v>
      </c>
      <c r="M14" s="25">
        <f t="shared" si="5"/>
        <v>44.034763105156621</v>
      </c>
      <c r="N14" s="25">
        <f t="shared" si="6"/>
        <v>8.2066385082552546</v>
      </c>
      <c r="O14" s="25">
        <f t="shared" si="7"/>
        <v>3.5994028544979186</v>
      </c>
      <c r="P14" s="10">
        <f t="shared" si="8"/>
        <v>0</v>
      </c>
    </row>
    <row r="15" spans="1:16">
      <c r="A15" s="17">
        <v>2.2049317911313211E-2</v>
      </c>
      <c r="B15" s="22">
        <v>8</v>
      </c>
      <c r="C15" s="23">
        <f t="shared" si="0"/>
        <v>49.022049317911311</v>
      </c>
      <c r="D15" s="23">
        <f t="shared" si="1"/>
        <v>48.022049317911311</v>
      </c>
      <c r="E15" s="23">
        <v>44.80739768669698</v>
      </c>
      <c r="F15" s="23">
        <v>45.30739768669698</v>
      </c>
      <c r="G15" s="23">
        <f t="shared" si="2"/>
        <v>46.789723502304149</v>
      </c>
      <c r="H15" s="24">
        <f t="shared" si="9"/>
        <v>3.2146516312143305</v>
      </c>
      <c r="I15" s="18">
        <v>0.34098635822626422</v>
      </c>
      <c r="K15" s="25">
        <f t="shared" si="3"/>
        <v>49.289891272723587</v>
      </c>
      <c r="L15" s="25">
        <f t="shared" si="4"/>
        <v>46.662327188940104</v>
      </c>
      <c r="M15" s="25">
        <f t="shared" si="5"/>
        <v>44.034763105156621</v>
      </c>
      <c r="N15" s="25">
        <f t="shared" si="6"/>
        <v>8.2066385082552546</v>
      </c>
      <c r="O15" s="25">
        <f t="shared" si="7"/>
        <v>3.5994028544979186</v>
      </c>
      <c r="P15" s="10">
        <f t="shared" si="8"/>
        <v>0</v>
      </c>
    </row>
    <row r="16" spans="1:16">
      <c r="A16" s="17">
        <v>1.7398907437360757E-2</v>
      </c>
      <c r="B16" s="22">
        <v>9</v>
      </c>
      <c r="C16" s="23">
        <f t="shared" si="0"/>
        <v>49.017398907437361</v>
      </c>
      <c r="D16" s="23">
        <f t="shared" si="1"/>
        <v>48.017398907437361</v>
      </c>
      <c r="E16" s="23">
        <v>44.109836115604111</v>
      </c>
      <c r="F16" s="23">
        <v>44.609836115604111</v>
      </c>
      <c r="G16" s="23">
        <f t="shared" si="2"/>
        <v>46.438617511520739</v>
      </c>
      <c r="H16" s="24">
        <f t="shared" si="9"/>
        <v>3.9075627918332501</v>
      </c>
      <c r="I16" s="18">
        <v>0.24797814874721519</v>
      </c>
      <c r="K16" s="25">
        <f t="shared" si="3"/>
        <v>49.289891272723587</v>
      </c>
      <c r="L16" s="25">
        <f t="shared" si="4"/>
        <v>46.662327188940104</v>
      </c>
      <c r="M16" s="25">
        <f t="shared" si="5"/>
        <v>44.034763105156621</v>
      </c>
      <c r="N16" s="25">
        <f t="shared" si="6"/>
        <v>8.2066385082552546</v>
      </c>
      <c r="O16" s="25">
        <f t="shared" si="7"/>
        <v>3.5994028544979186</v>
      </c>
      <c r="P16" s="10">
        <f t="shared" si="8"/>
        <v>0</v>
      </c>
    </row>
    <row r="17" spans="1:16">
      <c r="A17" s="17">
        <v>1.5133213293862727E-2</v>
      </c>
      <c r="B17" s="22">
        <v>10</v>
      </c>
      <c r="C17" s="23">
        <f t="shared" si="0"/>
        <v>49.015133213293865</v>
      </c>
      <c r="D17" s="23">
        <f t="shared" si="1"/>
        <v>48.015133213293865</v>
      </c>
      <c r="E17" s="23">
        <v>43.769981994079409</v>
      </c>
      <c r="F17" s="23">
        <v>44.269981994079409</v>
      </c>
      <c r="G17" s="23">
        <f t="shared" si="2"/>
        <v>46.26755760368664</v>
      </c>
      <c r="H17" s="24">
        <f t="shared" si="9"/>
        <v>4.2451512192144563</v>
      </c>
      <c r="I17" s="18">
        <v>0.20266426587725456</v>
      </c>
      <c r="K17" s="25">
        <f t="shared" si="3"/>
        <v>49.289891272723587</v>
      </c>
      <c r="L17" s="25">
        <f t="shared" si="4"/>
        <v>46.662327188940104</v>
      </c>
      <c r="M17" s="25">
        <f t="shared" si="5"/>
        <v>44.034763105156621</v>
      </c>
      <c r="N17" s="25">
        <f t="shared" si="6"/>
        <v>8.2066385082552546</v>
      </c>
      <c r="O17" s="25">
        <f t="shared" si="7"/>
        <v>3.5994028544979186</v>
      </c>
      <c r="P17" s="10">
        <f t="shared" si="8"/>
        <v>0</v>
      </c>
    </row>
    <row r="18" spans="1:16">
      <c r="A18" s="17">
        <v>1.7483748893704031E-2</v>
      </c>
      <c r="B18" s="22">
        <v>11</v>
      </c>
      <c r="C18" s="23">
        <f t="shared" si="0"/>
        <v>49.017483748893703</v>
      </c>
      <c r="D18" s="23">
        <f t="shared" si="1"/>
        <v>48.017483748893703</v>
      </c>
      <c r="E18" s="23">
        <v>44.122562334055601</v>
      </c>
      <c r="F18" s="23">
        <v>44.622562334055601</v>
      </c>
      <c r="G18" s="23">
        <f t="shared" si="2"/>
        <v>46.445023041474656</v>
      </c>
      <c r="H18" s="24">
        <f t="shared" si="9"/>
        <v>3.8949214148381017</v>
      </c>
      <c r="I18" s="18">
        <v>0.24967497787408066</v>
      </c>
      <c r="K18" s="25">
        <f t="shared" si="3"/>
        <v>49.289891272723587</v>
      </c>
      <c r="L18" s="25">
        <f t="shared" si="4"/>
        <v>46.662327188940104</v>
      </c>
      <c r="M18" s="25">
        <f t="shared" si="5"/>
        <v>44.034763105156621</v>
      </c>
      <c r="N18" s="25">
        <f t="shared" si="6"/>
        <v>8.2066385082552546</v>
      </c>
      <c r="O18" s="25">
        <f t="shared" si="7"/>
        <v>3.5994028544979186</v>
      </c>
      <c r="P18" s="10">
        <f t="shared" si="8"/>
        <v>0</v>
      </c>
    </row>
    <row r="19" spans="1:16">
      <c r="A19" s="17">
        <v>2.6511734366893518E-2</v>
      </c>
      <c r="B19" s="22">
        <v>12</v>
      </c>
      <c r="C19" s="23">
        <f t="shared" si="0"/>
        <v>49.026511734366892</v>
      </c>
      <c r="D19" s="23">
        <f t="shared" si="1"/>
        <v>48.026511734366892</v>
      </c>
      <c r="E19" s="23">
        <v>45.476760155034029</v>
      </c>
      <c r="F19" s="23">
        <v>45.976760155034029</v>
      </c>
      <c r="G19" s="23">
        <f t="shared" si="2"/>
        <v>47.126635944700453</v>
      </c>
      <c r="H19" s="24">
        <f t="shared" si="9"/>
        <v>2.5497515793328631</v>
      </c>
      <c r="I19" s="18">
        <v>0.4302346873378704</v>
      </c>
      <c r="K19" s="25">
        <f t="shared" si="3"/>
        <v>49.289891272723587</v>
      </c>
      <c r="L19" s="25">
        <f t="shared" si="4"/>
        <v>46.662327188940104</v>
      </c>
      <c r="M19" s="25">
        <f t="shared" si="5"/>
        <v>44.034763105156621</v>
      </c>
      <c r="N19" s="25">
        <f t="shared" si="6"/>
        <v>8.2066385082552546</v>
      </c>
      <c r="O19" s="25">
        <f t="shared" si="7"/>
        <v>3.5994028544979186</v>
      </c>
      <c r="P19" s="10">
        <f t="shared" si="8"/>
        <v>0</v>
      </c>
    </row>
    <row r="20" spans="1:16">
      <c r="A20" s="17">
        <v>1.3454084902493363E-2</v>
      </c>
      <c r="B20" s="22">
        <v>13</v>
      </c>
      <c r="C20" s="23">
        <f t="shared" si="0"/>
        <v>49.013454084902492</v>
      </c>
      <c r="D20" s="23">
        <f t="shared" si="1"/>
        <v>48.013454084902492</v>
      </c>
      <c r="E20" s="23">
        <v>43.518112735374004</v>
      </c>
      <c r="F20" s="23">
        <v>44.018112735374004</v>
      </c>
      <c r="G20" s="23">
        <f t="shared" si="2"/>
        <v>46.140783410138255</v>
      </c>
      <c r="H20" s="24">
        <f t="shared" si="9"/>
        <v>4.4953413495284877</v>
      </c>
      <c r="I20" s="18">
        <v>0.16908169804986725</v>
      </c>
      <c r="K20" s="25">
        <f t="shared" si="3"/>
        <v>49.289891272723587</v>
      </c>
      <c r="L20" s="25">
        <f t="shared" si="4"/>
        <v>46.662327188940104</v>
      </c>
      <c r="M20" s="25">
        <f t="shared" si="5"/>
        <v>44.034763105156621</v>
      </c>
      <c r="N20" s="25">
        <f t="shared" si="6"/>
        <v>8.2066385082552546</v>
      </c>
      <c r="O20" s="25">
        <f t="shared" si="7"/>
        <v>3.5994028544979186</v>
      </c>
      <c r="P20" s="10">
        <f t="shared" si="8"/>
        <v>0</v>
      </c>
    </row>
    <row r="21" spans="1:16">
      <c r="A21" s="17">
        <v>1.5955992309335611E-2</v>
      </c>
      <c r="B21" s="22">
        <v>14</v>
      </c>
      <c r="C21" s="23">
        <f t="shared" si="0"/>
        <v>49.015955992309337</v>
      </c>
      <c r="D21" s="23">
        <f t="shared" si="1"/>
        <v>48.015955992309337</v>
      </c>
      <c r="E21" s="23">
        <v>43.893398846400345</v>
      </c>
      <c r="F21" s="23">
        <v>44.393398846400345</v>
      </c>
      <c r="G21" s="23">
        <f t="shared" si="2"/>
        <v>46.329677419354844</v>
      </c>
      <c r="H21" s="24">
        <f>D21-E21</f>
        <v>4.122557145908992</v>
      </c>
      <c r="I21" s="18">
        <v>0.21911984618671224</v>
      </c>
      <c r="K21" s="25">
        <f t="shared" si="3"/>
        <v>49.289891272723587</v>
      </c>
      <c r="L21" s="25">
        <f t="shared" si="4"/>
        <v>46.662327188940104</v>
      </c>
      <c r="M21" s="25">
        <f t="shared" si="5"/>
        <v>44.034763105156621</v>
      </c>
      <c r="N21" s="25">
        <f t="shared" si="6"/>
        <v>8.2066385082552546</v>
      </c>
      <c r="O21" s="25">
        <f t="shared" si="7"/>
        <v>3.5994028544979186</v>
      </c>
      <c r="P21" s="10">
        <f t="shared" si="8"/>
        <v>0</v>
      </c>
    </row>
    <row r="22" spans="1:16">
      <c r="A22" s="17">
        <v>2.2870876186407055E-2</v>
      </c>
      <c r="B22" s="22">
        <v>15</v>
      </c>
      <c r="C22" s="23">
        <f t="shared" si="0"/>
        <v>49.02287087618641</v>
      </c>
      <c r="D22" s="23">
        <f t="shared" si="1"/>
        <v>48.02287087618641</v>
      </c>
      <c r="E22" s="23">
        <v>44.93063142796106</v>
      </c>
      <c r="F22" s="23">
        <v>45.43063142796106</v>
      </c>
      <c r="G22" s="23">
        <f t="shared" si="2"/>
        <v>46.851751152073739</v>
      </c>
      <c r="H22" s="24">
        <f t="shared" si="9"/>
        <v>3.0922394482253495</v>
      </c>
      <c r="I22" s="18">
        <v>0.35741752372814117</v>
      </c>
      <c r="K22" s="25">
        <f t="shared" si="3"/>
        <v>49.289891272723587</v>
      </c>
      <c r="L22" s="25">
        <f t="shared" si="4"/>
        <v>46.662327188940104</v>
      </c>
      <c r="M22" s="25">
        <f t="shared" si="5"/>
        <v>44.034763105156621</v>
      </c>
      <c r="N22" s="25">
        <f t="shared" si="6"/>
        <v>8.2066385082552546</v>
      </c>
      <c r="O22" s="25">
        <f t="shared" si="7"/>
        <v>3.5994028544979186</v>
      </c>
      <c r="P22" s="10">
        <f t="shared" si="8"/>
        <v>0</v>
      </c>
    </row>
    <row r="23" spans="1:16">
      <c r="A23" s="17">
        <v>2.5793328653828544E-2</v>
      </c>
      <c r="B23" s="22">
        <v>16</v>
      </c>
      <c r="C23" s="23">
        <f t="shared" si="0"/>
        <v>49.025793328653826</v>
      </c>
      <c r="D23" s="23">
        <f t="shared" si="1"/>
        <v>48.025793328653826</v>
      </c>
      <c r="E23" s="23">
        <v>45.368999298074286</v>
      </c>
      <c r="F23" s="23">
        <v>45.868999298074286</v>
      </c>
      <c r="G23" s="23">
        <f t="shared" si="2"/>
        <v>47.072396313364052</v>
      </c>
      <c r="H23" s="24">
        <f t="shared" si="9"/>
        <v>2.6567940305795403</v>
      </c>
      <c r="I23" s="18">
        <v>0.41586657307657093</v>
      </c>
      <c r="K23" s="25">
        <f t="shared" si="3"/>
        <v>49.289891272723587</v>
      </c>
      <c r="L23" s="25">
        <f t="shared" si="4"/>
        <v>46.662327188940104</v>
      </c>
      <c r="M23" s="25">
        <f t="shared" si="5"/>
        <v>44.034763105156621</v>
      </c>
      <c r="N23" s="25">
        <f t="shared" si="6"/>
        <v>8.2066385082552546</v>
      </c>
      <c r="O23" s="25">
        <f t="shared" si="7"/>
        <v>3.5994028544979186</v>
      </c>
      <c r="P23" s="10">
        <f t="shared" si="8"/>
        <v>0</v>
      </c>
    </row>
    <row r="24" spans="1:16">
      <c r="A24" s="17">
        <v>2.9756462294381537E-2</v>
      </c>
      <c r="B24" s="22">
        <v>17</v>
      </c>
      <c r="C24" s="23">
        <f t="shared" si="0"/>
        <v>49.02975646229438</v>
      </c>
      <c r="D24" s="23">
        <f t="shared" si="1"/>
        <v>48.02975646229438</v>
      </c>
      <c r="E24" s="23">
        <v>45.963469344157232</v>
      </c>
      <c r="F24" s="23">
        <v>46.463469344157232</v>
      </c>
      <c r="G24" s="23">
        <f t="shared" si="2"/>
        <v>47.371612903225802</v>
      </c>
      <c r="H24" s="24">
        <f t="shared" si="9"/>
        <v>2.0662871181371472</v>
      </c>
      <c r="I24" s="18">
        <v>0.49512924588763085</v>
      </c>
      <c r="K24" s="25">
        <f t="shared" si="3"/>
        <v>49.289891272723587</v>
      </c>
      <c r="L24" s="25">
        <f t="shared" si="4"/>
        <v>46.662327188940104</v>
      </c>
      <c r="M24" s="25">
        <f t="shared" si="5"/>
        <v>44.034763105156621</v>
      </c>
      <c r="N24" s="25">
        <f t="shared" si="6"/>
        <v>8.2066385082552546</v>
      </c>
      <c r="O24" s="25">
        <f t="shared" si="7"/>
        <v>3.5994028544979186</v>
      </c>
      <c r="P24" s="10">
        <f t="shared" si="8"/>
        <v>0</v>
      </c>
    </row>
    <row r="25" spans="1:16">
      <c r="A25" s="17">
        <v>2.6011841181676681E-2</v>
      </c>
      <c r="B25" s="22">
        <v>18</v>
      </c>
      <c r="C25" s="23">
        <f t="shared" si="0"/>
        <v>49.026011841181678</v>
      </c>
      <c r="D25" s="23">
        <f t="shared" si="1"/>
        <v>48.026011841181678</v>
      </c>
      <c r="E25" s="23">
        <v>45.401776177251506</v>
      </c>
      <c r="F25" s="23">
        <v>45.901776177251506</v>
      </c>
      <c r="G25" s="23">
        <f t="shared" si="2"/>
        <v>47.088894009216588</v>
      </c>
      <c r="H25" s="24">
        <f t="shared" si="9"/>
        <v>2.6242356639301718</v>
      </c>
      <c r="I25" s="18">
        <v>0.42023682363353376</v>
      </c>
      <c r="K25" s="25">
        <f t="shared" si="3"/>
        <v>49.289891272723587</v>
      </c>
      <c r="L25" s="25">
        <f t="shared" si="4"/>
        <v>46.662327188940104</v>
      </c>
      <c r="M25" s="25">
        <f t="shared" si="5"/>
        <v>44.034763105156621</v>
      </c>
      <c r="N25" s="25">
        <f t="shared" si="6"/>
        <v>8.2066385082552546</v>
      </c>
      <c r="O25" s="25">
        <f t="shared" si="7"/>
        <v>3.5994028544979186</v>
      </c>
      <c r="P25" s="10">
        <f t="shared" si="8"/>
        <v>0</v>
      </c>
    </row>
    <row r="26" spans="1:16">
      <c r="A26" s="17">
        <v>1.9284951322977383E-2</v>
      </c>
      <c r="B26" s="22">
        <v>19</v>
      </c>
      <c r="C26" s="23">
        <f t="shared" si="0"/>
        <v>49.01928495132298</v>
      </c>
      <c r="D26" s="23">
        <f t="shared" si="1"/>
        <v>48.01928495132298</v>
      </c>
      <c r="E26" s="23">
        <v>44.392742698446611</v>
      </c>
      <c r="F26" s="23">
        <v>44.892742698446611</v>
      </c>
      <c r="G26" s="23">
        <f t="shared" si="2"/>
        <v>46.581013824884792</v>
      </c>
      <c r="H26" s="24">
        <f t="shared" si="9"/>
        <v>3.6265422528763693</v>
      </c>
      <c r="I26" s="18">
        <v>0.2856990264595477</v>
      </c>
      <c r="K26" s="25">
        <f t="shared" si="3"/>
        <v>49.289891272723587</v>
      </c>
      <c r="L26" s="25">
        <f t="shared" si="4"/>
        <v>46.662327188940104</v>
      </c>
      <c r="M26" s="25">
        <f t="shared" si="5"/>
        <v>44.034763105156621</v>
      </c>
      <c r="N26" s="25">
        <f t="shared" si="6"/>
        <v>8.2066385082552546</v>
      </c>
      <c r="O26" s="25">
        <f t="shared" si="7"/>
        <v>3.5994028544979186</v>
      </c>
      <c r="P26" s="10">
        <f t="shared" si="8"/>
        <v>0</v>
      </c>
    </row>
    <row r="27" spans="1:16">
      <c r="A27" s="17">
        <v>2.0779747917111728E-2</v>
      </c>
      <c r="B27" s="22">
        <v>20</v>
      </c>
      <c r="C27" s="23">
        <f t="shared" si="0"/>
        <v>49.020779747917111</v>
      </c>
      <c r="D27" s="23">
        <f t="shared" si="1"/>
        <v>48.020779747917111</v>
      </c>
      <c r="E27" s="23">
        <v>44.616962187566756</v>
      </c>
      <c r="F27" s="23">
        <v>45.116962187566756</v>
      </c>
      <c r="G27" s="23">
        <f t="shared" si="2"/>
        <v>46.69387096774193</v>
      </c>
      <c r="H27" s="24">
        <f t="shared" si="9"/>
        <v>3.4038175603503547</v>
      </c>
      <c r="I27" s="18">
        <v>0.31559495834223461</v>
      </c>
      <c r="K27" s="25">
        <f t="shared" si="3"/>
        <v>49.289891272723587</v>
      </c>
      <c r="L27" s="25">
        <f t="shared" si="4"/>
        <v>46.662327188940104</v>
      </c>
      <c r="M27" s="25">
        <f t="shared" si="5"/>
        <v>44.034763105156621</v>
      </c>
      <c r="N27" s="25">
        <f t="shared" si="6"/>
        <v>8.2066385082552546</v>
      </c>
      <c r="O27" s="25">
        <f t="shared" si="7"/>
        <v>3.5994028544979186</v>
      </c>
      <c r="P27" s="10">
        <f t="shared" si="8"/>
        <v>0</v>
      </c>
    </row>
    <row r="28" spans="1:16">
      <c r="A28" s="17">
        <v>2.2510147404400768E-2</v>
      </c>
      <c r="B28" s="22">
        <v>21</v>
      </c>
      <c r="C28" s="23">
        <f t="shared" si="0"/>
        <v>49.022510147404404</v>
      </c>
      <c r="D28" s="23">
        <f t="shared" si="1"/>
        <v>48.022510147404404</v>
      </c>
      <c r="E28" s="23">
        <v>44.876522110660119</v>
      </c>
      <c r="F28" s="23">
        <v>45.376522110660119</v>
      </c>
      <c r="G28" s="23">
        <f t="shared" si="2"/>
        <v>46.824516129032261</v>
      </c>
      <c r="H28" s="24">
        <f t="shared" si="9"/>
        <v>3.145988036744285</v>
      </c>
      <c r="I28" s="18">
        <v>0.35020294808801544</v>
      </c>
      <c r="K28" s="25">
        <f t="shared" si="3"/>
        <v>49.289891272723587</v>
      </c>
      <c r="L28" s="25">
        <f t="shared" si="4"/>
        <v>46.662327188940104</v>
      </c>
      <c r="M28" s="25">
        <f t="shared" si="5"/>
        <v>44.034763105156621</v>
      </c>
      <c r="N28" s="25">
        <f t="shared" si="6"/>
        <v>8.2066385082552546</v>
      </c>
      <c r="O28" s="25">
        <f t="shared" si="7"/>
        <v>3.5994028544979186</v>
      </c>
      <c r="P28" s="10">
        <f t="shared" si="8"/>
        <v>0</v>
      </c>
    </row>
    <row r="29" spans="1:16">
      <c r="A29" s="17">
        <v>1.4999542222357859E-2</v>
      </c>
      <c r="B29" s="22">
        <v>22</v>
      </c>
      <c r="C29" s="23">
        <f t="shared" si="0"/>
        <v>49.014999542222355</v>
      </c>
      <c r="D29" s="23">
        <f t="shared" si="1"/>
        <v>48.014999542222355</v>
      </c>
      <c r="E29" s="23">
        <v>43.749931333353679</v>
      </c>
      <c r="F29" s="23">
        <v>44.249931333353679</v>
      </c>
      <c r="G29" s="23">
        <f t="shared" si="2"/>
        <v>46.257465437788021</v>
      </c>
      <c r="H29" s="24">
        <f t="shared" si="9"/>
        <v>4.2650682088686764</v>
      </c>
      <c r="I29" s="18">
        <v>0.1999908444471572</v>
      </c>
      <c r="K29" s="25">
        <f t="shared" si="3"/>
        <v>49.289891272723587</v>
      </c>
      <c r="L29" s="25">
        <f t="shared" si="4"/>
        <v>46.662327188940104</v>
      </c>
      <c r="M29" s="25">
        <f t="shared" si="5"/>
        <v>44.034763105156621</v>
      </c>
      <c r="N29" s="25">
        <f t="shared" si="6"/>
        <v>8.2066385082552546</v>
      </c>
      <c r="O29" s="25">
        <f t="shared" si="7"/>
        <v>3.5994028544979186</v>
      </c>
      <c r="P29" s="10">
        <f t="shared" si="8"/>
        <v>0</v>
      </c>
    </row>
    <row r="30" spans="1:16">
      <c r="A30" s="17">
        <v>2.4078188421277503E-2</v>
      </c>
      <c r="B30" s="22">
        <v>23</v>
      </c>
      <c r="C30" s="23">
        <f t="shared" si="0"/>
        <v>49.024078188421278</v>
      </c>
      <c r="D30" s="23">
        <f t="shared" si="1"/>
        <v>48.024078188421278</v>
      </c>
      <c r="E30" s="23">
        <v>45.111728263191623</v>
      </c>
      <c r="F30" s="23">
        <v>45.611728263191623</v>
      </c>
      <c r="G30" s="23">
        <f t="shared" si="2"/>
        <v>46.942903225806454</v>
      </c>
      <c r="H30" s="24">
        <f t="shared" si="9"/>
        <v>2.9123499252296554</v>
      </c>
      <c r="I30" s="18">
        <v>0.38156376842555007</v>
      </c>
      <c r="K30" s="25">
        <f t="shared" si="3"/>
        <v>49.289891272723587</v>
      </c>
      <c r="L30" s="25">
        <f t="shared" si="4"/>
        <v>46.662327188940104</v>
      </c>
      <c r="M30" s="25">
        <f t="shared" si="5"/>
        <v>44.034763105156621</v>
      </c>
      <c r="N30" s="25">
        <f t="shared" si="6"/>
        <v>8.2066385082552546</v>
      </c>
      <c r="O30" s="25">
        <f t="shared" si="7"/>
        <v>3.5994028544979186</v>
      </c>
      <c r="P30" s="10">
        <f t="shared" si="8"/>
        <v>0</v>
      </c>
    </row>
    <row r="31" spans="1:16">
      <c r="A31" s="17">
        <v>2.4325998718222601E-2</v>
      </c>
      <c r="B31" s="22">
        <v>24</v>
      </c>
      <c r="C31" s="23">
        <f t="shared" si="0"/>
        <v>49.024325998718226</v>
      </c>
      <c r="D31" s="23">
        <f t="shared" si="1"/>
        <v>48.024325998718226</v>
      </c>
      <c r="E31" s="23">
        <v>45.148899807733393</v>
      </c>
      <c r="F31" s="23">
        <v>45.648899807733393</v>
      </c>
      <c r="G31" s="23">
        <f t="shared" si="2"/>
        <v>46.961612903225806</v>
      </c>
      <c r="H31" s="24">
        <f t="shared" si="9"/>
        <v>2.8754261909848324</v>
      </c>
      <c r="I31" s="18">
        <v>0.38651997436445207</v>
      </c>
      <c r="K31" s="25">
        <f t="shared" si="3"/>
        <v>49.289891272723587</v>
      </c>
      <c r="L31" s="25">
        <f t="shared" si="4"/>
        <v>46.662327188940104</v>
      </c>
      <c r="M31" s="25">
        <f t="shared" si="5"/>
        <v>44.034763105156621</v>
      </c>
      <c r="N31" s="25">
        <f t="shared" si="6"/>
        <v>8.2066385082552546</v>
      </c>
      <c r="O31" s="25">
        <f t="shared" si="7"/>
        <v>3.5994028544979186</v>
      </c>
      <c r="P31" s="10">
        <f t="shared" si="8"/>
        <v>0</v>
      </c>
    </row>
    <row r="32" spans="1:16">
      <c r="A32" s="17">
        <v>2.9590441602832113E-2</v>
      </c>
      <c r="B32" s="22">
        <v>25</v>
      </c>
      <c r="C32" s="23">
        <f t="shared" si="0"/>
        <v>49.029590441602835</v>
      </c>
      <c r="D32" s="23">
        <f t="shared" si="1"/>
        <v>48.029590441602835</v>
      </c>
      <c r="E32" s="23">
        <v>45.938566240424819</v>
      </c>
      <c r="F32" s="23">
        <v>46.438566240424819</v>
      </c>
      <c r="G32" s="23">
        <f t="shared" si="2"/>
        <v>47.359078341013827</v>
      </c>
      <c r="H32" s="24">
        <f t="shared" si="9"/>
        <v>2.0910242011780156</v>
      </c>
      <c r="I32" s="18">
        <v>0.49180883205664239</v>
      </c>
      <c r="K32" s="25">
        <f t="shared" si="3"/>
        <v>49.289891272723587</v>
      </c>
      <c r="L32" s="25">
        <f t="shared" si="4"/>
        <v>46.662327188940104</v>
      </c>
      <c r="M32" s="25">
        <f t="shared" si="5"/>
        <v>44.034763105156621</v>
      </c>
      <c r="N32" s="25">
        <f t="shared" si="6"/>
        <v>8.2066385082552546</v>
      </c>
      <c r="O32" s="25">
        <f t="shared" si="7"/>
        <v>3.5994028544979186</v>
      </c>
      <c r="P32" s="10">
        <f t="shared" si="8"/>
        <v>0</v>
      </c>
    </row>
    <row r="33" spans="1:16">
      <c r="A33" s="17">
        <v>1.6580401013214514E-2</v>
      </c>
      <c r="B33" s="22">
        <v>26</v>
      </c>
      <c r="C33" s="23">
        <f t="shared" si="0"/>
        <v>49.016580401013215</v>
      </c>
      <c r="D33" s="23">
        <f t="shared" si="1"/>
        <v>48.016580401013215</v>
      </c>
      <c r="E33" s="23">
        <v>43.987060151982178</v>
      </c>
      <c r="F33" s="23">
        <v>44.487060151982178</v>
      </c>
      <c r="G33" s="23">
        <f t="shared" si="2"/>
        <v>46.376820276497696</v>
      </c>
      <c r="H33" s="24">
        <f t="shared" si="9"/>
        <v>4.0295202490310373</v>
      </c>
      <c r="I33" s="18">
        <v>0.23160802026429028</v>
      </c>
      <c r="K33" s="25">
        <f t="shared" si="3"/>
        <v>49.289891272723587</v>
      </c>
      <c r="L33" s="25">
        <f t="shared" si="4"/>
        <v>46.662327188940104</v>
      </c>
      <c r="M33" s="25">
        <f t="shared" si="5"/>
        <v>44.034763105156621</v>
      </c>
      <c r="N33" s="25">
        <f t="shared" si="6"/>
        <v>8.2066385082552546</v>
      </c>
      <c r="O33" s="25">
        <f t="shared" si="7"/>
        <v>3.5994028544979186</v>
      </c>
      <c r="P33" s="10">
        <f t="shared" si="8"/>
        <v>0</v>
      </c>
    </row>
    <row r="34" spans="1:16">
      <c r="A34" s="17">
        <v>1.8908963286233101E-2</v>
      </c>
      <c r="B34" s="22">
        <v>27</v>
      </c>
      <c r="C34" s="23">
        <f t="shared" si="0"/>
        <v>49.018908963286236</v>
      </c>
      <c r="D34" s="23">
        <f t="shared" si="1"/>
        <v>48.018908963286236</v>
      </c>
      <c r="E34" s="23">
        <v>44.336344492934963</v>
      </c>
      <c r="F34" s="23">
        <v>44.836344492934963</v>
      </c>
      <c r="G34" s="23">
        <f t="shared" si="2"/>
        <v>46.552626728110596</v>
      </c>
      <c r="H34" s="24">
        <f t="shared" si="9"/>
        <v>3.6825644703512737</v>
      </c>
      <c r="I34" s="18">
        <v>0.27817926572466201</v>
      </c>
      <c r="K34" s="25">
        <f t="shared" si="3"/>
        <v>49.289891272723587</v>
      </c>
      <c r="L34" s="25">
        <f t="shared" si="4"/>
        <v>46.662327188940104</v>
      </c>
      <c r="M34" s="25">
        <f t="shared" si="5"/>
        <v>44.034763105156621</v>
      </c>
      <c r="N34" s="25">
        <f t="shared" si="6"/>
        <v>8.2066385082552546</v>
      </c>
      <c r="O34" s="25">
        <f t="shared" si="7"/>
        <v>3.5994028544979186</v>
      </c>
      <c r="P34" s="10">
        <f t="shared" si="8"/>
        <v>0</v>
      </c>
    </row>
    <row r="35" spans="1:16">
      <c r="A35" s="17">
        <v>2.4167912839136933E-2</v>
      </c>
      <c r="B35" s="22">
        <v>28</v>
      </c>
      <c r="C35" s="23">
        <f t="shared" si="0"/>
        <v>49.02416791283914</v>
      </c>
      <c r="D35" s="23">
        <f t="shared" si="1"/>
        <v>48.02416791283914</v>
      </c>
      <c r="E35" s="23">
        <v>45.125186925870537</v>
      </c>
      <c r="F35" s="23">
        <v>45.625186925870537</v>
      </c>
      <c r="G35" s="23">
        <f t="shared" si="2"/>
        <v>46.949677419354842</v>
      </c>
      <c r="H35" s="24">
        <f t="shared" si="9"/>
        <v>2.8989809869686027</v>
      </c>
      <c r="I35" s="18">
        <v>0.38335825678273872</v>
      </c>
      <c r="K35" s="25">
        <f t="shared" si="3"/>
        <v>49.289891272723587</v>
      </c>
      <c r="L35" s="25">
        <f t="shared" si="4"/>
        <v>46.662327188940104</v>
      </c>
      <c r="M35" s="25">
        <f t="shared" si="5"/>
        <v>44.034763105156621</v>
      </c>
      <c r="N35" s="25">
        <f t="shared" si="6"/>
        <v>8.2066385082552546</v>
      </c>
      <c r="O35" s="25">
        <f t="shared" si="7"/>
        <v>3.5994028544979186</v>
      </c>
      <c r="P35" s="10">
        <f t="shared" si="8"/>
        <v>0</v>
      </c>
    </row>
    <row r="36" spans="1:16">
      <c r="A36" s="17">
        <v>2.4797814874721515E-2</v>
      </c>
      <c r="B36" s="22">
        <v>29</v>
      </c>
      <c r="C36" s="23">
        <f t="shared" si="0"/>
        <v>49.024797814874724</v>
      </c>
      <c r="D36" s="23">
        <f t="shared" si="1"/>
        <v>48.024797814874724</v>
      </c>
      <c r="E36" s="23">
        <v>45.219672231208229</v>
      </c>
      <c r="F36" s="23">
        <v>45.719672231208229</v>
      </c>
      <c r="G36" s="23">
        <f t="shared" si="2"/>
        <v>46.997235023041476</v>
      </c>
      <c r="H36" s="24">
        <f t="shared" si="9"/>
        <v>2.805125583666495</v>
      </c>
      <c r="I36" s="18">
        <v>0.3959562974944304</v>
      </c>
      <c r="K36" s="25">
        <f t="shared" si="3"/>
        <v>49.289891272723587</v>
      </c>
      <c r="L36" s="25">
        <f t="shared" si="4"/>
        <v>46.662327188940104</v>
      </c>
      <c r="M36" s="25">
        <f t="shared" si="5"/>
        <v>44.034763105156621</v>
      </c>
      <c r="N36" s="25">
        <f t="shared" si="6"/>
        <v>8.2066385082552546</v>
      </c>
      <c r="O36" s="25">
        <f t="shared" si="7"/>
        <v>3.5994028544979186</v>
      </c>
      <c r="P36" s="10">
        <f t="shared" si="8"/>
        <v>0</v>
      </c>
    </row>
    <row r="37" spans="1:16">
      <c r="A37" s="17">
        <v>1.3455305642872402E-2</v>
      </c>
      <c r="B37" s="22">
        <v>30</v>
      </c>
      <c r="C37" s="23">
        <f t="shared" si="0"/>
        <v>49.013455305642871</v>
      </c>
      <c r="D37" s="23">
        <f t="shared" si="1"/>
        <v>48.013455305642871</v>
      </c>
      <c r="E37" s="23">
        <v>43.51829584643086</v>
      </c>
      <c r="F37" s="23">
        <v>44.01829584643086</v>
      </c>
      <c r="G37" s="23">
        <f t="shared" si="2"/>
        <v>46.140875576036862</v>
      </c>
      <c r="H37" s="24">
        <f t="shared" si="9"/>
        <v>4.4951594592120117</v>
      </c>
      <c r="I37" s="18">
        <v>0.16910611285744803</v>
      </c>
      <c r="K37" s="25">
        <f t="shared" si="3"/>
        <v>49.289891272723587</v>
      </c>
      <c r="L37" s="25">
        <f t="shared" si="4"/>
        <v>46.662327188940104</v>
      </c>
      <c r="M37" s="25">
        <f t="shared" si="5"/>
        <v>44.034763105156621</v>
      </c>
      <c r="N37" s="25">
        <f t="shared" si="6"/>
        <v>8.2066385082552546</v>
      </c>
      <c r="O37" s="25">
        <f t="shared" si="7"/>
        <v>3.5994028544979186</v>
      </c>
      <c r="P37" s="10">
        <f t="shared" si="8"/>
        <v>0</v>
      </c>
    </row>
    <row r="38" spans="1:16">
      <c r="G38" s="25">
        <f>AVERAGE(G8:G37)</f>
        <v>46.662327188940104</v>
      </c>
      <c r="H38" s="25">
        <f>AVERAGE(H8:H37)</f>
        <v>3.5994028544979186</v>
      </c>
      <c r="K38" s="10"/>
      <c r="L38" s="10"/>
      <c r="M38" s="10"/>
    </row>
    <row r="39" spans="1:16">
      <c r="D39" s="7" t="s">
        <v>77</v>
      </c>
      <c r="E39" s="15">
        <v>0.73</v>
      </c>
      <c r="F39" s="7" t="s">
        <v>69</v>
      </c>
      <c r="G39" s="25">
        <f>G38+(E39*H38)</f>
        <v>49.289891272723587</v>
      </c>
      <c r="H39" s="25">
        <f>E41*H38</f>
        <v>8.2066385082552546</v>
      </c>
    </row>
    <row r="40" spans="1:16">
      <c r="D40" s="7" t="s">
        <v>78</v>
      </c>
      <c r="E40" s="25">
        <v>0</v>
      </c>
      <c r="F40" s="7" t="s">
        <v>70</v>
      </c>
      <c r="G40" s="25">
        <f>G38</f>
        <v>46.662327188940104</v>
      </c>
      <c r="H40" s="25">
        <f>H38</f>
        <v>3.5994028544979186</v>
      </c>
    </row>
    <row r="41" spans="1:16">
      <c r="D41" s="7" t="s">
        <v>79</v>
      </c>
      <c r="E41" s="15">
        <v>2.2799999999999998</v>
      </c>
      <c r="F41" s="7" t="s">
        <v>71</v>
      </c>
      <c r="G41" s="25">
        <f>G38-(E39*H38)</f>
        <v>44.034763105156621</v>
      </c>
      <c r="H41" s="10">
        <f>E40*H38</f>
        <v>0</v>
      </c>
    </row>
    <row r="43" spans="1:16">
      <c r="D43" s="7" t="s">
        <v>271</v>
      </c>
      <c r="E43" s="144">
        <f>(15+1)/(30+30)</f>
        <v>0.26666666666666666</v>
      </c>
    </row>
    <row r="48" spans="1:16" ht="20">
      <c r="B48" s="26" t="s">
        <v>80</v>
      </c>
    </row>
    <row r="49" spans="2:26" ht="20">
      <c r="B49" s="112" t="s">
        <v>81</v>
      </c>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2:26" ht="20">
      <c r="B50" s="112" t="s">
        <v>270</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2:26" ht="20">
      <c r="B51" s="159" t="s">
        <v>82</v>
      </c>
      <c r="C51" s="160"/>
      <c r="D51" s="160"/>
      <c r="E51" s="160"/>
      <c r="F51" s="160"/>
      <c r="G51" s="160"/>
      <c r="H51" s="160"/>
      <c r="I51" s="160"/>
      <c r="J51" s="160"/>
      <c r="K51" s="160"/>
      <c r="L51" s="160"/>
      <c r="M51" s="160"/>
      <c r="N51" s="160"/>
      <c r="O51" s="160"/>
      <c r="P51" s="160"/>
      <c r="Q51" s="160"/>
      <c r="R51" s="160"/>
      <c r="S51" s="160"/>
      <c r="T51" s="160"/>
      <c r="U51" s="160"/>
      <c r="V51" s="160"/>
      <c r="W51" s="160"/>
      <c r="X51" s="160"/>
    </row>
  </sheetData>
  <mergeCells count="4">
    <mergeCell ref="B51:X51"/>
    <mergeCell ref="C6:F6"/>
    <mergeCell ref="C7:D7"/>
    <mergeCell ref="E7:F7"/>
  </mergeCells>
  <pageMargins left="0.75" right="0.75" top="1" bottom="1" header="0.5" footer="0.5"/>
  <pageSetup paperSize="0"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3"/>
  <sheetViews>
    <sheetView zoomScale="125" zoomScaleNormal="125" zoomScalePageLayoutView="125" workbookViewId="0">
      <selection activeCell="H41" sqref="H41"/>
    </sheetView>
  </sheetViews>
  <sheetFormatPr baseColWidth="10" defaultColWidth="8.83203125" defaultRowHeight="13"/>
  <cols>
    <col min="1" max="16384" width="8.83203125" style="2"/>
  </cols>
  <sheetData>
    <row r="1" spans="1:10">
      <c r="A1" s="27" t="s">
        <v>17</v>
      </c>
    </row>
    <row r="2" spans="1:10">
      <c r="A2" s="2" t="s">
        <v>83</v>
      </c>
    </row>
    <row r="3" spans="1:10">
      <c r="A3" s="2" t="s">
        <v>84</v>
      </c>
    </row>
    <row r="7" spans="1:10">
      <c r="A7" s="27" t="s">
        <v>18</v>
      </c>
    </row>
    <row r="8" spans="1:10">
      <c r="E8" s="162" t="s">
        <v>85</v>
      </c>
      <c r="F8" s="162"/>
      <c r="G8" s="162"/>
      <c r="H8" s="162" t="s">
        <v>86</v>
      </c>
      <c r="I8" s="162"/>
      <c r="J8" s="162"/>
    </row>
    <row r="9" spans="1:10">
      <c r="A9" s="5" t="s">
        <v>23</v>
      </c>
      <c r="B9" s="5" t="s">
        <v>24</v>
      </c>
      <c r="C9" s="5" t="s">
        <v>25</v>
      </c>
      <c r="D9" s="5" t="s">
        <v>26</v>
      </c>
      <c r="E9" s="5" t="s">
        <v>27</v>
      </c>
      <c r="F9" s="5" t="s">
        <v>28</v>
      </c>
      <c r="G9" s="5" t="s">
        <v>87</v>
      </c>
      <c r="H9" s="5" t="s">
        <v>27</v>
      </c>
      <c r="I9" s="5" t="s">
        <v>28</v>
      </c>
      <c r="J9" s="5" t="s">
        <v>87</v>
      </c>
    </row>
    <row r="10" spans="1:10">
      <c r="A10" s="1">
        <v>1</v>
      </c>
      <c r="B10" s="1">
        <v>50</v>
      </c>
      <c r="C10" s="1">
        <v>155</v>
      </c>
      <c r="D10" s="3">
        <f>+C10/B10</f>
        <v>3.1</v>
      </c>
      <c r="E10" s="3">
        <f t="shared" ref="E10:E31" si="0">+$E$34+(3*(SQRT($E$34/$B$34)))</f>
        <v>3.9192759904443157</v>
      </c>
      <c r="F10" s="3">
        <f t="shared" ref="F10:F31" si="1">+$E$34-(3*(SQRT($E$34/$B$34)))</f>
        <v>2.4098149186465934</v>
      </c>
      <c r="G10" s="3">
        <f t="shared" ref="G10:G31" si="2">$E$34</f>
        <v>3.1645454545454546</v>
      </c>
      <c r="H10" s="3">
        <f>$E$35-(3*(SQRT($E$35)))</f>
        <v>120.49074593232967</v>
      </c>
      <c r="I10" s="3">
        <f>$E$35+(3*(SQRT($E$35)))</f>
        <v>195.96379952221577</v>
      </c>
      <c r="J10" s="28">
        <f>$E$35</f>
        <v>158.22727272727272</v>
      </c>
    </row>
    <row r="11" spans="1:10">
      <c r="A11" s="1">
        <f>1+A10</f>
        <v>2</v>
      </c>
      <c r="B11" s="1">
        <v>50</v>
      </c>
      <c r="C11" s="1">
        <v>181</v>
      </c>
      <c r="D11" s="3">
        <f t="shared" ref="D11:D31" si="3">+C11/B11</f>
        <v>3.62</v>
      </c>
      <c r="E11" s="3">
        <f t="shared" si="0"/>
        <v>3.9192759904443157</v>
      </c>
      <c r="F11" s="3">
        <f t="shared" si="1"/>
        <v>2.4098149186465934</v>
      </c>
      <c r="G11" s="3">
        <f t="shared" si="2"/>
        <v>3.1645454545454546</v>
      </c>
      <c r="H11" s="3">
        <f t="shared" ref="H11:H31" si="4">$E$35-(3*(SQRT($E$35)))</f>
        <v>120.49074593232967</v>
      </c>
      <c r="I11" s="3">
        <f t="shared" ref="I11:I31" si="5">$E$35+(3*(SQRT($E$35)))</f>
        <v>195.96379952221577</v>
      </c>
      <c r="J11" s="28">
        <f t="shared" ref="J11:J31" si="6">$E$35</f>
        <v>158.22727272727272</v>
      </c>
    </row>
    <row r="12" spans="1:10">
      <c r="A12" s="1">
        <f t="shared" ref="A12:A31" si="7">1+A11</f>
        <v>3</v>
      </c>
      <c r="B12" s="1">
        <v>50</v>
      </c>
      <c r="C12" s="1">
        <v>158</v>
      </c>
      <c r="D12" s="3">
        <f t="shared" si="3"/>
        <v>3.16</v>
      </c>
      <c r="E12" s="3">
        <f t="shared" si="0"/>
        <v>3.9192759904443157</v>
      </c>
      <c r="F12" s="3">
        <f t="shared" si="1"/>
        <v>2.4098149186465934</v>
      </c>
      <c r="G12" s="3">
        <f t="shared" si="2"/>
        <v>3.1645454545454546</v>
      </c>
      <c r="H12" s="3">
        <f t="shared" si="4"/>
        <v>120.49074593232967</v>
      </c>
      <c r="I12" s="3">
        <f t="shared" si="5"/>
        <v>195.96379952221577</v>
      </c>
      <c r="J12" s="28">
        <f t="shared" si="6"/>
        <v>158.22727272727272</v>
      </c>
    </row>
    <row r="13" spans="1:10">
      <c r="A13" s="1">
        <f t="shared" si="7"/>
        <v>4</v>
      </c>
      <c r="B13" s="1">
        <v>50</v>
      </c>
      <c r="C13" s="1">
        <v>156</v>
      </c>
      <c r="D13" s="3">
        <f t="shared" si="3"/>
        <v>3.12</v>
      </c>
      <c r="E13" s="3">
        <f t="shared" si="0"/>
        <v>3.9192759904443157</v>
      </c>
      <c r="F13" s="3">
        <f t="shared" si="1"/>
        <v>2.4098149186465934</v>
      </c>
      <c r="G13" s="3">
        <f t="shared" si="2"/>
        <v>3.1645454545454546</v>
      </c>
      <c r="H13" s="3">
        <f t="shared" si="4"/>
        <v>120.49074593232967</v>
      </c>
      <c r="I13" s="3">
        <f t="shared" si="5"/>
        <v>195.96379952221577</v>
      </c>
      <c r="J13" s="28">
        <f t="shared" si="6"/>
        <v>158.22727272727272</v>
      </c>
    </row>
    <row r="14" spans="1:10">
      <c r="A14" s="1">
        <f t="shared" si="7"/>
        <v>5</v>
      </c>
      <c r="B14" s="1">
        <v>50</v>
      </c>
      <c r="C14" s="1">
        <v>152</v>
      </c>
      <c r="D14" s="3">
        <f t="shared" si="3"/>
        <v>3.04</v>
      </c>
      <c r="E14" s="3">
        <f t="shared" si="0"/>
        <v>3.9192759904443157</v>
      </c>
      <c r="F14" s="3">
        <f t="shared" si="1"/>
        <v>2.4098149186465934</v>
      </c>
      <c r="G14" s="3">
        <f t="shared" si="2"/>
        <v>3.1645454545454546</v>
      </c>
      <c r="H14" s="3">
        <f t="shared" si="4"/>
        <v>120.49074593232967</v>
      </c>
      <c r="I14" s="3">
        <f t="shared" si="5"/>
        <v>195.96379952221577</v>
      </c>
      <c r="J14" s="28">
        <f t="shared" si="6"/>
        <v>158.22727272727272</v>
      </c>
    </row>
    <row r="15" spans="1:10">
      <c r="A15" s="1">
        <f t="shared" si="7"/>
        <v>6</v>
      </c>
      <c r="B15" s="1">
        <v>50</v>
      </c>
      <c r="C15" s="1">
        <v>188</v>
      </c>
      <c r="D15" s="3">
        <f t="shared" si="3"/>
        <v>3.76</v>
      </c>
      <c r="E15" s="3">
        <f t="shared" si="0"/>
        <v>3.9192759904443157</v>
      </c>
      <c r="F15" s="3">
        <f t="shared" si="1"/>
        <v>2.4098149186465934</v>
      </c>
      <c r="G15" s="3">
        <f t="shared" si="2"/>
        <v>3.1645454545454546</v>
      </c>
      <c r="H15" s="3">
        <f t="shared" si="4"/>
        <v>120.49074593232967</v>
      </c>
      <c r="I15" s="3">
        <f t="shared" si="5"/>
        <v>195.96379952221577</v>
      </c>
      <c r="J15" s="28">
        <f t="shared" si="6"/>
        <v>158.22727272727272</v>
      </c>
    </row>
    <row r="16" spans="1:10">
      <c r="A16" s="1">
        <f t="shared" si="7"/>
        <v>7</v>
      </c>
      <c r="B16" s="1">
        <v>50</v>
      </c>
      <c r="C16" s="1">
        <v>163</v>
      </c>
      <c r="D16" s="3">
        <f t="shared" si="3"/>
        <v>3.26</v>
      </c>
      <c r="E16" s="3">
        <f t="shared" si="0"/>
        <v>3.9192759904443157</v>
      </c>
      <c r="F16" s="3">
        <f t="shared" si="1"/>
        <v>2.4098149186465934</v>
      </c>
      <c r="G16" s="3">
        <f t="shared" si="2"/>
        <v>3.1645454545454546</v>
      </c>
      <c r="H16" s="3">
        <f t="shared" si="4"/>
        <v>120.49074593232967</v>
      </c>
      <c r="I16" s="3">
        <f t="shared" si="5"/>
        <v>195.96379952221577</v>
      </c>
      <c r="J16" s="28">
        <f t="shared" si="6"/>
        <v>158.22727272727272</v>
      </c>
    </row>
    <row r="17" spans="1:10">
      <c r="A17" s="1">
        <f t="shared" si="7"/>
        <v>8</v>
      </c>
      <c r="B17" s="1">
        <v>50</v>
      </c>
      <c r="C17" s="1">
        <v>163</v>
      </c>
      <c r="D17" s="3">
        <f t="shared" si="3"/>
        <v>3.26</v>
      </c>
      <c r="E17" s="3">
        <f t="shared" si="0"/>
        <v>3.9192759904443157</v>
      </c>
      <c r="F17" s="3">
        <f t="shared" si="1"/>
        <v>2.4098149186465934</v>
      </c>
      <c r="G17" s="3">
        <f t="shared" si="2"/>
        <v>3.1645454545454546</v>
      </c>
      <c r="H17" s="3">
        <f t="shared" si="4"/>
        <v>120.49074593232967</v>
      </c>
      <c r="I17" s="3">
        <f t="shared" si="5"/>
        <v>195.96379952221577</v>
      </c>
      <c r="J17" s="28">
        <f t="shared" si="6"/>
        <v>158.22727272727272</v>
      </c>
    </row>
    <row r="18" spans="1:10">
      <c r="A18" s="1">
        <f t="shared" si="7"/>
        <v>9</v>
      </c>
      <c r="B18" s="1">
        <v>50</v>
      </c>
      <c r="C18" s="1">
        <v>170</v>
      </c>
      <c r="D18" s="3">
        <f t="shared" si="3"/>
        <v>3.4</v>
      </c>
      <c r="E18" s="3">
        <f t="shared" si="0"/>
        <v>3.9192759904443157</v>
      </c>
      <c r="F18" s="3">
        <f t="shared" si="1"/>
        <v>2.4098149186465934</v>
      </c>
      <c r="G18" s="3">
        <f t="shared" si="2"/>
        <v>3.1645454545454546</v>
      </c>
      <c r="H18" s="3">
        <f t="shared" si="4"/>
        <v>120.49074593232967</v>
      </c>
      <c r="I18" s="3">
        <f t="shared" si="5"/>
        <v>195.96379952221577</v>
      </c>
      <c r="J18" s="28">
        <f t="shared" si="6"/>
        <v>158.22727272727272</v>
      </c>
    </row>
    <row r="19" spans="1:10">
      <c r="A19" s="1">
        <f t="shared" si="7"/>
        <v>10</v>
      </c>
      <c r="B19" s="1">
        <v>50</v>
      </c>
      <c r="C19" s="1">
        <v>154</v>
      </c>
      <c r="D19" s="3">
        <f t="shared" si="3"/>
        <v>3.08</v>
      </c>
      <c r="E19" s="3">
        <f t="shared" si="0"/>
        <v>3.9192759904443157</v>
      </c>
      <c r="F19" s="3">
        <f t="shared" si="1"/>
        <v>2.4098149186465934</v>
      </c>
      <c r="G19" s="3">
        <f t="shared" si="2"/>
        <v>3.1645454545454546</v>
      </c>
      <c r="H19" s="3">
        <f t="shared" si="4"/>
        <v>120.49074593232967</v>
      </c>
      <c r="I19" s="3">
        <f t="shared" si="5"/>
        <v>195.96379952221577</v>
      </c>
      <c r="J19" s="28">
        <f t="shared" si="6"/>
        <v>158.22727272727272</v>
      </c>
    </row>
    <row r="20" spans="1:10">
      <c r="A20" s="1">
        <f t="shared" si="7"/>
        <v>11</v>
      </c>
      <c r="B20" s="1">
        <v>50</v>
      </c>
      <c r="C20" s="1">
        <v>150</v>
      </c>
      <c r="D20" s="3">
        <f t="shared" si="3"/>
        <v>3</v>
      </c>
      <c r="E20" s="3">
        <f t="shared" si="0"/>
        <v>3.9192759904443157</v>
      </c>
      <c r="F20" s="3">
        <f t="shared" si="1"/>
        <v>2.4098149186465934</v>
      </c>
      <c r="G20" s="3">
        <f t="shared" si="2"/>
        <v>3.1645454545454546</v>
      </c>
      <c r="H20" s="3">
        <f t="shared" si="4"/>
        <v>120.49074593232967</v>
      </c>
      <c r="I20" s="3">
        <f t="shared" si="5"/>
        <v>195.96379952221577</v>
      </c>
      <c r="J20" s="28">
        <f t="shared" si="6"/>
        <v>158.22727272727272</v>
      </c>
    </row>
    <row r="21" spans="1:10">
      <c r="A21" s="1">
        <f t="shared" si="7"/>
        <v>12</v>
      </c>
      <c r="B21" s="1">
        <v>50</v>
      </c>
      <c r="C21" s="1">
        <v>188</v>
      </c>
      <c r="D21" s="3">
        <f t="shared" si="3"/>
        <v>3.76</v>
      </c>
      <c r="E21" s="3">
        <f t="shared" si="0"/>
        <v>3.9192759904443157</v>
      </c>
      <c r="F21" s="3">
        <f t="shared" si="1"/>
        <v>2.4098149186465934</v>
      </c>
      <c r="G21" s="3">
        <f t="shared" si="2"/>
        <v>3.1645454545454546</v>
      </c>
      <c r="H21" s="3">
        <f t="shared" si="4"/>
        <v>120.49074593232967</v>
      </c>
      <c r="I21" s="3">
        <f t="shared" si="5"/>
        <v>195.96379952221577</v>
      </c>
      <c r="J21" s="28">
        <f t="shared" si="6"/>
        <v>158.22727272727272</v>
      </c>
    </row>
    <row r="22" spans="1:10">
      <c r="A22" s="1">
        <f t="shared" si="7"/>
        <v>13</v>
      </c>
      <c r="B22" s="1">
        <v>50</v>
      </c>
      <c r="C22" s="1">
        <v>155</v>
      </c>
      <c r="D22" s="3">
        <f t="shared" si="3"/>
        <v>3.1</v>
      </c>
      <c r="E22" s="3">
        <f t="shared" si="0"/>
        <v>3.9192759904443157</v>
      </c>
      <c r="F22" s="3">
        <f t="shared" si="1"/>
        <v>2.4098149186465934</v>
      </c>
      <c r="G22" s="3">
        <f t="shared" si="2"/>
        <v>3.1645454545454546</v>
      </c>
      <c r="H22" s="3">
        <f t="shared" si="4"/>
        <v>120.49074593232967</v>
      </c>
      <c r="I22" s="3">
        <f t="shared" si="5"/>
        <v>195.96379952221577</v>
      </c>
      <c r="J22" s="28">
        <f t="shared" si="6"/>
        <v>158.22727272727272</v>
      </c>
    </row>
    <row r="23" spans="1:10">
      <c r="A23" s="1">
        <f t="shared" si="7"/>
        <v>14</v>
      </c>
      <c r="B23" s="1">
        <v>50</v>
      </c>
      <c r="C23" s="1">
        <v>141</v>
      </c>
      <c r="D23" s="3">
        <f t="shared" si="3"/>
        <v>2.82</v>
      </c>
      <c r="E23" s="3">
        <f t="shared" si="0"/>
        <v>3.9192759904443157</v>
      </c>
      <c r="F23" s="3">
        <f t="shared" si="1"/>
        <v>2.4098149186465934</v>
      </c>
      <c r="G23" s="3">
        <f t="shared" si="2"/>
        <v>3.1645454545454546</v>
      </c>
      <c r="H23" s="3">
        <f t="shared" si="4"/>
        <v>120.49074593232967</v>
      </c>
      <c r="I23" s="3">
        <f t="shared" si="5"/>
        <v>195.96379952221577</v>
      </c>
      <c r="J23" s="28">
        <f t="shared" si="6"/>
        <v>158.22727272727272</v>
      </c>
    </row>
    <row r="24" spans="1:10">
      <c r="A24" s="1">
        <f t="shared" si="7"/>
        <v>15</v>
      </c>
      <c r="B24" s="1">
        <v>50</v>
      </c>
      <c r="C24" s="1">
        <v>163</v>
      </c>
      <c r="D24" s="3">
        <f t="shared" si="3"/>
        <v>3.26</v>
      </c>
      <c r="E24" s="3">
        <f t="shared" si="0"/>
        <v>3.9192759904443157</v>
      </c>
      <c r="F24" s="3">
        <f t="shared" si="1"/>
        <v>2.4098149186465934</v>
      </c>
      <c r="G24" s="3">
        <f t="shared" si="2"/>
        <v>3.1645454545454546</v>
      </c>
      <c r="H24" s="3">
        <f t="shared" si="4"/>
        <v>120.49074593232967</v>
      </c>
      <c r="I24" s="3">
        <f t="shared" si="5"/>
        <v>195.96379952221577</v>
      </c>
      <c r="J24" s="28">
        <f t="shared" si="6"/>
        <v>158.22727272727272</v>
      </c>
    </row>
    <row r="25" spans="1:10">
      <c r="A25" s="1">
        <f t="shared" si="7"/>
        <v>16</v>
      </c>
      <c r="B25" s="1">
        <v>50</v>
      </c>
      <c r="C25" s="1">
        <v>154</v>
      </c>
      <c r="D25" s="3">
        <f t="shared" si="3"/>
        <v>3.08</v>
      </c>
      <c r="E25" s="3">
        <f t="shared" si="0"/>
        <v>3.9192759904443157</v>
      </c>
      <c r="F25" s="3">
        <f t="shared" si="1"/>
        <v>2.4098149186465934</v>
      </c>
      <c r="G25" s="3">
        <f t="shared" si="2"/>
        <v>3.1645454545454546</v>
      </c>
      <c r="H25" s="3">
        <f t="shared" si="4"/>
        <v>120.49074593232967</v>
      </c>
      <c r="I25" s="3">
        <f t="shared" si="5"/>
        <v>195.96379952221577</v>
      </c>
      <c r="J25" s="28">
        <f t="shared" si="6"/>
        <v>158.22727272727272</v>
      </c>
    </row>
    <row r="26" spans="1:10">
      <c r="A26" s="1">
        <f t="shared" si="7"/>
        <v>17</v>
      </c>
      <c r="B26" s="1">
        <v>50</v>
      </c>
      <c r="C26" s="1">
        <v>153</v>
      </c>
      <c r="D26" s="3">
        <f t="shared" si="3"/>
        <v>3.06</v>
      </c>
      <c r="E26" s="3">
        <f t="shared" si="0"/>
        <v>3.9192759904443157</v>
      </c>
      <c r="F26" s="3">
        <f t="shared" si="1"/>
        <v>2.4098149186465934</v>
      </c>
      <c r="G26" s="3">
        <f t="shared" si="2"/>
        <v>3.1645454545454546</v>
      </c>
      <c r="H26" s="3">
        <f t="shared" si="4"/>
        <v>120.49074593232967</v>
      </c>
      <c r="I26" s="3">
        <f t="shared" si="5"/>
        <v>195.96379952221577</v>
      </c>
      <c r="J26" s="28">
        <f t="shared" si="6"/>
        <v>158.22727272727272</v>
      </c>
    </row>
    <row r="27" spans="1:10">
      <c r="A27" s="1">
        <f t="shared" si="7"/>
        <v>18</v>
      </c>
      <c r="B27" s="1">
        <v>50</v>
      </c>
      <c r="C27" s="1">
        <v>167</v>
      </c>
      <c r="D27" s="3">
        <f t="shared" si="3"/>
        <v>3.34</v>
      </c>
      <c r="E27" s="3">
        <f t="shared" si="0"/>
        <v>3.9192759904443157</v>
      </c>
      <c r="F27" s="3">
        <f t="shared" si="1"/>
        <v>2.4098149186465934</v>
      </c>
      <c r="G27" s="3">
        <f t="shared" si="2"/>
        <v>3.1645454545454546</v>
      </c>
      <c r="H27" s="3">
        <f t="shared" si="4"/>
        <v>120.49074593232967</v>
      </c>
      <c r="I27" s="3">
        <f t="shared" si="5"/>
        <v>195.96379952221577</v>
      </c>
      <c r="J27" s="28">
        <f t="shared" si="6"/>
        <v>158.22727272727272</v>
      </c>
    </row>
    <row r="28" spans="1:10">
      <c r="A28" s="1">
        <f t="shared" si="7"/>
        <v>19</v>
      </c>
      <c r="B28" s="1">
        <v>50</v>
      </c>
      <c r="C28" s="1">
        <v>128</v>
      </c>
      <c r="D28" s="3">
        <f t="shared" si="3"/>
        <v>2.56</v>
      </c>
      <c r="E28" s="3">
        <f t="shared" si="0"/>
        <v>3.9192759904443157</v>
      </c>
      <c r="F28" s="3">
        <f t="shared" si="1"/>
        <v>2.4098149186465934</v>
      </c>
      <c r="G28" s="3">
        <f t="shared" si="2"/>
        <v>3.1645454545454546</v>
      </c>
      <c r="H28" s="3">
        <f t="shared" si="4"/>
        <v>120.49074593232967</v>
      </c>
      <c r="I28" s="3">
        <f t="shared" si="5"/>
        <v>195.96379952221577</v>
      </c>
      <c r="J28" s="28">
        <f t="shared" si="6"/>
        <v>158.22727272727272</v>
      </c>
    </row>
    <row r="29" spans="1:10">
      <c r="A29" s="1">
        <f t="shared" si="7"/>
        <v>20</v>
      </c>
      <c r="B29" s="1">
        <v>50</v>
      </c>
      <c r="C29" s="1">
        <v>153</v>
      </c>
      <c r="D29" s="3">
        <f t="shared" si="3"/>
        <v>3.06</v>
      </c>
      <c r="E29" s="3">
        <f t="shared" si="0"/>
        <v>3.9192759904443157</v>
      </c>
      <c r="F29" s="3">
        <f t="shared" si="1"/>
        <v>2.4098149186465934</v>
      </c>
      <c r="G29" s="3">
        <f t="shared" si="2"/>
        <v>3.1645454545454546</v>
      </c>
      <c r="H29" s="3">
        <f t="shared" si="4"/>
        <v>120.49074593232967</v>
      </c>
      <c r="I29" s="3">
        <f t="shared" si="5"/>
        <v>195.96379952221577</v>
      </c>
      <c r="J29" s="28">
        <f t="shared" si="6"/>
        <v>158.22727272727272</v>
      </c>
    </row>
    <row r="30" spans="1:10">
      <c r="A30" s="1">
        <f t="shared" si="7"/>
        <v>21</v>
      </c>
      <c r="B30" s="1">
        <v>50</v>
      </c>
      <c r="C30" s="1">
        <v>129</v>
      </c>
      <c r="D30" s="3">
        <f t="shared" si="3"/>
        <v>2.58</v>
      </c>
      <c r="E30" s="3">
        <f t="shared" si="0"/>
        <v>3.9192759904443157</v>
      </c>
      <c r="F30" s="3">
        <f t="shared" si="1"/>
        <v>2.4098149186465934</v>
      </c>
      <c r="G30" s="3">
        <f t="shared" si="2"/>
        <v>3.1645454545454546</v>
      </c>
      <c r="H30" s="3">
        <f t="shared" si="4"/>
        <v>120.49074593232967</v>
      </c>
      <c r="I30" s="3">
        <f t="shared" si="5"/>
        <v>195.96379952221577</v>
      </c>
      <c r="J30" s="28">
        <f t="shared" si="6"/>
        <v>158.22727272727272</v>
      </c>
    </row>
    <row r="31" spans="1:10">
      <c r="A31" s="1">
        <f t="shared" si="7"/>
        <v>22</v>
      </c>
      <c r="B31" s="1">
        <v>50</v>
      </c>
      <c r="C31" s="1">
        <v>160</v>
      </c>
      <c r="D31" s="3">
        <f t="shared" si="3"/>
        <v>3.2</v>
      </c>
      <c r="E31" s="3">
        <f t="shared" si="0"/>
        <v>3.9192759904443157</v>
      </c>
      <c r="F31" s="3">
        <f t="shared" si="1"/>
        <v>2.4098149186465934</v>
      </c>
      <c r="G31" s="3">
        <f t="shared" si="2"/>
        <v>3.1645454545454546</v>
      </c>
      <c r="H31" s="3">
        <f t="shared" si="4"/>
        <v>120.49074593232967</v>
      </c>
      <c r="I31" s="3">
        <f t="shared" si="5"/>
        <v>195.96379952221577</v>
      </c>
      <c r="J31" s="28">
        <f t="shared" si="6"/>
        <v>158.22727272727272</v>
      </c>
    </row>
    <row r="32" spans="1:10">
      <c r="A32" s="1"/>
      <c r="B32" s="1"/>
      <c r="C32" s="1"/>
      <c r="D32" s="3"/>
      <c r="E32" s="3"/>
      <c r="F32" s="3"/>
      <c r="G32" s="3"/>
      <c r="H32" s="3"/>
      <c r="I32" s="3"/>
    </row>
    <row r="33" spans="1:9">
      <c r="A33" s="1"/>
      <c r="B33" s="1"/>
      <c r="C33" s="1"/>
      <c r="D33" s="3"/>
      <c r="E33" s="3"/>
      <c r="F33" s="3"/>
      <c r="G33" s="3"/>
      <c r="H33" s="3"/>
      <c r="I33" s="3"/>
    </row>
    <row r="34" spans="1:9">
      <c r="A34" s="2" t="s">
        <v>88</v>
      </c>
      <c r="B34" s="1">
        <f>+C34/A31</f>
        <v>50</v>
      </c>
      <c r="C34" s="1">
        <f>SUM(B10:B31)</f>
        <v>1100</v>
      </c>
      <c r="D34" s="1">
        <f>SUM(C10:C31)</f>
        <v>3481</v>
      </c>
      <c r="E34" s="3">
        <f>+D34/C34</f>
        <v>3.1645454545454546</v>
      </c>
      <c r="F34" s="1" t="s">
        <v>89</v>
      </c>
      <c r="G34" s="1"/>
      <c r="H34" s="1"/>
      <c r="I34" s="1"/>
    </row>
    <row r="35" spans="1:9">
      <c r="A35" s="2" t="s">
        <v>90</v>
      </c>
      <c r="B35" s="1"/>
      <c r="C35" s="1"/>
      <c r="D35" s="1"/>
      <c r="E35" s="29">
        <f>D34/A31</f>
        <v>158.22727272727272</v>
      </c>
      <c r="F35" s="1" t="s">
        <v>2</v>
      </c>
      <c r="G35" s="1"/>
      <c r="H35" s="1"/>
      <c r="I35" s="1"/>
    </row>
    <row r="38" spans="1:9">
      <c r="A38" s="27" t="s">
        <v>19</v>
      </c>
      <c r="B38" s="2" t="s">
        <v>91</v>
      </c>
    </row>
    <row r="40" spans="1:9">
      <c r="B40" s="2" t="s">
        <v>92</v>
      </c>
      <c r="C40" s="2">
        <v>50</v>
      </c>
      <c r="D40" s="2">
        <v>50</v>
      </c>
      <c r="E40" s="2">
        <v>50</v>
      </c>
      <c r="F40" s="2">
        <f>SUM(C40:E40)</f>
        <v>150</v>
      </c>
      <c r="G40" s="1" t="s">
        <v>89</v>
      </c>
    </row>
    <row r="41" spans="1:9">
      <c r="B41" s="2" t="s">
        <v>93</v>
      </c>
      <c r="C41" s="2">
        <v>70</v>
      </c>
      <c r="D41" s="2">
        <v>50</v>
      </c>
      <c r="E41" s="2">
        <v>45</v>
      </c>
      <c r="F41" s="2">
        <f>SUM(C41:E41)</f>
        <v>165</v>
      </c>
      <c r="G41" s="1">
        <f>F41/F40</f>
        <v>1.1000000000000001</v>
      </c>
      <c r="H41" s="30">
        <f>E34/G41</f>
        <v>2.8768595041322311</v>
      </c>
    </row>
    <row r="43" spans="1:9">
      <c r="A43" s="2" t="s">
        <v>94</v>
      </c>
    </row>
  </sheetData>
  <mergeCells count="2">
    <mergeCell ref="E8:G8"/>
    <mergeCell ref="H8:J8"/>
  </mergeCells>
  <pageMargins left="1.21" right="0.75" top="1.58" bottom="1" header="0.5" footer="0.5"/>
  <pageSetup orientation="portrait" horizontalDpi="4294967294" verticalDpi="4294967294"/>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83"/>
  <sheetViews>
    <sheetView zoomScale="85" zoomScaleNormal="85" zoomScalePageLayoutView="85" workbookViewId="0">
      <selection activeCell="J62" sqref="J62"/>
    </sheetView>
  </sheetViews>
  <sheetFormatPr baseColWidth="10" defaultRowHeight="16"/>
  <cols>
    <col min="1" max="1" width="12.1640625" customWidth="1"/>
    <col min="3" max="4" width="12.83203125" bestFit="1" customWidth="1"/>
    <col min="5" max="5" width="12.1640625" bestFit="1" customWidth="1"/>
    <col min="6" max="6" width="12.83203125" bestFit="1" customWidth="1"/>
    <col min="7" max="9" width="11.6640625" bestFit="1" customWidth="1"/>
    <col min="10" max="10" width="11.33203125" bestFit="1" customWidth="1"/>
    <col min="11" max="12" width="11.6640625" bestFit="1" customWidth="1"/>
    <col min="23" max="23" width="11.6640625" bestFit="1" customWidth="1"/>
    <col min="25" max="25" width="11.6640625" bestFit="1" customWidth="1"/>
  </cols>
  <sheetData>
    <row r="1" spans="1:37">
      <c r="A1" s="31" t="s">
        <v>95</v>
      </c>
      <c r="B1" s="32" t="s">
        <v>29</v>
      </c>
      <c r="C1" s="32" t="s">
        <v>30</v>
      </c>
      <c r="D1" s="32" t="s">
        <v>31</v>
      </c>
      <c r="E1" s="32" t="s">
        <v>32</v>
      </c>
      <c r="F1" s="32" t="s">
        <v>33</v>
      </c>
      <c r="G1" s="32" t="s">
        <v>30</v>
      </c>
      <c r="H1" s="32" t="s">
        <v>31</v>
      </c>
      <c r="I1" s="32" t="s">
        <v>32</v>
      </c>
      <c r="J1" s="32" t="s">
        <v>34</v>
      </c>
      <c r="W1" s="31" t="s">
        <v>95</v>
      </c>
      <c r="X1" s="32" t="s">
        <v>29</v>
      </c>
      <c r="Y1" s="32" t="s">
        <v>30</v>
      </c>
      <c r="Z1" s="32" t="s">
        <v>31</v>
      </c>
      <c r="AA1" s="32" t="s">
        <v>32</v>
      </c>
      <c r="AB1" s="32" t="s">
        <v>96</v>
      </c>
      <c r="AC1" s="32" t="s">
        <v>97</v>
      </c>
      <c r="AD1" s="32" t="s">
        <v>98</v>
      </c>
      <c r="AH1" s="32" t="s">
        <v>30</v>
      </c>
      <c r="AI1" s="32" t="s">
        <v>31</v>
      </c>
      <c r="AJ1" s="32" t="s">
        <v>32</v>
      </c>
      <c r="AK1" s="32" t="s">
        <v>34</v>
      </c>
    </row>
    <row r="2" spans="1:37">
      <c r="A2" s="33">
        <v>0.34027777777777773</v>
      </c>
      <c r="B2" s="34">
        <v>2.0160527359843745</v>
      </c>
      <c r="C2" s="34">
        <f t="shared" ref="C2:C31" si="0">$B$32+($C$34*$J$32)</f>
        <v>2.0598996113976455</v>
      </c>
      <c r="D2" s="34">
        <f t="shared" ref="D2:D31" si="1">$B$32</f>
        <v>2.0228167770419421</v>
      </c>
      <c r="E2" s="34">
        <f t="shared" ref="E2:E31" si="2">$B$32-($C$34*$J$32)</f>
        <v>1.9857339426862386</v>
      </c>
      <c r="F2" s="35">
        <v>1</v>
      </c>
      <c r="G2" s="34">
        <f t="shared" ref="G2:G31" si="3">$C$35*$J$32</f>
        <v>0.13496872987049985</v>
      </c>
      <c r="H2" s="34">
        <f t="shared" ref="H2:H31" si="4">$J$32</f>
        <v>6.3935921302936918E-2</v>
      </c>
      <c r="I2" s="35">
        <f t="shared" ref="I2:I31" si="5">$C$36*$J$32</f>
        <v>0</v>
      </c>
      <c r="J2" s="36">
        <v>2.5528733176671644E-2</v>
      </c>
      <c r="K2" s="36">
        <f>J2-0.02</f>
        <v>5.5287331766716435E-3</v>
      </c>
      <c r="W2" s="33">
        <v>0.34027777777777773</v>
      </c>
      <c r="X2" s="34">
        <v>2.0160527359843745</v>
      </c>
      <c r="Y2" s="34">
        <f t="shared" ref="Y2:Y26" si="6">$B$32+($C$34*$J$32)</f>
        <v>2.0598996113976455</v>
      </c>
      <c r="Z2" s="34">
        <f>$X$27</f>
        <v>2.0113801324503306</v>
      </c>
      <c r="AA2" s="34">
        <f t="shared" ref="AA2:AA26" si="7">$B$32-($C$34*$J$32)</f>
        <v>1.9857339426862386</v>
      </c>
      <c r="AB2">
        <v>2.08</v>
      </c>
      <c r="AC2">
        <v>2</v>
      </c>
      <c r="AD2">
        <v>1.92</v>
      </c>
      <c r="AH2" s="34">
        <f t="shared" ref="AH2:AH26" si="8">$C$35*$J$32</f>
        <v>0.13496872987049985</v>
      </c>
      <c r="AI2" s="34">
        <f t="shared" ref="AI2:AI26" si="9">$J$32</f>
        <v>6.3935921302936918E-2</v>
      </c>
      <c r="AJ2" s="35">
        <f t="shared" ref="AJ2:AJ26" si="10">$C$36*$J$32</f>
        <v>0</v>
      </c>
      <c r="AK2" s="36">
        <v>2.5528733176671644E-2</v>
      </c>
    </row>
    <row r="3" spans="1:37">
      <c r="A3" s="33">
        <v>0.34722222222222227</v>
      </c>
      <c r="B3" s="34">
        <v>2.0005963316751609</v>
      </c>
      <c r="C3" s="34">
        <f t="shared" si="0"/>
        <v>2.0598996113976455</v>
      </c>
      <c r="D3" s="34">
        <f t="shared" si="1"/>
        <v>2.0228167770419421</v>
      </c>
      <c r="E3" s="34">
        <f t="shared" si="2"/>
        <v>1.9857339426862386</v>
      </c>
      <c r="F3" s="35">
        <f>F2+1</f>
        <v>2</v>
      </c>
      <c r="G3" s="34">
        <f t="shared" si="3"/>
        <v>0.13496872987049985</v>
      </c>
      <c r="H3" s="34">
        <f t="shared" si="4"/>
        <v>6.3935921302936918E-2</v>
      </c>
      <c r="I3" s="35">
        <f t="shared" si="5"/>
        <v>0</v>
      </c>
      <c r="J3" s="36">
        <v>3.5520493179113127E-2</v>
      </c>
      <c r="K3" s="36">
        <f t="shared" ref="K3:K6" si="11">J3-0.02</f>
        <v>1.5520493179113127E-2</v>
      </c>
      <c r="W3" s="33">
        <v>0.34722222222222227</v>
      </c>
      <c r="X3" s="34">
        <v>2.0005963316751609</v>
      </c>
      <c r="Y3" s="34">
        <f t="shared" si="6"/>
        <v>2.0598996113976455</v>
      </c>
      <c r="Z3" s="34">
        <f t="shared" ref="Z3:Z26" si="12">$X$27</f>
        <v>2.0113801324503306</v>
      </c>
      <c r="AA3" s="34">
        <f t="shared" si="7"/>
        <v>1.9857339426862386</v>
      </c>
      <c r="AB3">
        <v>2.08</v>
      </c>
      <c r="AC3">
        <v>2</v>
      </c>
      <c r="AD3">
        <v>1.92</v>
      </c>
      <c r="AH3" s="34">
        <f t="shared" si="8"/>
        <v>0.13496872987049985</v>
      </c>
      <c r="AI3" s="34">
        <f t="shared" si="9"/>
        <v>6.3935921302936918E-2</v>
      </c>
      <c r="AJ3" s="35">
        <f t="shared" si="10"/>
        <v>0</v>
      </c>
      <c r="AK3" s="36">
        <v>3.5520493179113127E-2</v>
      </c>
    </row>
    <row r="4" spans="1:37">
      <c r="A4" s="33">
        <v>0.3611111111111111</v>
      </c>
      <c r="B4" s="34">
        <v>2.0120151371807</v>
      </c>
      <c r="C4" s="34">
        <f t="shared" si="0"/>
        <v>2.0598996113976455</v>
      </c>
      <c r="D4" s="34">
        <f t="shared" si="1"/>
        <v>2.0228167770419421</v>
      </c>
      <c r="E4" s="34">
        <f t="shared" si="2"/>
        <v>1.9857339426862386</v>
      </c>
      <c r="F4" s="35">
        <f t="shared" ref="F4:F31" si="13">F3+1</f>
        <v>3</v>
      </c>
      <c r="G4" s="34">
        <f t="shared" si="3"/>
        <v>0.13496872987049985</v>
      </c>
      <c r="H4" s="34">
        <f t="shared" si="4"/>
        <v>6.3935921302936918E-2</v>
      </c>
      <c r="I4" s="35">
        <f t="shared" si="5"/>
        <v>0</v>
      </c>
      <c r="J4" s="36">
        <v>6.6631061738944689E-2</v>
      </c>
      <c r="K4" s="36">
        <f t="shared" si="11"/>
        <v>4.6631061738944685E-2</v>
      </c>
      <c r="W4" s="33">
        <v>0.3611111111111111</v>
      </c>
      <c r="X4" s="34">
        <v>2.0120151371807</v>
      </c>
      <c r="Y4" s="34">
        <f t="shared" si="6"/>
        <v>2.0598996113976455</v>
      </c>
      <c r="Z4" s="34">
        <f t="shared" si="12"/>
        <v>2.0113801324503306</v>
      </c>
      <c r="AA4" s="34">
        <f t="shared" si="7"/>
        <v>1.9857339426862386</v>
      </c>
      <c r="AB4">
        <v>2.08</v>
      </c>
      <c r="AC4">
        <v>2</v>
      </c>
      <c r="AD4">
        <v>1.92</v>
      </c>
      <c r="AH4" s="34">
        <f t="shared" si="8"/>
        <v>0.13496872987049985</v>
      </c>
      <c r="AI4" s="34">
        <f t="shared" si="9"/>
        <v>6.3935921302936918E-2</v>
      </c>
      <c r="AJ4" s="35">
        <f t="shared" si="10"/>
        <v>0</v>
      </c>
      <c r="AK4" s="36">
        <v>6.6631061738944689E-2</v>
      </c>
    </row>
    <row r="5" spans="1:37">
      <c r="A5" s="33">
        <v>0.37013888888888885</v>
      </c>
      <c r="B5" s="34">
        <v>1.99</v>
      </c>
      <c r="C5" s="34">
        <f t="shared" si="0"/>
        <v>2.0598996113976455</v>
      </c>
      <c r="D5" s="34">
        <f t="shared" si="1"/>
        <v>2.0228167770419421</v>
      </c>
      <c r="E5" s="34">
        <f t="shared" si="2"/>
        <v>1.9857339426862386</v>
      </c>
      <c r="F5" s="35">
        <f t="shared" si="13"/>
        <v>4</v>
      </c>
      <c r="G5" s="34">
        <f t="shared" si="3"/>
        <v>0.13496872987049985</v>
      </c>
      <c r="H5" s="34">
        <f t="shared" si="4"/>
        <v>6.3935921302936918E-2</v>
      </c>
      <c r="I5" s="35">
        <f t="shared" si="5"/>
        <v>0</v>
      </c>
      <c r="J5" s="36">
        <v>3.198034607989747E-2</v>
      </c>
      <c r="K5" s="36">
        <f t="shared" si="11"/>
        <v>1.198034607989747E-2</v>
      </c>
      <c r="W5" s="33">
        <v>0.37013888888888885</v>
      </c>
      <c r="X5" s="34">
        <v>1.99</v>
      </c>
      <c r="Y5" s="34">
        <f t="shared" si="6"/>
        <v>2.0598996113976455</v>
      </c>
      <c r="Z5" s="34">
        <f t="shared" si="12"/>
        <v>2.0113801324503306</v>
      </c>
      <c r="AA5" s="34">
        <f t="shared" si="7"/>
        <v>1.9857339426862386</v>
      </c>
      <c r="AB5">
        <v>2.08</v>
      </c>
      <c r="AC5">
        <v>2</v>
      </c>
      <c r="AD5">
        <v>1.92</v>
      </c>
      <c r="AH5" s="34">
        <f t="shared" si="8"/>
        <v>0.13496872987049985</v>
      </c>
      <c r="AI5" s="34">
        <f t="shared" si="9"/>
        <v>6.3935921302936918E-2</v>
      </c>
      <c r="AJ5" s="35">
        <f t="shared" si="10"/>
        <v>0</v>
      </c>
      <c r="AK5" s="36">
        <v>3.198034607989747E-2</v>
      </c>
    </row>
    <row r="6" spans="1:37">
      <c r="A6" s="33">
        <v>0.38958333333333334</v>
      </c>
      <c r="B6" s="34">
        <v>1.9950000000000001</v>
      </c>
      <c r="C6" s="34">
        <f t="shared" si="0"/>
        <v>2.0598996113976455</v>
      </c>
      <c r="D6" s="34">
        <f t="shared" si="1"/>
        <v>2.0228167770419421</v>
      </c>
      <c r="E6" s="34">
        <f t="shared" si="2"/>
        <v>1.9857339426862386</v>
      </c>
      <c r="F6" s="35">
        <f t="shared" si="13"/>
        <v>5</v>
      </c>
      <c r="G6" s="34">
        <f t="shared" si="3"/>
        <v>0.13496872987049985</v>
      </c>
      <c r="H6" s="34">
        <f t="shared" si="4"/>
        <v>6.3935921302936918E-2</v>
      </c>
      <c r="I6" s="35">
        <f t="shared" si="5"/>
        <v>0</v>
      </c>
      <c r="J6" s="36">
        <v>8.4072389904477088E-2</v>
      </c>
      <c r="K6" s="36">
        <f t="shared" si="11"/>
        <v>6.4072389904477084E-2</v>
      </c>
      <c r="W6" s="33">
        <v>0.38958333333333334</v>
      </c>
      <c r="X6" s="34">
        <v>1.9950000000000001</v>
      </c>
      <c r="Y6" s="34">
        <f t="shared" si="6"/>
        <v>2.0598996113976455</v>
      </c>
      <c r="Z6" s="34">
        <f t="shared" si="12"/>
        <v>2.0113801324503306</v>
      </c>
      <c r="AA6" s="34">
        <f t="shared" si="7"/>
        <v>1.9857339426862386</v>
      </c>
      <c r="AB6">
        <v>2.08</v>
      </c>
      <c r="AC6">
        <v>2</v>
      </c>
      <c r="AD6">
        <v>1.92</v>
      </c>
      <c r="AH6" s="34">
        <f t="shared" si="8"/>
        <v>0.13496872987049985</v>
      </c>
      <c r="AI6" s="34">
        <f t="shared" si="9"/>
        <v>6.3935921302936918E-2</v>
      </c>
      <c r="AJ6" s="35">
        <f t="shared" si="10"/>
        <v>0</v>
      </c>
      <c r="AK6" s="36">
        <v>8.4072389904477088E-2</v>
      </c>
    </row>
    <row r="7" spans="1:37">
      <c r="A7" s="33">
        <v>0.39930555555555558</v>
      </c>
      <c r="B7" s="37">
        <v>2.08</v>
      </c>
      <c r="C7" s="34">
        <f t="shared" si="0"/>
        <v>2.0598996113976455</v>
      </c>
      <c r="D7" s="34">
        <f t="shared" si="1"/>
        <v>2.0228167770419421</v>
      </c>
      <c r="E7" s="34">
        <f t="shared" si="2"/>
        <v>1.9857339426862386</v>
      </c>
      <c r="F7" s="35">
        <f t="shared" si="13"/>
        <v>6</v>
      </c>
      <c r="G7" s="34">
        <f t="shared" si="3"/>
        <v>0.13496872987049985</v>
      </c>
      <c r="H7" s="34">
        <f t="shared" si="4"/>
        <v>6.3935921302936918E-2</v>
      </c>
      <c r="I7" s="35">
        <f t="shared" si="5"/>
        <v>0</v>
      </c>
      <c r="J7" s="36">
        <v>0.1</v>
      </c>
      <c r="K7" s="36">
        <f>J7+0.04</f>
        <v>0.14000000000000001</v>
      </c>
      <c r="W7" s="33">
        <v>0.4055555555555555</v>
      </c>
      <c r="X7" s="34">
        <v>2.0266658528397472</v>
      </c>
      <c r="Y7" s="34">
        <f t="shared" si="6"/>
        <v>2.0598996113976455</v>
      </c>
      <c r="Z7" s="34">
        <f t="shared" si="12"/>
        <v>2.0113801324503306</v>
      </c>
      <c r="AA7" s="34">
        <f t="shared" si="7"/>
        <v>1.9857339426862386</v>
      </c>
      <c r="AB7">
        <v>2.08</v>
      </c>
      <c r="AC7">
        <v>2</v>
      </c>
      <c r="AD7">
        <v>1.92</v>
      </c>
      <c r="AH7" s="34">
        <f t="shared" si="8"/>
        <v>0.13496872987049985</v>
      </c>
      <c r="AI7" s="34">
        <f t="shared" si="9"/>
        <v>6.3935921302936918E-2</v>
      </c>
      <c r="AJ7" s="35">
        <f t="shared" si="10"/>
        <v>0</v>
      </c>
      <c r="AK7" s="36">
        <v>4.8823511459700333E-2</v>
      </c>
    </row>
    <row r="8" spans="1:37">
      <c r="A8" s="33">
        <v>0.4055555555555555</v>
      </c>
      <c r="B8" s="34">
        <v>2.0266658528397472</v>
      </c>
      <c r="C8" s="34">
        <f t="shared" si="0"/>
        <v>2.0598996113976455</v>
      </c>
      <c r="D8" s="34">
        <f t="shared" si="1"/>
        <v>2.0228167770419421</v>
      </c>
      <c r="E8" s="34">
        <f t="shared" si="2"/>
        <v>1.9857339426862386</v>
      </c>
      <c r="F8" s="35">
        <f t="shared" si="13"/>
        <v>7</v>
      </c>
      <c r="G8" s="34">
        <f t="shared" si="3"/>
        <v>0.13496872987049985</v>
      </c>
      <c r="H8" s="34">
        <f t="shared" si="4"/>
        <v>6.3935921302936918E-2</v>
      </c>
      <c r="I8" s="35">
        <f t="shared" si="5"/>
        <v>0</v>
      </c>
      <c r="J8" s="36">
        <v>4.8823511459700333E-2</v>
      </c>
      <c r="K8" s="36">
        <f>J8-0.02</f>
        <v>2.8823511459700333E-2</v>
      </c>
      <c r="W8" s="33">
        <v>0.40972222222222227</v>
      </c>
      <c r="X8" s="34">
        <v>2.0024640644550922</v>
      </c>
      <c r="Y8" s="34">
        <f t="shared" si="6"/>
        <v>2.0598996113976455</v>
      </c>
      <c r="Z8" s="34">
        <f t="shared" si="12"/>
        <v>2.0113801324503306</v>
      </c>
      <c r="AA8" s="34">
        <f t="shared" si="7"/>
        <v>1.9857339426862386</v>
      </c>
      <c r="AB8">
        <v>2.08</v>
      </c>
      <c r="AC8">
        <v>2</v>
      </c>
      <c r="AD8">
        <v>1.92</v>
      </c>
      <c r="AH8" s="34">
        <f t="shared" si="8"/>
        <v>0.13496872987049985</v>
      </c>
      <c r="AI8" s="34">
        <f t="shared" si="9"/>
        <v>6.3935921302936918E-2</v>
      </c>
      <c r="AJ8" s="35">
        <f t="shared" si="10"/>
        <v>0</v>
      </c>
      <c r="AK8" s="36">
        <v>0.09</v>
      </c>
    </row>
    <row r="9" spans="1:37">
      <c r="A9" s="33">
        <v>0.40972222222222227</v>
      </c>
      <c r="B9" s="34">
        <v>2.0024640644550922</v>
      </c>
      <c r="C9" s="34">
        <f t="shared" si="0"/>
        <v>2.0598996113976455</v>
      </c>
      <c r="D9" s="34">
        <f t="shared" si="1"/>
        <v>2.0228167770419421</v>
      </c>
      <c r="E9" s="34">
        <f t="shared" si="2"/>
        <v>1.9857339426862386</v>
      </c>
      <c r="F9" s="35">
        <f t="shared" si="13"/>
        <v>8</v>
      </c>
      <c r="G9" s="34">
        <f t="shared" si="3"/>
        <v>0.13496872987049985</v>
      </c>
      <c r="H9" s="34">
        <f t="shared" si="4"/>
        <v>6.3935921302936918E-2</v>
      </c>
      <c r="I9" s="35">
        <f t="shared" si="5"/>
        <v>0</v>
      </c>
      <c r="J9" s="36">
        <v>0.09</v>
      </c>
      <c r="K9" s="36">
        <f t="shared" ref="K9:K31" si="14">J9-0.02</f>
        <v>6.9999999999999993E-2</v>
      </c>
      <c r="W9" s="33">
        <v>0.42708333333333331</v>
      </c>
      <c r="X9" s="34">
        <v>2.04</v>
      </c>
      <c r="Y9" s="34">
        <f t="shared" si="6"/>
        <v>2.0598996113976455</v>
      </c>
      <c r="Z9" s="34">
        <f t="shared" si="12"/>
        <v>2.0113801324503306</v>
      </c>
      <c r="AA9" s="34">
        <f t="shared" si="7"/>
        <v>1.9857339426862386</v>
      </c>
      <c r="AB9">
        <v>2.08</v>
      </c>
      <c r="AC9">
        <v>2</v>
      </c>
      <c r="AD9">
        <v>1.92</v>
      </c>
      <c r="AH9" s="34">
        <f t="shared" si="8"/>
        <v>0.13496872987049985</v>
      </c>
      <c r="AI9" s="34">
        <f t="shared" si="9"/>
        <v>6.3935921302936918E-2</v>
      </c>
      <c r="AJ9" s="35">
        <f t="shared" si="10"/>
        <v>0</v>
      </c>
      <c r="AK9" s="36">
        <v>2.229377117221595E-2</v>
      </c>
    </row>
    <row r="10" spans="1:37">
      <c r="A10" s="33">
        <v>0.42708333333333331</v>
      </c>
      <c r="B10" s="34">
        <v>2.04</v>
      </c>
      <c r="C10" s="34">
        <f t="shared" si="0"/>
        <v>2.0598996113976455</v>
      </c>
      <c r="D10" s="34">
        <f t="shared" si="1"/>
        <v>2.0228167770419421</v>
      </c>
      <c r="E10" s="34">
        <f t="shared" si="2"/>
        <v>1.9857339426862386</v>
      </c>
      <c r="F10" s="35">
        <f t="shared" si="13"/>
        <v>9</v>
      </c>
      <c r="G10" s="34">
        <f t="shared" si="3"/>
        <v>0.13496872987049985</v>
      </c>
      <c r="H10" s="34">
        <f t="shared" si="4"/>
        <v>6.3935921302936918E-2</v>
      </c>
      <c r="I10" s="35">
        <f t="shared" si="5"/>
        <v>0</v>
      </c>
      <c r="J10" s="36">
        <v>2.229377117221595E-2</v>
      </c>
      <c r="K10" s="36">
        <f t="shared" si="14"/>
        <v>2.2937711722159498E-3</v>
      </c>
      <c r="W10" s="33">
        <v>0.43611111111111112</v>
      </c>
      <c r="X10" s="34">
        <v>2.0028852198858607</v>
      </c>
      <c r="Y10" s="34">
        <f t="shared" si="6"/>
        <v>2.0598996113976455</v>
      </c>
      <c r="Z10" s="34">
        <f t="shared" si="12"/>
        <v>2.0113801324503306</v>
      </c>
      <c r="AA10" s="34">
        <f t="shared" si="7"/>
        <v>1.9857339426862386</v>
      </c>
      <c r="AB10">
        <v>2.08</v>
      </c>
      <c r="AC10">
        <v>2</v>
      </c>
      <c r="AD10">
        <v>1.92</v>
      </c>
      <c r="AH10" s="34">
        <f t="shared" si="8"/>
        <v>0.13496872987049985</v>
      </c>
      <c r="AI10" s="34">
        <f t="shared" si="9"/>
        <v>6.3935921302936918E-2</v>
      </c>
      <c r="AJ10" s="35">
        <f t="shared" si="10"/>
        <v>0</v>
      </c>
      <c r="AK10" s="36">
        <v>2.2602008117923521E-2</v>
      </c>
    </row>
    <row r="11" spans="1:37">
      <c r="A11" s="33">
        <v>0.43611111111111112</v>
      </c>
      <c r="B11" s="34">
        <v>2.0028852198858607</v>
      </c>
      <c r="C11" s="34">
        <f t="shared" si="0"/>
        <v>2.0598996113976455</v>
      </c>
      <c r="D11" s="34">
        <f t="shared" si="1"/>
        <v>2.0228167770419421</v>
      </c>
      <c r="E11" s="34">
        <f t="shared" si="2"/>
        <v>1.9857339426862386</v>
      </c>
      <c r="F11" s="35">
        <f t="shared" si="13"/>
        <v>10</v>
      </c>
      <c r="G11" s="34">
        <f t="shared" si="3"/>
        <v>0.13496872987049985</v>
      </c>
      <c r="H11" s="34">
        <f t="shared" si="4"/>
        <v>6.3935921302936918E-2</v>
      </c>
      <c r="I11" s="35">
        <f t="shared" si="5"/>
        <v>0</v>
      </c>
      <c r="J11" s="36">
        <v>2.2602008117923521E-2</v>
      </c>
      <c r="K11" s="36">
        <f t="shared" si="14"/>
        <v>2.602008117923521E-3</v>
      </c>
      <c r="W11" s="33">
        <v>0.44444444444444442</v>
      </c>
      <c r="X11" s="34">
        <v>2.0296926786095768</v>
      </c>
      <c r="Y11" s="34">
        <f t="shared" si="6"/>
        <v>2.0598996113976455</v>
      </c>
      <c r="Z11" s="34">
        <f t="shared" si="12"/>
        <v>2.0113801324503306</v>
      </c>
      <c r="AA11" s="34">
        <f t="shared" si="7"/>
        <v>1.9857339426862386</v>
      </c>
      <c r="AB11">
        <v>2.08</v>
      </c>
      <c r="AC11">
        <v>2</v>
      </c>
      <c r="AD11">
        <v>1.92</v>
      </c>
      <c r="AH11" s="34">
        <f t="shared" si="8"/>
        <v>0.13496872987049985</v>
      </c>
      <c r="AI11" s="34">
        <f t="shared" si="9"/>
        <v>6.3935921302936918E-2</v>
      </c>
      <c r="AJ11" s="35">
        <f t="shared" si="10"/>
        <v>0</v>
      </c>
      <c r="AK11" s="36">
        <v>0.11</v>
      </c>
    </row>
    <row r="12" spans="1:37">
      <c r="A12" s="33">
        <v>0.44444444444444442</v>
      </c>
      <c r="B12" s="34">
        <v>2.0296926786095768</v>
      </c>
      <c r="C12" s="34">
        <f t="shared" si="0"/>
        <v>2.0598996113976455</v>
      </c>
      <c r="D12" s="34">
        <f t="shared" si="1"/>
        <v>2.0228167770419421</v>
      </c>
      <c r="E12" s="34">
        <f t="shared" si="2"/>
        <v>1.9857339426862386</v>
      </c>
      <c r="F12" s="35">
        <f t="shared" si="13"/>
        <v>11</v>
      </c>
      <c r="G12" s="34">
        <f t="shared" si="3"/>
        <v>0.13496872987049985</v>
      </c>
      <c r="H12" s="34">
        <f t="shared" si="4"/>
        <v>6.3935921302936918E-2</v>
      </c>
      <c r="I12" s="35">
        <f t="shared" si="5"/>
        <v>0</v>
      </c>
      <c r="J12" s="36">
        <v>0.11</v>
      </c>
      <c r="K12" s="36">
        <f t="shared" si="14"/>
        <v>0.09</v>
      </c>
      <c r="W12" s="33">
        <v>0.45277777777777778</v>
      </c>
      <c r="X12" s="34">
        <v>1.9950000000000001</v>
      </c>
      <c r="Y12" s="34">
        <f t="shared" si="6"/>
        <v>2.0598996113976455</v>
      </c>
      <c r="Z12" s="34">
        <f t="shared" si="12"/>
        <v>2.0113801324503306</v>
      </c>
      <c r="AA12" s="34">
        <f t="shared" si="7"/>
        <v>1.9857339426862386</v>
      </c>
      <c r="AB12">
        <v>2.08</v>
      </c>
      <c r="AC12">
        <v>2</v>
      </c>
      <c r="AD12">
        <v>1.92</v>
      </c>
      <c r="AH12" s="34">
        <f t="shared" si="8"/>
        <v>0.13496872987049985</v>
      </c>
      <c r="AI12" s="34">
        <f t="shared" si="9"/>
        <v>6.3935921302936918E-2</v>
      </c>
      <c r="AJ12" s="35">
        <f t="shared" si="10"/>
        <v>0</v>
      </c>
      <c r="AK12" s="36">
        <v>9.2425305948057521E-2</v>
      </c>
    </row>
    <row r="13" spans="1:37">
      <c r="A13" s="33">
        <v>0.45277777777777778</v>
      </c>
      <c r="B13" s="34">
        <v>1.9950000000000001</v>
      </c>
      <c r="C13" s="34">
        <f t="shared" si="0"/>
        <v>2.0598996113976455</v>
      </c>
      <c r="D13" s="34">
        <f t="shared" si="1"/>
        <v>2.0228167770419421</v>
      </c>
      <c r="E13" s="34">
        <f t="shared" si="2"/>
        <v>1.9857339426862386</v>
      </c>
      <c r="F13" s="35">
        <f t="shared" si="13"/>
        <v>12</v>
      </c>
      <c r="G13" s="34">
        <f t="shared" si="3"/>
        <v>0.13496872987049985</v>
      </c>
      <c r="H13" s="34">
        <f t="shared" si="4"/>
        <v>6.3935921302936918E-2</v>
      </c>
      <c r="I13" s="35">
        <f t="shared" si="5"/>
        <v>0</v>
      </c>
      <c r="J13" s="36">
        <v>9.2425305948057521E-2</v>
      </c>
      <c r="K13" s="36">
        <f t="shared" si="14"/>
        <v>7.2425305948057517E-2</v>
      </c>
      <c r="W13" s="33">
        <v>0.47569444444444442</v>
      </c>
      <c r="X13" s="34">
        <v>1.99</v>
      </c>
      <c r="Y13" s="34">
        <f t="shared" si="6"/>
        <v>2.0598996113976455</v>
      </c>
      <c r="Z13" s="34">
        <f t="shared" si="12"/>
        <v>2.0113801324503306</v>
      </c>
      <c r="AA13" s="34">
        <f t="shared" si="7"/>
        <v>1.9857339426862386</v>
      </c>
      <c r="AB13">
        <v>2.08</v>
      </c>
      <c r="AC13">
        <v>2</v>
      </c>
      <c r="AD13">
        <v>1.92</v>
      </c>
      <c r="AH13" s="34">
        <f t="shared" si="8"/>
        <v>0.13496872987049985</v>
      </c>
      <c r="AI13" s="34">
        <f t="shared" si="9"/>
        <v>6.3935921302936918E-2</v>
      </c>
      <c r="AJ13" s="35">
        <f t="shared" si="10"/>
        <v>0</v>
      </c>
      <c r="AK13" s="36">
        <v>6.1677907650990335E-2</v>
      </c>
    </row>
    <row r="14" spans="1:37">
      <c r="A14" s="33">
        <v>0.47569444444444442</v>
      </c>
      <c r="B14" s="34">
        <v>1.99</v>
      </c>
      <c r="C14" s="34">
        <f t="shared" si="0"/>
        <v>2.0598996113976455</v>
      </c>
      <c r="D14" s="34">
        <f t="shared" si="1"/>
        <v>2.0228167770419421</v>
      </c>
      <c r="E14" s="34">
        <f t="shared" si="2"/>
        <v>1.9857339426862386</v>
      </c>
      <c r="F14" s="35">
        <f t="shared" si="13"/>
        <v>13</v>
      </c>
      <c r="G14" s="34">
        <f t="shared" si="3"/>
        <v>0.13496872987049985</v>
      </c>
      <c r="H14" s="34">
        <f t="shared" si="4"/>
        <v>6.3935921302936918E-2</v>
      </c>
      <c r="I14" s="35">
        <f t="shared" si="5"/>
        <v>0</v>
      </c>
      <c r="J14" s="36">
        <v>6.1677907650990335E-2</v>
      </c>
      <c r="K14" s="36">
        <f t="shared" si="14"/>
        <v>4.1677907650990331E-2</v>
      </c>
      <c r="W14" s="33">
        <v>0.48333333333333334</v>
      </c>
      <c r="X14" s="34">
        <v>2.04</v>
      </c>
      <c r="Y14" s="34">
        <f t="shared" si="6"/>
        <v>2.0598996113976455</v>
      </c>
      <c r="Z14" s="34">
        <f t="shared" si="12"/>
        <v>2.0113801324503306</v>
      </c>
      <c r="AA14" s="34">
        <f t="shared" si="7"/>
        <v>1.9857339426862386</v>
      </c>
      <c r="AB14">
        <v>2.08</v>
      </c>
      <c r="AC14">
        <v>2</v>
      </c>
      <c r="AD14">
        <v>1.92</v>
      </c>
      <c r="AH14" s="34">
        <f t="shared" si="8"/>
        <v>0.13496872987049985</v>
      </c>
      <c r="AI14" s="34">
        <f t="shared" si="9"/>
        <v>6.3935921302936918E-2</v>
      </c>
      <c r="AJ14" s="35">
        <f t="shared" si="10"/>
        <v>0</v>
      </c>
      <c r="AK14" s="36">
        <v>7.0000000000000007E-2</v>
      </c>
    </row>
    <row r="15" spans="1:37">
      <c r="A15" s="33">
        <v>0.48333333333333334</v>
      </c>
      <c r="B15" s="34">
        <v>2.04</v>
      </c>
      <c r="C15" s="34">
        <f t="shared" si="0"/>
        <v>2.0598996113976455</v>
      </c>
      <c r="D15" s="34">
        <f t="shared" si="1"/>
        <v>2.0228167770419421</v>
      </c>
      <c r="E15" s="34">
        <f t="shared" si="2"/>
        <v>1.9857339426862386</v>
      </c>
      <c r="F15" s="35">
        <f t="shared" si="13"/>
        <v>14</v>
      </c>
      <c r="G15" s="34">
        <f t="shared" si="3"/>
        <v>0.13496872987049985</v>
      </c>
      <c r="H15" s="34">
        <f t="shared" si="4"/>
        <v>6.3935921302936918E-2</v>
      </c>
      <c r="I15" s="35">
        <f t="shared" si="5"/>
        <v>0</v>
      </c>
      <c r="J15" s="36">
        <v>7.0000000000000007E-2</v>
      </c>
      <c r="K15" s="36">
        <f t="shared" si="14"/>
        <v>0.05</v>
      </c>
      <c r="W15" s="33">
        <v>0.48749999999999999</v>
      </c>
      <c r="X15" s="34">
        <v>1.99</v>
      </c>
      <c r="Y15" s="34">
        <f t="shared" si="6"/>
        <v>2.0598996113976455</v>
      </c>
      <c r="Z15" s="34">
        <f t="shared" si="12"/>
        <v>2.0113801324503306</v>
      </c>
      <c r="AA15" s="34">
        <f t="shared" si="7"/>
        <v>1.9857339426862386</v>
      </c>
      <c r="AB15">
        <v>2.08</v>
      </c>
      <c r="AC15">
        <v>2</v>
      </c>
      <c r="AD15">
        <v>1.92</v>
      </c>
      <c r="AH15" s="34">
        <f t="shared" si="8"/>
        <v>0.13496872987049985</v>
      </c>
      <c r="AI15" s="34">
        <f t="shared" si="9"/>
        <v>6.3935921302936918E-2</v>
      </c>
      <c r="AJ15" s="35">
        <f t="shared" si="10"/>
        <v>0</v>
      </c>
      <c r="AK15" s="36">
        <v>4.0446180608539078E-2</v>
      </c>
    </row>
    <row r="16" spans="1:37">
      <c r="A16" s="33">
        <v>0.48749999999999999</v>
      </c>
      <c r="B16" s="34">
        <v>1.99</v>
      </c>
      <c r="C16" s="34">
        <f t="shared" si="0"/>
        <v>2.0598996113976455</v>
      </c>
      <c r="D16" s="34">
        <f t="shared" si="1"/>
        <v>2.0228167770419421</v>
      </c>
      <c r="E16" s="34">
        <f t="shared" si="2"/>
        <v>1.9857339426862386</v>
      </c>
      <c r="F16" s="35">
        <f t="shared" si="13"/>
        <v>15</v>
      </c>
      <c r="G16" s="34">
        <f t="shared" si="3"/>
        <v>0.13496872987049985</v>
      </c>
      <c r="H16" s="34">
        <f t="shared" si="4"/>
        <v>6.3935921302936918E-2</v>
      </c>
      <c r="I16" s="35">
        <f t="shared" si="5"/>
        <v>0</v>
      </c>
      <c r="J16" s="36">
        <v>4.0446180608539078E-2</v>
      </c>
      <c r="K16" s="36">
        <f t="shared" si="14"/>
        <v>2.0446180608539078E-2</v>
      </c>
      <c r="W16" s="33">
        <v>0.49791666666666662</v>
      </c>
      <c r="X16" s="34">
        <v>2</v>
      </c>
      <c r="Y16" s="34">
        <f t="shared" si="6"/>
        <v>2.0598996113976455</v>
      </c>
      <c r="Z16" s="34">
        <f t="shared" si="12"/>
        <v>2.0113801324503306</v>
      </c>
      <c r="AA16" s="34">
        <f t="shared" si="7"/>
        <v>1.9857339426862386</v>
      </c>
      <c r="AB16">
        <v>2.08</v>
      </c>
      <c r="AC16">
        <v>2</v>
      </c>
      <c r="AD16">
        <v>1.92</v>
      </c>
      <c r="AH16" s="34">
        <f t="shared" si="8"/>
        <v>0.13496872987049985</v>
      </c>
      <c r="AI16" s="34">
        <f t="shared" si="9"/>
        <v>6.3935921302936918E-2</v>
      </c>
      <c r="AJ16" s="35">
        <f t="shared" si="10"/>
        <v>0</v>
      </c>
      <c r="AK16" s="36">
        <v>6.4076662495803724E-2</v>
      </c>
    </row>
    <row r="17" spans="1:37">
      <c r="A17" s="33">
        <v>0.49791666666666662</v>
      </c>
      <c r="B17" s="34">
        <v>2</v>
      </c>
      <c r="C17" s="34">
        <f t="shared" si="0"/>
        <v>2.0598996113976455</v>
      </c>
      <c r="D17" s="34">
        <f t="shared" si="1"/>
        <v>2.0228167770419421</v>
      </c>
      <c r="E17" s="34">
        <f t="shared" si="2"/>
        <v>1.9857339426862386</v>
      </c>
      <c r="F17" s="35">
        <f t="shared" si="13"/>
        <v>16</v>
      </c>
      <c r="G17" s="34">
        <f t="shared" si="3"/>
        <v>0.13496872987049985</v>
      </c>
      <c r="H17" s="34">
        <f t="shared" si="4"/>
        <v>6.3935921302936918E-2</v>
      </c>
      <c r="I17" s="35">
        <f t="shared" si="5"/>
        <v>0</v>
      </c>
      <c r="J17" s="36">
        <v>6.4076662495803724E-2</v>
      </c>
      <c r="K17" s="36">
        <f t="shared" si="14"/>
        <v>4.407666249580372E-2</v>
      </c>
      <c r="W17" s="33">
        <v>0.55208333333333337</v>
      </c>
      <c r="X17" s="34">
        <v>2.0192681661427656</v>
      </c>
      <c r="Y17" s="34">
        <f t="shared" si="6"/>
        <v>2.0598996113976455</v>
      </c>
      <c r="Z17" s="34">
        <f t="shared" si="12"/>
        <v>2.0113801324503306</v>
      </c>
      <c r="AA17" s="34">
        <f t="shared" si="7"/>
        <v>1.9857339426862386</v>
      </c>
      <c r="AB17">
        <v>2.08</v>
      </c>
      <c r="AC17">
        <v>2</v>
      </c>
      <c r="AD17">
        <v>1.92</v>
      </c>
      <c r="AH17" s="34">
        <f t="shared" si="8"/>
        <v>0.13496872987049985</v>
      </c>
      <c r="AI17" s="34">
        <f t="shared" si="9"/>
        <v>6.3935921302936918E-2</v>
      </c>
      <c r="AJ17" s="35">
        <f t="shared" si="10"/>
        <v>0</v>
      </c>
      <c r="AK17" s="36">
        <v>3.6127811517685487E-2</v>
      </c>
    </row>
    <row r="18" spans="1:37">
      <c r="A18" s="33">
        <v>0.50624999999999998</v>
      </c>
      <c r="B18" s="37">
        <v>2.08</v>
      </c>
      <c r="C18" s="34">
        <f t="shared" si="0"/>
        <v>2.0598996113976455</v>
      </c>
      <c r="D18" s="34">
        <f t="shared" si="1"/>
        <v>2.0228167770419421</v>
      </c>
      <c r="E18" s="34">
        <f t="shared" si="2"/>
        <v>1.9857339426862386</v>
      </c>
      <c r="F18" s="35">
        <f t="shared" si="13"/>
        <v>17</v>
      </c>
      <c r="G18" s="34">
        <f t="shared" si="3"/>
        <v>0.13496872987049985</v>
      </c>
      <c r="H18" s="34">
        <f t="shared" si="4"/>
        <v>6.3935921302936918E-2</v>
      </c>
      <c r="I18" s="35">
        <f t="shared" si="5"/>
        <v>0</v>
      </c>
      <c r="J18" s="36">
        <v>0.11</v>
      </c>
      <c r="K18" s="36">
        <f t="shared" si="14"/>
        <v>0.09</v>
      </c>
      <c r="W18" s="33">
        <v>0.56041666666666667</v>
      </c>
      <c r="X18" s="34">
        <v>2.0295315408795433</v>
      </c>
      <c r="Y18" s="34">
        <f t="shared" si="6"/>
        <v>2.0598996113976455</v>
      </c>
      <c r="Z18" s="34">
        <f t="shared" si="12"/>
        <v>2.0113801324503306</v>
      </c>
      <c r="AA18" s="34">
        <f t="shared" si="7"/>
        <v>1.9857339426862386</v>
      </c>
      <c r="AB18">
        <v>2.08</v>
      </c>
      <c r="AC18">
        <v>2</v>
      </c>
      <c r="AD18">
        <v>1.92</v>
      </c>
      <c r="AH18" s="34">
        <f t="shared" si="8"/>
        <v>0.13496872987049985</v>
      </c>
      <c r="AI18" s="34">
        <f t="shared" si="9"/>
        <v>6.3935921302936918E-2</v>
      </c>
      <c r="AJ18" s="35">
        <f t="shared" si="10"/>
        <v>0</v>
      </c>
      <c r="AK18" s="36">
        <v>1.4154484694967492E-2</v>
      </c>
    </row>
    <row r="19" spans="1:37">
      <c r="A19" s="33">
        <v>0.51597222222222217</v>
      </c>
      <c r="B19" s="37">
        <v>2.0699999999999998</v>
      </c>
      <c r="C19" s="34">
        <f t="shared" si="0"/>
        <v>2.0598996113976455</v>
      </c>
      <c r="D19" s="34">
        <f t="shared" si="1"/>
        <v>2.0228167770419421</v>
      </c>
      <c r="E19" s="34">
        <f t="shared" si="2"/>
        <v>1.9857339426862386</v>
      </c>
      <c r="F19" s="35">
        <f t="shared" si="13"/>
        <v>18</v>
      </c>
      <c r="G19" s="34">
        <f t="shared" si="3"/>
        <v>0.13496872987049985</v>
      </c>
      <c r="H19" s="34">
        <f t="shared" si="4"/>
        <v>6.3935921302936918E-2</v>
      </c>
      <c r="I19" s="35">
        <f t="shared" si="5"/>
        <v>0</v>
      </c>
      <c r="J19" s="36">
        <v>0.12</v>
      </c>
      <c r="K19" s="36">
        <f t="shared" si="14"/>
        <v>9.9999999999999992E-2</v>
      </c>
      <c r="W19" s="33">
        <v>0.56944444444444442</v>
      </c>
      <c r="X19" s="34">
        <v>1.9998840296639913</v>
      </c>
      <c r="Y19" s="34">
        <f t="shared" si="6"/>
        <v>2.0598996113976455</v>
      </c>
      <c r="Z19" s="34">
        <f t="shared" si="12"/>
        <v>2.0113801324503306</v>
      </c>
      <c r="AA19" s="34">
        <f t="shared" si="7"/>
        <v>1.9857339426862386</v>
      </c>
      <c r="AB19">
        <v>2.08</v>
      </c>
      <c r="AC19">
        <v>2</v>
      </c>
      <c r="AD19">
        <v>1.92</v>
      </c>
      <c r="AH19" s="34">
        <f t="shared" si="8"/>
        <v>0.13496872987049985</v>
      </c>
      <c r="AI19" s="34">
        <f t="shared" si="9"/>
        <v>6.3935921302936918E-2</v>
      </c>
      <c r="AJ19" s="35">
        <f t="shared" si="10"/>
        <v>0</v>
      </c>
      <c r="AK19" s="36">
        <v>9.9999999999999992E-2</v>
      </c>
    </row>
    <row r="20" spans="1:37">
      <c r="A20" s="33">
        <v>0.52569444444444446</v>
      </c>
      <c r="B20" s="37">
        <v>2.08</v>
      </c>
      <c r="C20" s="34">
        <f t="shared" si="0"/>
        <v>2.0598996113976455</v>
      </c>
      <c r="D20" s="34">
        <f t="shared" si="1"/>
        <v>2.0228167770419421</v>
      </c>
      <c r="E20" s="34">
        <f t="shared" si="2"/>
        <v>1.9857339426862386</v>
      </c>
      <c r="F20" s="35">
        <f t="shared" si="13"/>
        <v>19</v>
      </c>
      <c r="G20" s="34">
        <f t="shared" si="3"/>
        <v>0.13496872987049985</v>
      </c>
      <c r="H20" s="34">
        <f t="shared" si="4"/>
        <v>6.3935921302936918E-2</v>
      </c>
      <c r="I20" s="35">
        <f t="shared" si="5"/>
        <v>0</v>
      </c>
      <c r="J20" s="36">
        <v>0.09</v>
      </c>
      <c r="K20" s="36">
        <f t="shared" si="14"/>
        <v>6.9999999999999993E-2</v>
      </c>
      <c r="W20" s="33">
        <v>0.57777777777777783</v>
      </c>
      <c r="X20" s="34">
        <v>2.0014679403057953</v>
      </c>
      <c r="Y20" s="34">
        <f t="shared" si="6"/>
        <v>2.0598996113976455</v>
      </c>
      <c r="Z20" s="34">
        <f t="shared" si="12"/>
        <v>2.0113801324503306</v>
      </c>
      <c r="AA20" s="34">
        <f t="shared" si="7"/>
        <v>1.9857339426862386</v>
      </c>
      <c r="AB20">
        <v>2.08</v>
      </c>
      <c r="AC20">
        <v>2</v>
      </c>
      <c r="AD20">
        <v>1.92</v>
      </c>
      <c r="AH20" s="34">
        <f t="shared" si="8"/>
        <v>0.13496872987049985</v>
      </c>
      <c r="AI20" s="34">
        <f t="shared" si="9"/>
        <v>6.3935921302936918E-2</v>
      </c>
      <c r="AJ20" s="35">
        <f t="shared" si="10"/>
        <v>0</v>
      </c>
      <c r="AK20" s="36">
        <v>2.0249031037324141E-2</v>
      </c>
    </row>
    <row r="21" spans="1:37">
      <c r="A21" s="33">
        <v>0.53125</v>
      </c>
      <c r="B21" s="37">
        <v>2.09</v>
      </c>
      <c r="C21" s="34">
        <f t="shared" si="0"/>
        <v>2.0598996113976455</v>
      </c>
      <c r="D21" s="34">
        <f t="shared" si="1"/>
        <v>2.0228167770419421</v>
      </c>
      <c r="E21" s="34">
        <f t="shared" si="2"/>
        <v>1.9857339426862386</v>
      </c>
      <c r="F21" s="35">
        <f t="shared" si="13"/>
        <v>20</v>
      </c>
      <c r="G21" s="34">
        <f t="shared" si="3"/>
        <v>0.13496872987049985</v>
      </c>
      <c r="H21" s="34">
        <f t="shared" si="4"/>
        <v>6.3935921302936918E-2</v>
      </c>
      <c r="I21" s="35">
        <f t="shared" si="5"/>
        <v>0</v>
      </c>
      <c r="J21" s="36">
        <v>0.11</v>
      </c>
      <c r="K21" s="36">
        <f t="shared" si="14"/>
        <v>0.09</v>
      </c>
      <c r="W21" s="33">
        <v>8.5416666666666655E-2</v>
      </c>
      <c r="X21" s="34">
        <v>2.0005871761223184</v>
      </c>
      <c r="Y21" s="34">
        <f t="shared" si="6"/>
        <v>2.0598996113976455</v>
      </c>
      <c r="Z21" s="34">
        <f t="shared" si="12"/>
        <v>2.0113801324503306</v>
      </c>
      <c r="AA21" s="34">
        <f t="shared" si="7"/>
        <v>1.9857339426862386</v>
      </c>
      <c r="AB21">
        <v>2.08</v>
      </c>
      <c r="AC21">
        <v>2</v>
      </c>
      <c r="AD21">
        <v>1.92</v>
      </c>
      <c r="AH21" s="34">
        <f t="shared" si="8"/>
        <v>0.13496872987049985</v>
      </c>
      <c r="AI21" s="34">
        <f t="shared" si="9"/>
        <v>6.3935921302936918E-2</v>
      </c>
      <c r="AJ21" s="35">
        <f t="shared" si="10"/>
        <v>0</v>
      </c>
      <c r="AK21" s="36">
        <v>5.9242530594805762E-2</v>
      </c>
    </row>
    <row r="22" spans="1:37">
      <c r="A22" s="33">
        <v>0.55208333333333337</v>
      </c>
      <c r="B22" s="34">
        <v>2.0192681661427656</v>
      </c>
      <c r="C22" s="34">
        <f t="shared" si="0"/>
        <v>2.0598996113976455</v>
      </c>
      <c r="D22" s="34">
        <f t="shared" si="1"/>
        <v>2.0228167770419421</v>
      </c>
      <c r="E22" s="34">
        <f t="shared" si="2"/>
        <v>1.9857339426862386</v>
      </c>
      <c r="F22" s="35">
        <f t="shared" si="13"/>
        <v>21</v>
      </c>
      <c r="G22" s="34">
        <f t="shared" si="3"/>
        <v>0.13496872987049985</v>
      </c>
      <c r="H22" s="34">
        <f t="shared" si="4"/>
        <v>6.3935921302936918E-2</v>
      </c>
      <c r="I22" s="35">
        <f t="shared" si="5"/>
        <v>0</v>
      </c>
      <c r="J22" s="36">
        <v>3.6127811517685487E-2</v>
      </c>
      <c r="K22" s="36">
        <f t="shared" si="14"/>
        <v>1.6127811517685487E-2</v>
      </c>
      <c r="W22" s="33">
        <v>9.5833333333333326E-2</v>
      </c>
      <c r="X22" s="34">
        <v>2.016195562608722</v>
      </c>
      <c r="Y22" s="34">
        <f t="shared" si="6"/>
        <v>2.0598996113976455</v>
      </c>
      <c r="Z22" s="34">
        <f t="shared" si="12"/>
        <v>2.0113801324503306</v>
      </c>
      <c r="AA22" s="34">
        <f t="shared" si="7"/>
        <v>1.9857339426862386</v>
      </c>
      <c r="AB22">
        <v>2.08</v>
      </c>
      <c r="AC22">
        <v>2</v>
      </c>
      <c r="AD22">
        <v>1.92</v>
      </c>
      <c r="AH22" s="34">
        <f t="shared" si="8"/>
        <v>0.13496872987049985</v>
      </c>
      <c r="AI22" s="34">
        <f t="shared" si="9"/>
        <v>6.3935921302936918E-2</v>
      </c>
      <c r="AJ22" s="35">
        <f t="shared" si="10"/>
        <v>0</v>
      </c>
      <c r="AK22" s="36">
        <v>9.3743705557420606E-2</v>
      </c>
    </row>
    <row r="23" spans="1:37">
      <c r="A23" s="33">
        <v>0.56041666666666667</v>
      </c>
      <c r="B23" s="34">
        <v>2.0295315408795433</v>
      </c>
      <c r="C23" s="34">
        <f t="shared" si="0"/>
        <v>2.0598996113976455</v>
      </c>
      <c r="D23" s="34">
        <f t="shared" si="1"/>
        <v>2.0228167770419421</v>
      </c>
      <c r="E23" s="34">
        <f t="shared" si="2"/>
        <v>1.9857339426862386</v>
      </c>
      <c r="F23" s="35">
        <f t="shared" si="13"/>
        <v>22</v>
      </c>
      <c r="G23" s="34">
        <f t="shared" si="3"/>
        <v>0.13496872987049985</v>
      </c>
      <c r="H23" s="34">
        <f t="shared" si="4"/>
        <v>6.3935921302936918E-2</v>
      </c>
      <c r="I23" s="35">
        <f t="shared" si="5"/>
        <v>0</v>
      </c>
      <c r="J23" s="36">
        <v>1.4154484694967492E-2</v>
      </c>
      <c r="K23" s="36">
        <f t="shared" si="14"/>
        <v>-5.8455153050325087E-3</v>
      </c>
      <c r="W23" s="33">
        <v>0.1125</v>
      </c>
      <c r="X23" s="34">
        <v>2.0067360454115422</v>
      </c>
      <c r="Y23" s="34">
        <f t="shared" si="6"/>
        <v>2.0598996113976455</v>
      </c>
      <c r="Z23" s="34">
        <f t="shared" si="12"/>
        <v>2.0113801324503306</v>
      </c>
      <c r="AA23" s="34">
        <f t="shared" si="7"/>
        <v>1.9857339426862386</v>
      </c>
      <c r="AB23">
        <v>2.08</v>
      </c>
      <c r="AC23">
        <v>2</v>
      </c>
      <c r="AD23">
        <v>1.92</v>
      </c>
      <c r="AH23" s="34">
        <f t="shared" si="8"/>
        <v>0.13496872987049985</v>
      </c>
      <c r="AI23" s="34">
        <f t="shared" si="9"/>
        <v>6.3935921302936918E-2</v>
      </c>
      <c r="AJ23" s="35">
        <f t="shared" si="10"/>
        <v>0</v>
      </c>
      <c r="AK23" s="36">
        <v>0.05</v>
      </c>
    </row>
    <row r="24" spans="1:37">
      <c r="A24" s="33">
        <v>0.56944444444444442</v>
      </c>
      <c r="B24" s="34">
        <v>1.9998840296639913</v>
      </c>
      <c r="C24" s="34">
        <f t="shared" si="0"/>
        <v>2.0598996113976455</v>
      </c>
      <c r="D24" s="34">
        <f t="shared" si="1"/>
        <v>2.0228167770419421</v>
      </c>
      <c r="E24" s="34">
        <f t="shared" si="2"/>
        <v>1.9857339426862386</v>
      </c>
      <c r="F24" s="35">
        <f t="shared" si="13"/>
        <v>23</v>
      </c>
      <c r="G24" s="34">
        <f t="shared" si="3"/>
        <v>0.13496872987049985</v>
      </c>
      <c r="H24" s="34">
        <f t="shared" si="4"/>
        <v>6.3935921302936918E-2</v>
      </c>
      <c r="I24" s="35">
        <f t="shared" si="5"/>
        <v>0</v>
      </c>
      <c r="J24" s="36">
        <v>9.9999999999999992E-2</v>
      </c>
      <c r="K24" s="36">
        <f t="shared" si="14"/>
        <v>7.9999999999999988E-2</v>
      </c>
      <c r="W24" s="33">
        <v>0.13194444444444445</v>
      </c>
      <c r="X24" s="34">
        <v>2.0242432935575425</v>
      </c>
      <c r="Y24" s="34">
        <f t="shared" si="6"/>
        <v>2.0598996113976455</v>
      </c>
      <c r="Z24" s="34">
        <f t="shared" si="12"/>
        <v>2.0113801324503306</v>
      </c>
      <c r="AA24" s="34">
        <f t="shared" si="7"/>
        <v>1.9857339426862386</v>
      </c>
      <c r="AB24">
        <v>2.08</v>
      </c>
      <c r="AC24">
        <v>2</v>
      </c>
      <c r="AD24">
        <v>1.92</v>
      </c>
      <c r="AH24" s="34">
        <f t="shared" si="8"/>
        <v>0.13496872987049985</v>
      </c>
      <c r="AI24" s="34">
        <f t="shared" si="9"/>
        <v>6.3935921302936918E-2</v>
      </c>
      <c r="AJ24" s="35">
        <f t="shared" si="10"/>
        <v>0</v>
      </c>
      <c r="AK24" s="36">
        <v>8.885464033936584E-2</v>
      </c>
    </row>
    <row r="25" spans="1:37">
      <c r="A25" s="33">
        <v>0.57777777777777783</v>
      </c>
      <c r="B25" s="34">
        <v>2.0014679403057953</v>
      </c>
      <c r="C25" s="34">
        <f t="shared" si="0"/>
        <v>2.0598996113976455</v>
      </c>
      <c r="D25" s="34">
        <f t="shared" si="1"/>
        <v>2.0228167770419421</v>
      </c>
      <c r="E25" s="34">
        <f t="shared" si="2"/>
        <v>1.9857339426862386</v>
      </c>
      <c r="F25" s="35">
        <f t="shared" si="13"/>
        <v>24</v>
      </c>
      <c r="G25" s="34">
        <f t="shared" si="3"/>
        <v>0.13496872987049985</v>
      </c>
      <c r="H25" s="34">
        <f t="shared" si="4"/>
        <v>6.3935921302936918E-2</v>
      </c>
      <c r="I25" s="35">
        <f t="shared" si="5"/>
        <v>0</v>
      </c>
      <c r="J25" s="36">
        <v>2.0249031037324141E-2</v>
      </c>
      <c r="K25" s="36">
        <f t="shared" si="14"/>
        <v>2.4903103732414056E-4</v>
      </c>
      <c r="W25" s="33">
        <v>0.15138888888888888</v>
      </c>
      <c r="X25" s="34">
        <v>2.0306686605426192</v>
      </c>
      <c r="Y25" s="34">
        <f t="shared" si="6"/>
        <v>2.0598996113976455</v>
      </c>
      <c r="Z25" s="34">
        <f t="shared" si="12"/>
        <v>2.0113801324503306</v>
      </c>
      <c r="AA25" s="34">
        <f t="shared" si="7"/>
        <v>1.9857339426862386</v>
      </c>
      <c r="AB25">
        <v>2.08</v>
      </c>
      <c r="AC25">
        <v>2</v>
      </c>
      <c r="AD25">
        <v>1.92</v>
      </c>
      <c r="AH25" s="34">
        <f t="shared" si="8"/>
        <v>0.13496872987049985</v>
      </c>
      <c r="AI25" s="34">
        <f t="shared" si="9"/>
        <v>6.3935921302936918E-2</v>
      </c>
      <c r="AJ25" s="35">
        <f t="shared" si="10"/>
        <v>0</v>
      </c>
      <c r="AK25" s="36">
        <v>1.7435224463637194E-2</v>
      </c>
    </row>
    <row r="26" spans="1:37">
      <c r="A26" s="33">
        <v>8.5416666666666655E-2</v>
      </c>
      <c r="B26" s="34">
        <v>2.0005871761223184</v>
      </c>
      <c r="C26" s="34">
        <f t="shared" si="0"/>
        <v>2.0598996113976455</v>
      </c>
      <c r="D26" s="34">
        <f t="shared" si="1"/>
        <v>2.0228167770419421</v>
      </c>
      <c r="E26" s="34">
        <f t="shared" si="2"/>
        <v>1.9857339426862386</v>
      </c>
      <c r="F26" s="35">
        <f t="shared" si="13"/>
        <v>25</v>
      </c>
      <c r="G26" s="34">
        <f t="shared" si="3"/>
        <v>0.13496872987049985</v>
      </c>
      <c r="H26" s="34">
        <f t="shared" si="4"/>
        <v>6.3935921302936918E-2</v>
      </c>
      <c r="I26" s="35">
        <f t="shared" si="5"/>
        <v>0</v>
      </c>
      <c r="J26" s="36">
        <v>5.9242530594805762E-2</v>
      </c>
      <c r="K26" s="36">
        <f t="shared" si="14"/>
        <v>3.9242530594805758E-2</v>
      </c>
      <c r="W26" s="33">
        <v>0.15902777777777777</v>
      </c>
      <c r="X26" s="34">
        <v>2.0255488753929258</v>
      </c>
      <c r="Y26" s="34">
        <f t="shared" si="6"/>
        <v>2.0598996113976455</v>
      </c>
      <c r="Z26" s="34">
        <f t="shared" si="12"/>
        <v>2.0113801324503306</v>
      </c>
      <c r="AA26" s="34">
        <f t="shared" si="7"/>
        <v>1.9857339426862386</v>
      </c>
      <c r="AB26">
        <v>2.08</v>
      </c>
      <c r="AC26">
        <v>2</v>
      </c>
      <c r="AD26">
        <v>1.92</v>
      </c>
      <c r="AH26" s="34">
        <f t="shared" si="8"/>
        <v>0.13496872987049985</v>
      </c>
      <c r="AI26" s="34">
        <f t="shared" si="9"/>
        <v>6.3935921302936918E-2</v>
      </c>
      <c r="AJ26" s="35">
        <f t="shared" si="10"/>
        <v>0</v>
      </c>
      <c r="AK26" s="36">
        <v>4.2191839350566113E-2</v>
      </c>
    </row>
    <row r="27" spans="1:37">
      <c r="A27" s="33">
        <v>9.5833333333333326E-2</v>
      </c>
      <c r="B27" s="34">
        <v>2.016195562608722</v>
      </c>
      <c r="C27" s="34">
        <f t="shared" si="0"/>
        <v>2.0598996113976455</v>
      </c>
      <c r="D27" s="34">
        <f t="shared" si="1"/>
        <v>2.0228167770419421</v>
      </c>
      <c r="E27" s="34">
        <f t="shared" si="2"/>
        <v>1.9857339426862386</v>
      </c>
      <c r="F27" s="35">
        <f t="shared" si="13"/>
        <v>26</v>
      </c>
      <c r="G27" s="34">
        <f t="shared" si="3"/>
        <v>0.13496872987049985</v>
      </c>
      <c r="H27" s="34">
        <f t="shared" si="4"/>
        <v>6.3935921302936918E-2</v>
      </c>
      <c r="I27" s="35">
        <f t="shared" si="5"/>
        <v>0</v>
      </c>
      <c r="J27" s="36">
        <v>9.3743705557420606E-2</v>
      </c>
      <c r="K27" s="36">
        <f t="shared" si="14"/>
        <v>7.3743705557420602E-2</v>
      </c>
      <c r="X27" s="38">
        <f>AVERAGE(X2:X26)</f>
        <v>2.0113801324503306</v>
      </c>
      <c r="AH27" s="35"/>
      <c r="AI27" s="35"/>
      <c r="AJ27" s="35"/>
      <c r="AK27" s="34">
        <f>AVERAGE(AK2:AK26)</f>
        <v>5.5523105563524272E-2</v>
      </c>
    </row>
    <row r="28" spans="1:37">
      <c r="A28" s="33">
        <v>0.1125</v>
      </c>
      <c r="B28" s="34">
        <v>2.0067360454115422</v>
      </c>
      <c r="C28" s="34">
        <f t="shared" si="0"/>
        <v>2.0598996113976455</v>
      </c>
      <c r="D28" s="34">
        <f t="shared" si="1"/>
        <v>2.0228167770419421</v>
      </c>
      <c r="E28" s="34">
        <f t="shared" si="2"/>
        <v>1.9857339426862386</v>
      </c>
      <c r="F28" s="35">
        <f>F27+1</f>
        <v>27</v>
      </c>
      <c r="G28" s="34">
        <f t="shared" si="3"/>
        <v>0.13496872987049985</v>
      </c>
      <c r="H28" s="34">
        <f t="shared" si="4"/>
        <v>6.3935921302936918E-2</v>
      </c>
      <c r="I28" s="35">
        <f t="shared" si="5"/>
        <v>0</v>
      </c>
      <c r="J28" s="36">
        <v>0.05</v>
      </c>
      <c r="K28" s="36">
        <f t="shared" si="14"/>
        <v>3.0000000000000002E-2</v>
      </c>
    </row>
    <row r="29" spans="1:37">
      <c r="A29" s="33">
        <v>0.13194444444444445</v>
      </c>
      <c r="B29" s="34">
        <v>2.0242432935575425</v>
      </c>
      <c r="C29" s="34">
        <f t="shared" si="0"/>
        <v>2.0598996113976455</v>
      </c>
      <c r="D29" s="34">
        <f t="shared" si="1"/>
        <v>2.0228167770419421</v>
      </c>
      <c r="E29" s="34">
        <f t="shared" si="2"/>
        <v>1.9857339426862386</v>
      </c>
      <c r="F29" s="35">
        <f t="shared" si="13"/>
        <v>28</v>
      </c>
      <c r="G29" s="34">
        <f t="shared" si="3"/>
        <v>0.13496872987049985</v>
      </c>
      <c r="H29" s="34">
        <f t="shared" si="4"/>
        <v>6.3935921302936918E-2</v>
      </c>
      <c r="I29" s="35">
        <f t="shared" si="5"/>
        <v>0</v>
      </c>
      <c r="J29" s="36">
        <v>8.885464033936584E-2</v>
      </c>
      <c r="K29" s="36">
        <f t="shared" si="14"/>
        <v>6.8854640339365836E-2</v>
      </c>
    </row>
    <row r="30" spans="1:37">
      <c r="A30" s="33">
        <v>0.15138888888888888</v>
      </c>
      <c r="B30" s="34">
        <v>2.0306686605426192</v>
      </c>
      <c r="C30" s="34">
        <f t="shared" si="0"/>
        <v>2.0598996113976455</v>
      </c>
      <c r="D30" s="34">
        <f t="shared" si="1"/>
        <v>2.0228167770419421</v>
      </c>
      <c r="E30" s="34">
        <f t="shared" si="2"/>
        <v>1.9857339426862386</v>
      </c>
      <c r="F30" s="35">
        <f t="shared" si="13"/>
        <v>29</v>
      </c>
      <c r="G30" s="34">
        <f t="shared" si="3"/>
        <v>0.13496872987049985</v>
      </c>
      <c r="H30" s="34">
        <f t="shared" si="4"/>
        <v>6.3935921302936918E-2</v>
      </c>
      <c r="I30" s="35">
        <f t="shared" si="5"/>
        <v>0</v>
      </c>
      <c r="J30" s="36">
        <v>1.7435224463637194E-2</v>
      </c>
      <c r="K30" s="36">
        <f t="shared" si="14"/>
        <v>-2.5647755363628066E-3</v>
      </c>
    </row>
    <row r="31" spans="1:37">
      <c r="A31" s="33">
        <v>0.15902777777777777</v>
      </c>
      <c r="B31" s="34">
        <v>2.0255488753929258</v>
      </c>
      <c r="C31" s="34">
        <f t="shared" si="0"/>
        <v>2.0598996113976455</v>
      </c>
      <c r="D31" s="34">
        <f t="shared" si="1"/>
        <v>2.0228167770419421</v>
      </c>
      <c r="E31" s="34">
        <f t="shared" si="2"/>
        <v>1.9857339426862386</v>
      </c>
      <c r="F31" s="35">
        <f t="shared" si="13"/>
        <v>30</v>
      </c>
      <c r="G31" s="34">
        <f t="shared" si="3"/>
        <v>0.13496872987049985</v>
      </c>
      <c r="H31" s="34">
        <f t="shared" si="4"/>
        <v>6.3935921302936918E-2</v>
      </c>
      <c r="I31" s="35">
        <f t="shared" si="5"/>
        <v>0</v>
      </c>
      <c r="J31" s="36">
        <v>4.2191839350566113E-2</v>
      </c>
      <c r="K31" s="36">
        <f t="shared" si="14"/>
        <v>2.2191839350566112E-2</v>
      </c>
    </row>
    <row r="32" spans="1:37">
      <c r="B32" s="38">
        <f>AVERAGE(B2:B31)</f>
        <v>2.0228167770419421</v>
      </c>
      <c r="C32" s="35"/>
      <c r="D32" s="35"/>
      <c r="E32" s="35"/>
      <c r="F32" s="35"/>
      <c r="G32" s="35"/>
      <c r="H32" s="35"/>
      <c r="I32" s="35"/>
      <c r="J32" s="34">
        <f>AVERAGE(J2:J31)</f>
        <v>6.3935921302936918E-2</v>
      </c>
      <c r="K32" s="36"/>
    </row>
    <row r="33" spans="2:10">
      <c r="B33" s="35"/>
      <c r="C33" s="35"/>
      <c r="D33" s="35"/>
      <c r="E33" s="35"/>
      <c r="F33" s="35"/>
      <c r="G33" s="35"/>
      <c r="H33" s="35"/>
      <c r="I33" s="35"/>
      <c r="J33" s="34"/>
    </row>
    <row r="34" spans="2:10">
      <c r="B34" s="39" t="s">
        <v>35</v>
      </c>
      <c r="C34" s="40">
        <v>0.57999999999999996</v>
      </c>
    </row>
    <row r="35" spans="2:10">
      <c r="B35" s="39" t="s">
        <v>36</v>
      </c>
      <c r="C35" s="40">
        <v>2.1110000000000002</v>
      </c>
    </row>
    <row r="36" spans="2:10">
      <c r="B36" s="39" t="s">
        <v>37</v>
      </c>
      <c r="C36" s="40">
        <v>0</v>
      </c>
      <c r="E36">
        <f>C34*J32</f>
        <v>3.7082834355703413E-2</v>
      </c>
    </row>
    <row r="37" spans="2:10">
      <c r="B37" s="39" t="s">
        <v>38</v>
      </c>
      <c r="C37" s="40">
        <v>2.33</v>
      </c>
    </row>
    <row r="39" spans="2:10">
      <c r="B39" s="39" t="s">
        <v>39</v>
      </c>
    </row>
    <row r="40" spans="2:10">
      <c r="E40" s="163" t="s">
        <v>99</v>
      </c>
      <c r="F40" s="163"/>
    </row>
    <row r="41" spans="2:10">
      <c r="B41" s="39" t="s">
        <v>40</v>
      </c>
      <c r="C41" s="41">
        <f>J32/$C$37</f>
        <v>2.7440309572075931E-2</v>
      </c>
      <c r="E41" t="s">
        <v>41</v>
      </c>
      <c r="F41" t="s">
        <v>42</v>
      </c>
    </row>
    <row r="42" spans="2:10">
      <c r="E42">
        <f>(C43-Z23)/C41</f>
        <v>2.5006958237635564</v>
      </c>
      <c r="F42">
        <f>(C45-Z23)/C41</f>
        <v>-3.3301421840853371</v>
      </c>
    </row>
    <row r="43" spans="2:10">
      <c r="B43" t="s">
        <v>43</v>
      </c>
      <c r="C43">
        <v>2.08</v>
      </c>
      <c r="E43">
        <f>NORMSDIST(E42)</f>
        <v>0.99380252067904562</v>
      </c>
      <c r="F43">
        <f>NORMSDIST(F42)</f>
        <v>4.3400823645603574E-4</v>
      </c>
    </row>
    <row r="44" spans="2:10">
      <c r="B44" t="s">
        <v>10</v>
      </c>
      <c r="C44">
        <v>2</v>
      </c>
    </row>
    <row r="45" spans="2:10">
      <c r="B45" t="s">
        <v>44</v>
      </c>
      <c r="C45">
        <v>1.92</v>
      </c>
      <c r="E45" t="s">
        <v>45</v>
      </c>
      <c r="F45" s="42">
        <f>1-(E43-F43)</f>
        <v>6.6314875574103871E-3</v>
      </c>
    </row>
    <row r="47" spans="2:10">
      <c r="B47" s="39" t="s">
        <v>46</v>
      </c>
    </row>
    <row r="49" spans="2:8">
      <c r="B49" t="s">
        <v>47</v>
      </c>
      <c r="C49" s="43">
        <f>(5/60)*100</f>
        <v>8.3333333333333321</v>
      </c>
    </row>
    <row r="51" spans="2:8">
      <c r="B51" s="39" t="s">
        <v>48</v>
      </c>
      <c r="F51" s="163" t="s">
        <v>100</v>
      </c>
      <c r="G51" s="163"/>
      <c r="H51" s="163"/>
    </row>
    <row r="52" spans="2:8">
      <c r="F52" t="s">
        <v>40</v>
      </c>
      <c r="G52" s="41">
        <f>AK27/$C$37</f>
        <v>2.3829659040139173E-2</v>
      </c>
    </row>
    <row r="53" spans="2:8">
      <c r="B53" t="s">
        <v>49</v>
      </c>
      <c r="C53" s="34">
        <f>($C$43-$C$45)/(6*$C$41)</f>
        <v>0.97180633464148225</v>
      </c>
      <c r="D53" s="34"/>
      <c r="F53" t="s">
        <v>49</v>
      </c>
      <c r="G53" s="34">
        <f>($C$43-$C$45)/(6*G52)</f>
        <v>1.1190536390700683</v>
      </c>
      <c r="H53" s="34"/>
    </row>
    <row r="54" spans="2:8">
      <c r="B54" t="s">
        <v>50</v>
      </c>
      <c r="C54" s="34">
        <f>($C$43-$X$27)/(3*$C$41)</f>
        <v>0.83356527458785223</v>
      </c>
      <c r="D54" s="34">
        <f>($X$27-$C$45)/(3*$C$41)</f>
        <v>1.1100473946951124</v>
      </c>
      <c r="F54" t="s">
        <v>50</v>
      </c>
      <c r="G54" s="34">
        <f>($C$43-$X$27)/(3*G52)</f>
        <v>0.95986640617454477</v>
      </c>
      <c r="H54" s="34">
        <f>($X$27-$C$45)/(3*G52)</f>
        <v>1.2782408719655916</v>
      </c>
    </row>
    <row r="55" spans="2:8">
      <c r="B55" t="s">
        <v>51</v>
      </c>
      <c r="C55" s="34">
        <f>($C$43-$C$45)/(6*$C$56)</f>
        <v>0.89767015762716629</v>
      </c>
      <c r="D55" s="34"/>
      <c r="F55" t="s">
        <v>51</v>
      </c>
      <c r="G55" s="34">
        <f>($C$43-$C$45)/(6*G56)</f>
        <v>1.0098112289628882</v>
      </c>
      <c r="H55" s="34"/>
    </row>
    <row r="56" spans="2:8">
      <c r="B56" t="s">
        <v>52</v>
      </c>
      <c r="C56" s="34">
        <f>SQRT(($C$41^2+($X$27-$C$44)^2))</f>
        <v>2.9706531335691663E-2</v>
      </c>
      <c r="D56" s="34"/>
      <c r="F56" t="s">
        <v>52</v>
      </c>
      <c r="G56" s="34">
        <f>SQRT((G52^2+($X$27-$C$44)^2))</f>
        <v>2.6407575893223428E-2</v>
      </c>
      <c r="H56" s="34"/>
    </row>
    <row r="60" spans="2:8">
      <c r="B60" s="39" t="s">
        <v>53</v>
      </c>
    </row>
    <row r="61" spans="2:8">
      <c r="B61" t="s">
        <v>54</v>
      </c>
    </row>
    <row r="62" spans="2:8">
      <c r="B62" t="s">
        <v>101</v>
      </c>
    </row>
    <row r="63" spans="2:8">
      <c r="B63" t="s">
        <v>102</v>
      </c>
    </row>
    <row r="65" spans="2:12">
      <c r="B65" s="39" t="s">
        <v>103</v>
      </c>
    </row>
    <row r="66" spans="2:12">
      <c r="B66" t="s">
        <v>104</v>
      </c>
    </row>
    <row r="67" spans="2:12">
      <c r="B67" t="s">
        <v>105</v>
      </c>
    </row>
    <row r="68" spans="2:12">
      <c r="B68" t="s">
        <v>106</v>
      </c>
    </row>
    <row r="73" spans="2:12">
      <c r="B73" t="s">
        <v>95</v>
      </c>
      <c r="C73" s="44">
        <v>0.34027777777777773</v>
      </c>
      <c r="D73" s="44">
        <v>0.34722222222222227</v>
      </c>
      <c r="E73" s="44">
        <v>0.3611111111111111</v>
      </c>
      <c r="F73" s="44">
        <v>0.37013888888888885</v>
      </c>
      <c r="G73" s="44">
        <v>0.38958333333333334</v>
      </c>
      <c r="H73" s="44">
        <v>0.39930555555555558</v>
      </c>
      <c r="I73" s="44">
        <v>0.4055555555555555</v>
      </c>
      <c r="J73" s="44">
        <v>0.40972222222222227</v>
      </c>
      <c r="K73" s="44">
        <v>0.42708333333333331</v>
      </c>
      <c r="L73" s="44">
        <v>0.43611111111111112</v>
      </c>
    </row>
    <row r="74" spans="2:12">
      <c r="B74" t="s">
        <v>29</v>
      </c>
      <c r="C74" s="34">
        <v>2.0160527359843745</v>
      </c>
      <c r="D74" s="34">
        <v>2.0005963316751609</v>
      </c>
      <c r="E74" s="34">
        <v>2.0120151371807</v>
      </c>
      <c r="F74" s="34">
        <v>1.99</v>
      </c>
      <c r="G74" s="34">
        <v>1.9950000000000001</v>
      </c>
      <c r="H74" s="34">
        <v>2.08</v>
      </c>
      <c r="I74" s="34">
        <v>2.0266658528397472</v>
      </c>
      <c r="J74" s="34">
        <v>2.0024640644550922</v>
      </c>
      <c r="K74" s="34">
        <v>2.04</v>
      </c>
      <c r="L74" s="34">
        <v>2.0028852198858607</v>
      </c>
    </row>
    <row r="75" spans="2:12">
      <c r="B75" t="s">
        <v>107</v>
      </c>
      <c r="C75" s="34">
        <v>2.5528733176671644E-2</v>
      </c>
      <c r="D75" s="34">
        <v>3.5520493179113127E-2</v>
      </c>
      <c r="E75" s="34">
        <v>6.6631061738944689E-2</v>
      </c>
      <c r="F75" s="34">
        <v>3.198034607989747E-2</v>
      </c>
      <c r="G75" s="34">
        <v>8.4072389904477088E-2</v>
      </c>
      <c r="H75" s="34">
        <v>0.1</v>
      </c>
      <c r="I75" s="34">
        <v>4.8823511459700333E-2</v>
      </c>
      <c r="J75" s="34">
        <v>0.09</v>
      </c>
      <c r="K75" s="34">
        <v>2.229377117221595E-2</v>
      </c>
      <c r="L75" s="34">
        <v>2.2602008117923521E-2</v>
      </c>
    </row>
    <row r="77" spans="2:12">
      <c r="B77" t="s">
        <v>95</v>
      </c>
      <c r="C77" s="44">
        <v>0.44444444444444442</v>
      </c>
      <c r="D77" s="44">
        <v>0.45277777777777778</v>
      </c>
      <c r="E77" s="44">
        <v>0.47569444444444442</v>
      </c>
      <c r="F77" s="44">
        <v>0.48333333333333334</v>
      </c>
      <c r="G77" s="44">
        <v>0.48749999999999999</v>
      </c>
      <c r="H77" s="44">
        <v>0.49791666666666662</v>
      </c>
      <c r="I77" s="44">
        <v>0.50624999999999998</v>
      </c>
      <c r="J77" s="44">
        <v>0.51597222222222217</v>
      </c>
      <c r="K77" s="44">
        <v>0.52569444444444446</v>
      </c>
      <c r="L77" s="44">
        <v>0.53125</v>
      </c>
    </row>
    <row r="78" spans="2:12">
      <c r="B78" t="s">
        <v>29</v>
      </c>
      <c r="C78" s="34">
        <v>2.0296926786095768</v>
      </c>
      <c r="D78" s="34">
        <v>1.9950000000000001</v>
      </c>
      <c r="E78" s="34">
        <v>1.99</v>
      </c>
      <c r="F78" s="34">
        <v>2.04</v>
      </c>
      <c r="G78" s="34">
        <v>1.99</v>
      </c>
      <c r="H78" s="34">
        <v>2</v>
      </c>
      <c r="I78" s="34">
        <v>2.08</v>
      </c>
      <c r="J78" s="34">
        <v>2.0699999999999998</v>
      </c>
      <c r="K78" s="34">
        <v>2.08</v>
      </c>
      <c r="L78" s="34">
        <v>2.09</v>
      </c>
    </row>
    <row r="79" spans="2:12">
      <c r="B79" t="s">
        <v>107</v>
      </c>
      <c r="C79" s="34">
        <v>0.11</v>
      </c>
      <c r="D79" s="34">
        <v>9.2425305948057521E-2</v>
      </c>
      <c r="E79" s="34">
        <v>6.1677907650990335E-2</v>
      </c>
      <c r="F79" s="34">
        <v>7.0000000000000007E-2</v>
      </c>
      <c r="G79" s="34">
        <v>4.0446180608539078E-2</v>
      </c>
      <c r="H79" s="34">
        <v>6.4076662495803724E-2</v>
      </c>
      <c r="I79" s="34">
        <v>0.11</v>
      </c>
      <c r="J79" s="34">
        <v>0.12</v>
      </c>
      <c r="K79" s="34">
        <v>0.09</v>
      </c>
      <c r="L79" s="34">
        <v>0.11</v>
      </c>
    </row>
    <row r="80" spans="2:12">
      <c r="C80" s="35"/>
      <c r="D80" s="35"/>
      <c r="E80" s="35"/>
      <c r="F80" s="35"/>
      <c r="G80" s="35"/>
      <c r="H80" s="35"/>
      <c r="I80" s="35"/>
      <c r="J80" s="35"/>
      <c r="K80" s="35"/>
      <c r="L80" s="35"/>
    </row>
    <row r="81" spans="2:12">
      <c r="B81" t="s">
        <v>95</v>
      </c>
      <c r="C81" s="44">
        <v>0.55208333333333337</v>
      </c>
      <c r="D81" s="44">
        <v>0.56041666666666667</v>
      </c>
      <c r="E81" s="44">
        <v>0.56944444444444442</v>
      </c>
      <c r="F81" s="44">
        <v>0.57777777777777783</v>
      </c>
      <c r="G81" s="44">
        <v>0.5854166666666667</v>
      </c>
      <c r="H81" s="44">
        <v>0.59583333333333333</v>
      </c>
      <c r="I81" s="44">
        <v>0.61249999999999993</v>
      </c>
      <c r="J81" s="44">
        <v>0.63194444444444442</v>
      </c>
      <c r="K81" s="44">
        <v>0.65138888888888891</v>
      </c>
      <c r="L81" s="44">
        <v>0.65902777777777777</v>
      </c>
    </row>
    <row r="82" spans="2:12">
      <c r="B82" t="s">
        <v>29</v>
      </c>
      <c r="C82" s="34">
        <v>2.0192681661427656</v>
      </c>
      <c r="D82" s="34">
        <v>2.0295315408795433</v>
      </c>
      <c r="E82" s="34">
        <v>1.9998840296639913</v>
      </c>
      <c r="F82" s="34">
        <v>2.0014679403057953</v>
      </c>
      <c r="G82" s="34">
        <v>2.0005871761223184</v>
      </c>
      <c r="H82" s="34">
        <v>2.016195562608722</v>
      </c>
      <c r="I82" s="34">
        <v>2.0067360454115422</v>
      </c>
      <c r="J82" s="34">
        <v>2.0242432935575425</v>
      </c>
      <c r="K82" s="34">
        <v>2.0306686605426192</v>
      </c>
      <c r="L82" s="34">
        <v>2.0255488753929258</v>
      </c>
    </row>
    <row r="83" spans="2:12">
      <c r="B83" t="s">
        <v>107</v>
      </c>
      <c r="C83" s="34">
        <v>3.6127811517685487E-2</v>
      </c>
      <c r="D83" s="34">
        <v>1.4154484694967492E-2</v>
      </c>
      <c r="E83" s="34">
        <v>9.9999999999999992E-2</v>
      </c>
      <c r="F83" s="34">
        <v>2.0249031037324141E-2</v>
      </c>
      <c r="G83" s="34">
        <v>5.9242530594805762E-2</v>
      </c>
      <c r="H83" s="34">
        <v>9.3743705557420606E-2</v>
      </c>
      <c r="I83" s="34">
        <v>0.05</v>
      </c>
      <c r="J83" s="34">
        <v>8.885464033936584E-2</v>
      </c>
      <c r="K83" s="34">
        <v>1.7435224463637194E-2</v>
      </c>
      <c r="L83" s="34">
        <v>4.2191839350566113E-2</v>
      </c>
    </row>
  </sheetData>
  <mergeCells count="2">
    <mergeCell ref="E40:F40"/>
    <mergeCell ref="F51:H5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D109"/>
  <sheetViews>
    <sheetView workbookViewId="0">
      <selection activeCell="U43" sqref="U43"/>
    </sheetView>
  </sheetViews>
  <sheetFormatPr baseColWidth="10" defaultRowHeight="13"/>
  <cols>
    <col min="1" max="4" width="10.83203125" style="7"/>
    <col min="5" max="5" width="6.33203125" style="7" customWidth="1"/>
    <col min="6" max="6" width="8" style="7" customWidth="1"/>
    <col min="7" max="7" width="7" style="7" customWidth="1"/>
    <col min="8" max="8" width="6.83203125" style="7" customWidth="1"/>
    <col min="9" max="9" width="5.1640625" style="7" customWidth="1"/>
    <col min="10" max="11" width="10.83203125" style="7"/>
    <col min="12" max="12" width="6" style="7" customWidth="1"/>
    <col min="13" max="15" width="10.83203125" style="7"/>
    <col min="16" max="16" width="8.83203125" style="7" customWidth="1"/>
    <col min="17" max="17" width="3.83203125" style="7" customWidth="1"/>
    <col min="18" max="21" width="10.83203125" style="7"/>
    <col min="22" max="22" width="16" style="7" customWidth="1"/>
    <col min="23" max="23" width="28.5" style="7" customWidth="1"/>
    <col min="24" max="24" width="21.6640625" style="7" customWidth="1"/>
    <col min="25" max="25" width="21.5" style="7" customWidth="1"/>
    <col min="26" max="26" width="28.5" style="7" customWidth="1"/>
    <col min="27" max="27" width="10.6640625" style="7" customWidth="1"/>
    <col min="28" max="28" width="13.1640625" style="7" customWidth="1"/>
    <col min="29" max="29" width="20.5" style="7" bestFit="1" customWidth="1"/>
    <col min="30" max="30" width="19.33203125" style="7" customWidth="1"/>
    <col min="31" max="16384" width="10.83203125" style="7"/>
  </cols>
  <sheetData>
    <row r="3" spans="2:9">
      <c r="F3" s="164" t="s">
        <v>108</v>
      </c>
      <c r="G3" s="164"/>
      <c r="H3" s="164"/>
    </row>
    <row r="4" spans="2:9">
      <c r="B4" s="7" t="s">
        <v>109</v>
      </c>
      <c r="C4" s="10" t="s">
        <v>110</v>
      </c>
      <c r="D4" s="7" t="s">
        <v>111</v>
      </c>
      <c r="F4" s="10" t="s">
        <v>112</v>
      </c>
      <c r="G4" s="10" t="s">
        <v>113</v>
      </c>
      <c r="H4" s="10" t="s">
        <v>114</v>
      </c>
      <c r="I4" s="10"/>
    </row>
    <row r="5" spans="2:9">
      <c r="B5" s="7">
        <v>1</v>
      </c>
      <c r="C5" s="15">
        <v>7.7</v>
      </c>
      <c r="D5" s="15"/>
      <c r="F5" s="25">
        <f t="shared" ref="F5:F29" si="0">$C$36</f>
        <v>5.1087964601769906</v>
      </c>
      <c r="G5" s="25">
        <f t="shared" ref="G5:G29" si="1">$C$35</f>
        <v>7.2879999999999994</v>
      </c>
      <c r="H5" s="25">
        <f t="shared" ref="H5:H29" si="2">$C$34</f>
        <v>9.4672035398230072</v>
      </c>
      <c r="I5" s="10"/>
    </row>
    <row r="6" spans="2:9">
      <c r="B6" s="7">
        <v>2</v>
      </c>
      <c r="C6" s="15">
        <v>7.8</v>
      </c>
      <c r="D6" s="15">
        <f>ABS(C6-C5)</f>
        <v>9.9999999999999645E-2</v>
      </c>
      <c r="F6" s="25">
        <f t="shared" si="0"/>
        <v>5.1087964601769906</v>
      </c>
      <c r="G6" s="25">
        <f t="shared" si="1"/>
        <v>7.2879999999999994</v>
      </c>
      <c r="H6" s="25">
        <f t="shared" si="2"/>
        <v>9.4672035398230072</v>
      </c>
      <c r="I6" s="10"/>
    </row>
    <row r="7" spans="2:9">
      <c r="B7" s="7">
        <v>3</v>
      </c>
      <c r="C7" s="15">
        <v>8.5</v>
      </c>
      <c r="D7" s="15">
        <f t="shared" ref="D7:D28" si="3">ABS(C7-C6)</f>
        <v>0.70000000000000018</v>
      </c>
      <c r="F7" s="25">
        <f t="shared" si="0"/>
        <v>5.1087964601769906</v>
      </c>
      <c r="G7" s="25">
        <f t="shared" si="1"/>
        <v>7.2879999999999994</v>
      </c>
      <c r="H7" s="25">
        <f t="shared" si="2"/>
        <v>9.4672035398230072</v>
      </c>
      <c r="I7" s="10"/>
    </row>
    <row r="8" spans="2:9">
      <c r="B8" s="7">
        <v>4</v>
      </c>
      <c r="C8" s="15">
        <v>8.6</v>
      </c>
      <c r="D8" s="15">
        <f t="shared" si="3"/>
        <v>9.9999999999999645E-2</v>
      </c>
      <c r="F8" s="25">
        <f t="shared" si="0"/>
        <v>5.1087964601769906</v>
      </c>
      <c r="G8" s="25">
        <f t="shared" si="1"/>
        <v>7.2879999999999994</v>
      </c>
      <c r="H8" s="25">
        <f t="shared" si="2"/>
        <v>9.4672035398230072</v>
      </c>
      <c r="I8" s="10"/>
    </row>
    <row r="9" spans="2:9">
      <c r="B9" s="7">
        <v>5</v>
      </c>
      <c r="C9" s="15">
        <v>6.7</v>
      </c>
      <c r="D9" s="15">
        <f t="shared" si="3"/>
        <v>1.8999999999999995</v>
      </c>
      <c r="F9" s="25">
        <f t="shared" si="0"/>
        <v>5.1087964601769906</v>
      </c>
      <c r="G9" s="25">
        <f t="shared" si="1"/>
        <v>7.2879999999999994</v>
      </c>
      <c r="H9" s="25">
        <f t="shared" si="2"/>
        <v>9.4672035398230072</v>
      </c>
      <c r="I9" s="10"/>
    </row>
    <row r="10" spans="2:9">
      <c r="B10" s="7">
        <v>6</v>
      </c>
      <c r="C10" s="15">
        <v>7.9</v>
      </c>
      <c r="D10" s="15">
        <f t="shared" si="3"/>
        <v>1.2000000000000002</v>
      </c>
      <c r="F10" s="25">
        <f t="shared" si="0"/>
        <v>5.1087964601769906</v>
      </c>
      <c r="G10" s="25">
        <f t="shared" si="1"/>
        <v>7.2879999999999994</v>
      </c>
      <c r="H10" s="25">
        <f t="shared" si="2"/>
        <v>9.4672035398230072</v>
      </c>
      <c r="I10" s="10"/>
    </row>
    <row r="11" spans="2:9">
      <c r="B11" s="7">
        <v>7</v>
      </c>
      <c r="C11" s="15">
        <v>8.1</v>
      </c>
      <c r="D11" s="15">
        <f t="shared" si="3"/>
        <v>0.19999999999999929</v>
      </c>
      <c r="F11" s="25">
        <f t="shared" si="0"/>
        <v>5.1087964601769906</v>
      </c>
      <c r="G11" s="25">
        <f t="shared" si="1"/>
        <v>7.2879999999999994</v>
      </c>
      <c r="H11" s="25">
        <f t="shared" si="2"/>
        <v>9.4672035398230072</v>
      </c>
      <c r="I11" s="10"/>
    </row>
    <row r="12" spans="2:9">
      <c r="B12" s="7">
        <v>8</v>
      </c>
      <c r="C12" s="15">
        <v>7.6</v>
      </c>
      <c r="D12" s="15">
        <f t="shared" si="3"/>
        <v>0.5</v>
      </c>
      <c r="F12" s="25">
        <f t="shared" si="0"/>
        <v>5.1087964601769906</v>
      </c>
      <c r="G12" s="25">
        <f t="shared" si="1"/>
        <v>7.2879999999999994</v>
      </c>
      <c r="H12" s="25">
        <f t="shared" si="2"/>
        <v>9.4672035398230072</v>
      </c>
      <c r="I12" s="10"/>
    </row>
    <row r="13" spans="2:9">
      <c r="B13" s="7">
        <v>9</v>
      </c>
      <c r="C13" s="15">
        <v>7.1</v>
      </c>
      <c r="D13" s="15">
        <f t="shared" si="3"/>
        <v>0.5</v>
      </c>
      <c r="F13" s="25">
        <f t="shared" si="0"/>
        <v>5.1087964601769906</v>
      </c>
      <c r="G13" s="25">
        <f t="shared" si="1"/>
        <v>7.2879999999999994</v>
      </c>
      <c r="H13" s="25">
        <f t="shared" si="2"/>
        <v>9.4672035398230072</v>
      </c>
      <c r="I13" s="10"/>
    </row>
    <row r="14" spans="2:9">
      <c r="B14" s="7">
        <v>10</v>
      </c>
      <c r="C14" s="15">
        <v>7.3</v>
      </c>
      <c r="D14" s="15">
        <f t="shared" si="3"/>
        <v>0.20000000000000018</v>
      </c>
      <c r="F14" s="25">
        <f t="shared" si="0"/>
        <v>5.1087964601769906</v>
      </c>
      <c r="G14" s="25">
        <f t="shared" si="1"/>
        <v>7.2879999999999994</v>
      </c>
      <c r="H14" s="25">
        <f t="shared" si="2"/>
        <v>9.4672035398230072</v>
      </c>
      <c r="I14" s="10"/>
    </row>
    <row r="15" spans="2:9">
      <c r="B15" s="7">
        <v>11</v>
      </c>
      <c r="C15" s="15">
        <v>7.8</v>
      </c>
      <c r="D15" s="15">
        <f t="shared" si="3"/>
        <v>0.5</v>
      </c>
      <c r="F15" s="25">
        <f t="shared" si="0"/>
        <v>5.1087964601769906</v>
      </c>
      <c r="G15" s="25">
        <f t="shared" si="1"/>
        <v>7.2879999999999994</v>
      </c>
      <c r="H15" s="25">
        <f t="shared" si="2"/>
        <v>9.4672035398230072</v>
      </c>
      <c r="I15" s="10"/>
    </row>
    <row r="16" spans="2:9">
      <c r="B16" s="7">
        <v>12</v>
      </c>
      <c r="C16" s="15">
        <v>6.1</v>
      </c>
      <c r="D16" s="15">
        <f t="shared" si="3"/>
        <v>1.7000000000000002</v>
      </c>
      <c r="F16" s="25">
        <f t="shared" si="0"/>
        <v>5.1087964601769906</v>
      </c>
      <c r="G16" s="25">
        <f t="shared" si="1"/>
        <v>7.2879999999999994</v>
      </c>
      <c r="H16" s="25">
        <f t="shared" si="2"/>
        <v>9.4672035398230072</v>
      </c>
      <c r="I16" s="10"/>
    </row>
    <row r="17" spans="2:30">
      <c r="B17" s="7">
        <v>13</v>
      </c>
      <c r="C17" s="15">
        <v>8</v>
      </c>
      <c r="D17" s="15">
        <f t="shared" si="3"/>
        <v>1.9000000000000004</v>
      </c>
      <c r="F17" s="25">
        <f t="shared" si="0"/>
        <v>5.1087964601769906</v>
      </c>
      <c r="G17" s="25">
        <f t="shared" si="1"/>
        <v>7.2879999999999994</v>
      </c>
      <c r="H17" s="25">
        <f t="shared" si="2"/>
        <v>9.4672035398230072</v>
      </c>
      <c r="I17" s="10"/>
    </row>
    <row r="18" spans="2:30">
      <c r="B18" s="7">
        <v>14</v>
      </c>
      <c r="C18" s="15">
        <v>6.3</v>
      </c>
      <c r="D18" s="15">
        <f t="shared" si="3"/>
        <v>1.7000000000000002</v>
      </c>
      <c r="F18" s="25">
        <f t="shared" si="0"/>
        <v>5.1087964601769906</v>
      </c>
      <c r="G18" s="25">
        <f t="shared" si="1"/>
        <v>7.2879999999999994</v>
      </c>
      <c r="H18" s="25">
        <f t="shared" si="2"/>
        <v>9.4672035398230072</v>
      </c>
      <c r="I18" s="10"/>
    </row>
    <row r="19" spans="2:30">
      <c r="B19" s="7">
        <v>15</v>
      </c>
      <c r="C19" s="15">
        <v>7.8</v>
      </c>
      <c r="D19" s="15">
        <f t="shared" si="3"/>
        <v>1.5</v>
      </c>
      <c r="F19" s="25">
        <f t="shared" si="0"/>
        <v>5.1087964601769906</v>
      </c>
      <c r="G19" s="25">
        <f t="shared" si="1"/>
        <v>7.2879999999999994</v>
      </c>
      <c r="H19" s="25">
        <f t="shared" si="2"/>
        <v>9.4672035398230072</v>
      </c>
      <c r="I19" s="10"/>
    </row>
    <row r="20" spans="2:30">
      <c r="B20" s="7">
        <v>16</v>
      </c>
      <c r="C20" s="15">
        <v>6.7</v>
      </c>
      <c r="D20" s="15">
        <f t="shared" si="3"/>
        <v>1.0999999999999996</v>
      </c>
      <c r="F20" s="25">
        <f t="shared" si="0"/>
        <v>5.1087964601769906</v>
      </c>
      <c r="G20" s="25">
        <f t="shared" si="1"/>
        <v>7.2879999999999994</v>
      </c>
      <c r="H20" s="25">
        <f t="shared" si="2"/>
        <v>9.4672035398230072</v>
      </c>
      <c r="I20" s="10"/>
    </row>
    <row r="21" spans="2:30">
      <c r="B21" s="7">
        <v>17</v>
      </c>
      <c r="C21" s="15">
        <v>7.3</v>
      </c>
      <c r="D21" s="15">
        <f t="shared" si="3"/>
        <v>0.59999999999999964</v>
      </c>
      <c r="F21" s="25">
        <f t="shared" si="0"/>
        <v>5.1087964601769906</v>
      </c>
      <c r="G21" s="25">
        <f t="shared" si="1"/>
        <v>7.2879999999999994</v>
      </c>
      <c r="H21" s="25">
        <f t="shared" si="2"/>
        <v>9.4672035398230072</v>
      </c>
      <c r="I21" s="10"/>
    </row>
    <row r="22" spans="2:30">
      <c r="B22" s="7">
        <v>18</v>
      </c>
      <c r="C22" s="15">
        <v>6.7</v>
      </c>
      <c r="D22" s="15">
        <f t="shared" si="3"/>
        <v>0.59999999999999964</v>
      </c>
      <c r="F22" s="25">
        <f t="shared" si="0"/>
        <v>5.1087964601769906</v>
      </c>
      <c r="G22" s="25">
        <f t="shared" si="1"/>
        <v>7.2879999999999994</v>
      </c>
      <c r="H22" s="25">
        <f t="shared" si="2"/>
        <v>9.4672035398230072</v>
      </c>
      <c r="I22" s="10"/>
    </row>
    <row r="23" spans="2:30">
      <c r="B23" s="7">
        <v>19</v>
      </c>
      <c r="C23" s="15">
        <v>6.2</v>
      </c>
      <c r="D23" s="15">
        <f t="shared" si="3"/>
        <v>0.5</v>
      </c>
      <c r="F23" s="25">
        <f t="shared" si="0"/>
        <v>5.1087964601769906</v>
      </c>
      <c r="G23" s="25">
        <f t="shared" si="1"/>
        <v>7.2879999999999994</v>
      </c>
      <c r="H23" s="25">
        <f t="shared" si="2"/>
        <v>9.4672035398230072</v>
      </c>
      <c r="I23" s="10"/>
    </row>
    <row r="24" spans="2:30">
      <c r="B24" s="7">
        <v>20</v>
      </c>
      <c r="C24" s="15">
        <v>7.3</v>
      </c>
      <c r="D24" s="15">
        <f t="shared" si="3"/>
        <v>1.0999999999999996</v>
      </c>
      <c r="F24" s="25">
        <f t="shared" si="0"/>
        <v>5.1087964601769906</v>
      </c>
      <c r="G24" s="25">
        <f t="shared" si="1"/>
        <v>7.2879999999999994</v>
      </c>
      <c r="H24" s="25">
        <f t="shared" si="2"/>
        <v>9.4672035398230072</v>
      </c>
      <c r="I24" s="10"/>
    </row>
    <row r="25" spans="2:30">
      <c r="B25" s="7">
        <v>21</v>
      </c>
      <c r="C25" s="15">
        <v>7.5</v>
      </c>
      <c r="D25" s="15">
        <f t="shared" si="3"/>
        <v>0.20000000000000018</v>
      </c>
      <c r="F25" s="25">
        <f t="shared" si="0"/>
        <v>5.1087964601769906</v>
      </c>
      <c r="G25" s="25">
        <f t="shared" si="1"/>
        <v>7.2879999999999994</v>
      </c>
      <c r="H25" s="25">
        <f t="shared" si="2"/>
        <v>9.4672035398230072</v>
      </c>
      <c r="I25" s="10"/>
    </row>
    <row r="26" spans="2:30">
      <c r="B26" s="7">
        <v>22</v>
      </c>
      <c r="C26" s="15">
        <v>6.4</v>
      </c>
      <c r="D26" s="15">
        <f t="shared" si="3"/>
        <v>1.0999999999999996</v>
      </c>
      <c r="F26" s="25">
        <f t="shared" si="0"/>
        <v>5.1087964601769906</v>
      </c>
      <c r="G26" s="25">
        <f t="shared" si="1"/>
        <v>7.2879999999999994</v>
      </c>
      <c r="H26" s="25">
        <f t="shared" si="2"/>
        <v>9.4672035398230072</v>
      </c>
      <c r="I26" s="10"/>
    </row>
    <row r="27" spans="2:30">
      <c r="B27" s="7">
        <v>23</v>
      </c>
      <c r="C27" s="15">
        <v>6.3</v>
      </c>
      <c r="D27" s="15">
        <f t="shared" si="3"/>
        <v>0.10000000000000053</v>
      </c>
      <c r="F27" s="25">
        <f t="shared" si="0"/>
        <v>5.1087964601769906</v>
      </c>
      <c r="G27" s="25">
        <f t="shared" si="1"/>
        <v>7.2879999999999994</v>
      </c>
      <c r="H27" s="25">
        <f t="shared" si="2"/>
        <v>9.4672035398230072</v>
      </c>
      <c r="I27" s="10"/>
    </row>
    <row r="28" spans="2:30">
      <c r="B28" s="7">
        <v>24</v>
      </c>
      <c r="C28" s="15">
        <v>7.5</v>
      </c>
      <c r="D28" s="15">
        <f t="shared" si="3"/>
        <v>1.2000000000000002</v>
      </c>
      <c r="F28" s="25">
        <f t="shared" si="0"/>
        <v>5.1087964601769906</v>
      </c>
      <c r="G28" s="25">
        <f t="shared" si="1"/>
        <v>7.2879999999999994</v>
      </c>
      <c r="H28" s="25">
        <f t="shared" si="2"/>
        <v>9.4672035398230072</v>
      </c>
      <c r="I28" s="10"/>
    </row>
    <row r="29" spans="2:30">
      <c r="B29" s="7">
        <v>25</v>
      </c>
      <c r="C29" s="15">
        <v>7</v>
      </c>
      <c r="D29" s="15">
        <f>ABS(C29-C25)</f>
        <v>0.5</v>
      </c>
      <c r="F29" s="25">
        <f t="shared" si="0"/>
        <v>5.1087964601769906</v>
      </c>
      <c r="G29" s="25">
        <f t="shared" si="1"/>
        <v>7.2879999999999994</v>
      </c>
      <c r="H29" s="25">
        <f t="shared" si="2"/>
        <v>9.4672035398230072</v>
      </c>
      <c r="I29" s="10"/>
    </row>
    <row r="30" spans="2:30">
      <c r="C30" s="15">
        <f>AVERAGE(C5:C29)</f>
        <v>7.2879999999999994</v>
      </c>
      <c r="D30" s="15">
        <f>AVERAGE(D6:D29)</f>
        <v>0.8208333333333333</v>
      </c>
    </row>
    <row r="31" spans="2:30" ht="23" customHeight="1">
      <c r="E31" s="7" t="s">
        <v>115</v>
      </c>
      <c r="F31" s="7">
        <v>3.27</v>
      </c>
      <c r="W31"/>
      <c r="X31"/>
      <c r="Y31"/>
      <c r="Z31"/>
      <c r="AA31"/>
      <c r="AB31"/>
      <c r="AC31"/>
      <c r="AD31"/>
    </row>
    <row r="32" spans="2:30" ht="19" customHeight="1">
      <c r="E32" s="7" t="s">
        <v>116</v>
      </c>
      <c r="F32" s="7">
        <v>0</v>
      </c>
      <c r="S32" s="47" t="s">
        <v>120</v>
      </c>
      <c r="W32"/>
      <c r="X32"/>
      <c r="Y32"/>
      <c r="Z32"/>
      <c r="AA32"/>
      <c r="AB32"/>
      <c r="AC32"/>
      <c r="AD32"/>
    </row>
    <row r="33" spans="1:30" ht="15" customHeight="1">
      <c r="A33" s="7" t="s">
        <v>117</v>
      </c>
      <c r="E33" s="7" t="s">
        <v>118</v>
      </c>
      <c r="F33" s="7">
        <v>1.1299999999999999</v>
      </c>
      <c r="R33"/>
      <c r="S33" s="165" t="s">
        <v>121</v>
      </c>
      <c r="T33" s="165"/>
      <c r="U33" s="165"/>
      <c r="V33" s="165"/>
      <c r="W33" s="165"/>
      <c r="X33" s="165"/>
      <c r="Y33" s="165"/>
      <c r="Z33"/>
      <c r="AA33"/>
      <c r="AB33"/>
      <c r="AC33"/>
      <c r="AD33"/>
    </row>
    <row r="34" spans="1:30" ht="16">
      <c r="A34" s="10">
        <v>30</v>
      </c>
      <c r="B34" s="7" t="s">
        <v>114</v>
      </c>
      <c r="C34" s="18">
        <f>$C$30+((3*($D$30/$F$33)))</f>
        <v>9.4672035398230072</v>
      </c>
      <c r="D34" s="18">
        <f>F31*D30</f>
        <v>2.6841249999999999</v>
      </c>
      <c r="E34" s="7" t="s">
        <v>119</v>
      </c>
      <c r="F34" s="7">
        <f>D30/F33</f>
        <v>0.72640117994100295</v>
      </c>
      <c r="R34"/>
      <c r="S34" s="165"/>
      <c r="T34" s="165"/>
      <c r="U34" s="165"/>
      <c r="V34" s="165"/>
      <c r="W34" s="165"/>
      <c r="X34" s="165"/>
      <c r="Y34" s="165"/>
      <c r="Z34"/>
      <c r="AA34"/>
      <c r="AB34"/>
      <c r="AC34"/>
      <c r="AD34"/>
    </row>
    <row r="35" spans="1:30" ht="16">
      <c r="A35" s="10">
        <v>25</v>
      </c>
      <c r="B35" s="7" t="s">
        <v>113</v>
      </c>
      <c r="C35" s="18">
        <f>C30</f>
        <v>7.2879999999999994</v>
      </c>
      <c r="D35" s="18">
        <f>D30</f>
        <v>0.8208333333333333</v>
      </c>
      <c r="R35"/>
      <c r="S35" s="165"/>
      <c r="T35" s="165"/>
      <c r="U35" s="165"/>
      <c r="V35" s="165"/>
      <c r="W35" s="165"/>
      <c r="X35" s="165"/>
      <c r="Y35" s="165"/>
      <c r="Z35"/>
      <c r="AA35"/>
      <c r="AB35"/>
      <c r="AC35"/>
      <c r="AD35"/>
    </row>
    <row r="36" spans="1:30" ht="16">
      <c r="A36" s="10">
        <v>20</v>
      </c>
      <c r="B36" s="7" t="s">
        <v>112</v>
      </c>
      <c r="C36" s="18">
        <f>$C$30-((3*($D$30/$F$33)))</f>
        <v>5.1087964601769906</v>
      </c>
      <c r="D36" s="7">
        <f>F32*D30</f>
        <v>0</v>
      </c>
      <c r="R36"/>
      <c r="S36" s="165"/>
      <c r="T36" s="165"/>
      <c r="U36" s="165"/>
      <c r="V36" s="165"/>
      <c r="W36" s="165"/>
      <c r="X36" s="165"/>
      <c r="Y36" s="165"/>
      <c r="Z36"/>
      <c r="AA36"/>
      <c r="AB36"/>
      <c r="AC36"/>
      <c r="AD36"/>
    </row>
    <row r="37" spans="1:30" ht="16">
      <c r="R37"/>
      <c r="S37"/>
      <c r="T37"/>
      <c r="U37"/>
      <c r="V37"/>
      <c r="W37"/>
      <c r="X37"/>
      <c r="Y37"/>
      <c r="Z37"/>
      <c r="AA37"/>
      <c r="AB37"/>
      <c r="AC37"/>
      <c r="AD37"/>
    </row>
    <row r="38" spans="1:30" ht="16">
      <c r="R38"/>
      <c r="S38"/>
      <c r="T38"/>
      <c r="U38"/>
      <c r="V38"/>
      <c r="W38"/>
      <c r="X38"/>
      <c r="Y38"/>
      <c r="Z38"/>
      <c r="AA38"/>
      <c r="AB38"/>
      <c r="AC38"/>
      <c r="AD38"/>
    </row>
    <row r="39" spans="1:30" ht="16">
      <c r="R39"/>
      <c r="S39"/>
      <c r="T39"/>
      <c r="U39"/>
      <c r="V39"/>
      <c r="W39"/>
      <c r="X39"/>
      <c r="Y39"/>
      <c r="Z39"/>
      <c r="AA39"/>
      <c r="AB39"/>
      <c r="AC39"/>
      <c r="AD39"/>
    </row>
    <row r="40" spans="1:30" ht="16">
      <c r="R40"/>
      <c r="S40"/>
      <c r="T40"/>
      <c r="U40"/>
      <c r="V40"/>
      <c r="W40"/>
      <c r="X40"/>
      <c r="Y40"/>
      <c r="Z40"/>
      <c r="AA40"/>
      <c r="AB40"/>
      <c r="AC40"/>
      <c r="AD40"/>
    </row>
    <row r="41" spans="1:30" ht="16">
      <c r="F41" s="164" t="s">
        <v>108</v>
      </c>
      <c r="G41" s="164"/>
      <c r="H41" s="164"/>
      <c r="R41"/>
      <c r="S41"/>
      <c r="T41"/>
      <c r="U41"/>
      <c r="V41"/>
      <c r="W41"/>
      <c r="X41"/>
      <c r="Y41"/>
      <c r="Z41"/>
      <c r="AA41"/>
      <c r="AB41"/>
      <c r="AC41"/>
      <c r="AD41"/>
    </row>
    <row r="42" spans="1:30" ht="16">
      <c r="B42" s="7" t="s">
        <v>109</v>
      </c>
      <c r="C42" s="10" t="s">
        <v>110</v>
      </c>
      <c r="D42" s="7" t="s">
        <v>111</v>
      </c>
      <c r="F42" s="10" t="s">
        <v>112</v>
      </c>
      <c r="G42" s="10" t="s">
        <v>113</v>
      </c>
      <c r="H42" s="10" t="s">
        <v>114</v>
      </c>
      <c r="I42" s="10"/>
      <c r="R42"/>
      <c r="S42"/>
      <c r="T42"/>
      <c r="U42"/>
      <c r="V42"/>
      <c r="W42"/>
      <c r="X42"/>
      <c r="Y42"/>
      <c r="Z42"/>
      <c r="AA42"/>
      <c r="AB42"/>
      <c r="AC42"/>
      <c r="AD42"/>
    </row>
    <row r="43" spans="1:30" ht="16">
      <c r="B43" s="7">
        <v>1</v>
      </c>
      <c r="C43" s="15">
        <v>7.6</v>
      </c>
      <c r="D43" s="15"/>
      <c r="F43" s="25">
        <f t="shared" ref="F43:F67" si="4">$C$74</f>
        <v>5.3255398230088522</v>
      </c>
      <c r="G43" s="25">
        <f t="shared" ref="G43:G67" si="5">$C$73</f>
        <v>7.3720000000000026</v>
      </c>
      <c r="H43" s="25">
        <f t="shared" ref="H43:H67" si="6">$C$72</f>
        <v>9.4184601769911538</v>
      </c>
      <c r="I43" s="10"/>
      <c r="R43"/>
      <c r="S43"/>
      <c r="T43"/>
      <c r="U43"/>
      <c r="V43"/>
      <c r="W43"/>
      <c r="X43"/>
      <c r="Y43"/>
      <c r="Z43"/>
      <c r="AA43"/>
      <c r="AB43"/>
      <c r="AC43"/>
      <c r="AD43"/>
    </row>
    <row r="44" spans="1:30" ht="16">
      <c r="B44" s="7">
        <v>2</v>
      </c>
      <c r="C44" s="15">
        <v>8</v>
      </c>
      <c r="D44" s="15">
        <f>ABS(C44-C43)</f>
        <v>0.40000000000000036</v>
      </c>
      <c r="F44" s="25">
        <f t="shared" si="4"/>
        <v>5.3255398230088522</v>
      </c>
      <c r="G44" s="25">
        <f t="shared" si="5"/>
        <v>7.3720000000000026</v>
      </c>
      <c r="H44" s="25">
        <f t="shared" si="6"/>
        <v>9.4184601769911538</v>
      </c>
      <c r="I44" s="10"/>
      <c r="R44"/>
      <c r="S44"/>
      <c r="T44"/>
      <c r="U44"/>
      <c r="V44"/>
      <c r="W44"/>
      <c r="X44"/>
      <c r="Y44"/>
      <c r="Z44"/>
      <c r="AA44"/>
      <c r="AB44"/>
      <c r="AC44"/>
      <c r="AD44"/>
    </row>
    <row r="45" spans="1:30" ht="16">
      <c r="B45" s="7">
        <v>3</v>
      </c>
      <c r="C45" s="15">
        <v>7.2</v>
      </c>
      <c r="D45" s="15">
        <f t="shared" ref="D45:D67" si="7">ABS(C45-C44)</f>
        <v>0.79999999999999982</v>
      </c>
      <c r="F45" s="25">
        <f t="shared" si="4"/>
        <v>5.3255398230088522</v>
      </c>
      <c r="G45" s="25">
        <f t="shared" si="5"/>
        <v>7.3720000000000026</v>
      </c>
      <c r="H45" s="25">
        <f t="shared" si="6"/>
        <v>9.4184601769911538</v>
      </c>
      <c r="I45" s="10"/>
      <c r="R45"/>
      <c r="S45"/>
      <c r="T45"/>
      <c r="U45"/>
      <c r="V45"/>
      <c r="W45"/>
      <c r="X45"/>
      <c r="Y45"/>
      <c r="Z45"/>
      <c r="AA45"/>
      <c r="AB45"/>
      <c r="AC45"/>
      <c r="AD45"/>
    </row>
    <row r="46" spans="1:30" ht="16">
      <c r="B46" s="7">
        <v>4</v>
      </c>
      <c r="C46" s="15">
        <v>9.1999999999999993</v>
      </c>
      <c r="D46" s="15">
        <f t="shared" si="7"/>
        <v>1.9999999999999991</v>
      </c>
      <c r="F46" s="25">
        <f t="shared" si="4"/>
        <v>5.3255398230088522</v>
      </c>
      <c r="G46" s="25">
        <f t="shared" si="5"/>
        <v>7.3720000000000026</v>
      </c>
      <c r="H46" s="25">
        <f t="shared" si="6"/>
        <v>9.4184601769911538</v>
      </c>
      <c r="I46" s="10"/>
      <c r="R46"/>
      <c r="S46"/>
      <c r="T46"/>
      <c r="U46"/>
      <c r="V46"/>
      <c r="W46"/>
      <c r="X46"/>
      <c r="Y46"/>
      <c r="Z46"/>
      <c r="AA46"/>
      <c r="AB46"/>
      <c r="AC46"/>
      <c r="AD46"/>
    </row>
    <row r="47" spans="1:30" ht="16">
      <c r="B47" s="7">
        <v>5</v>
      </c>
      <c r="C47" s="15">
        <v>7.7</v>
      </c>
      <c r="D47" s="15">
        <f t="shared" si="7"/>
        <v>1.4999999999999991</v>
      </c>
      <c r="F47" s="25">
        <f t="shared" si="4"/>
        <v>5.3255398230088522</v>
      </c>
      <c r="G47" s="25">
        <f t="shared" si="5"/>
        <v>7.3720000000000026</v>
      </c>
      <c r="H47" s="25">
        <f t="shared" si="6"/>
        <v>9.4184601769911538</v>
      </c>
      <c r="I47" s="10"/>
      <c r="R47"/>
      <c r="S47"/>
      <c r="T47"/>
      <c r="U47"/>
      <c r="V47"/>
      <c r="W47"/>
      <c r="X47"/>
      <c r="Y47"/>
      <c r="Z47"/>
      <c r="AA47"/>
      <c r="AB47"/>
      <c r="AC47"/>
      <c r="AD47"/>
    </row>
    <row r="48" spans="1:30" ht="16">
      <c r="B48" s="7">
        <v>6</v>
      </c>
      <c r="C48" s="15">
        <v>7.2</v>
      </c>
      <c r="D48" s="15">
        <f t="shared" si="7"/>
        <v>0.5</v>
      </c>
      <c r="F48" s="25">
        <f t="shared" si="4"/>
        <v>5.3255398230088522</v>
      </c>
      <c r="G48" s="25">
        <f t="shared" si="5"/>
        <v>7.3720000000000026</v>
      </c>
      <c r="H48" s="25">
        <f t="shared" si="6"/>
        <v>9.4184601769911538</v>
      </c>
      <c r="I48" s="10"/>
      <c r="R48"/>
      <c r="S48"/>
      <c r="T48"/>
      <c r="U48"/>
      <c r="V48"/>
      <c r="W48"/>
      <c r="X48"/>
      <c r="Y48"/>
      <c r="Z48"/>
      <c r="AA48"/>
      <c r="AB48"/>
      <c r="AC48"/>
      <c r="AD48"/>
    </row>
    <row r="49" spans="2:30" ht="16">
      <c r="B49" s="7">
        <v>7</v>
      </c>
      <c r="C49" s="15">
        <v>7.1</v>
      </c>
      <c r="D49" s="15">
        <f t="shared" si="7"/>
        <v>0.10000000000000053</v>
      </c>
      <c r="F49" s="25">
        <f t="shared" si="4"/>
        <v>5.3255398230088522</v>
      </c>
      <c r="G49" s="25">
        <f t="shared" si="5"/>
        <v>7.3720000000000026</v>
      </c>
      <c r="H49" s="25">
        <f t="shared" si="6"/>
        <v>9.4184601769911538</v>
      </c>
      <c r="I49" s="10"/>
      <c r="R49"/>
      <c r="S49"/>
      <c r="T49"/>
      <c r="U49"/>
      <c r="V49"/>
      <c r="W49"/>
      <c r="X49"/>
      <c r="Y49"/>
      <c r="Z49"/>
      <c r="AA49"/>
      <c r="AB49"/>
      <c r="AC49"/>
      <c r="AD49"/>
    </row>
    <row r="50" spans="2:30" ht="16">
      <c r="B50" s="7">
        <v>8</v>
      </c>
      <c r="C50" s="15">
        <v>8.1</v>
      </c>
      <c r="D50" s="15">
        <f t="shared" si="7"/>
        <v>1</v>
      </c>
      <c r="F50" s="25">
        <f t="shared" si="4"/>
        <v>5.3255398230088522</v>
      </c>
      <c r="G50" s="25">
        <f t="shared" si="5"/>
        <v>7.3720000000000026</v>
      </c>
      <c r="H50" s="25">
        <f t="shared" si="6"/>
        <v>9.4184601769911538</v>
      </c>
      <c r="I50" s="10"/>
      <c r="R50"/>
      <c r="S50"/>
      <c r="T50"/>
      <c r="U50"/>
      <c r="V50"/>
      <c r="W50"/>
      <c r="X50"/>
      <c r="Y50"/>
      <c r="Z50"/>
      <c r="AA50"/>
      <c r="AB50"/>
      <c r="AC50"/>
      <c r="AD50"/>
    </row>
    <row r="51" spans="2:30" ht="16">
      <c r="B51" s="7">
        <v>9</v>
      </c>
      <c r="C51" s="15">
        <v>6.4</v>
      </c>
      <c r="D51" s="15">
        <f t="shared" si="7"/>
        <v>1.6999999999999993</v>
      </c>
      <c r="F51" s="25">
        <f t="shared" si="4"/>
        <v>5.3255398230088522</v>
      </c>
      <c r="G51" s="25">
        <f t="shared" si="5"/>
        <v>7.3720000000000026</v>
      </c>
      <c r="H51" s="25">
        <f t="shared" si="6"/>
        <v>9.4184601769911538</v>
      </c>
      <c r="I51" s="10"/>
      <c r="R51"/>
      <c r="S51"/>
      <c r="T51"/>
      <c r="U51"/>
      <c r="V51"/>
      <c r="W51"/>
      <c r="X51"/>
      <c r="Y51"/>
      <c r="Z51"/>
      <c r="AA51"/>
      <c r="AB51"/>
      <c r="AC51"/>
      <c r="AD51"/>
    </row>
    <row r="52" spans="2:30" ht="16">
      <c r="B52" s="7">
        <v>10</v>
      </c>
      <c r="C52" s="15">
        <v>6.3</v>
      </c>
      <c r="D52" s="15">
        <f t="shared" si="7"/>
        <v>0.10000000000000053</v>
      </c>
      <c r="F52" s="25">
        <f t="shared" si="4"/>
        <v>5.3255398230088522</v>
      </c>
      <c r="G52" s="25">
        <f t="shared" si="5"/>
        <v>7.3720000000000026</v>
      </c>
      <c r="H52" s="25">
        <f t="shared" si="6"/>
        <v>9.4184601769911538</v>
      </c>
      <c r="I52" s="10"/>
      <c r="R52"/>
      <c r="S52"/>
      <c r="T52"/>
      <c r="U52"/>
      <c r="V52"/>
      <c r="W52"/>
      <c r="X52"/>
      <c r="Y52"/>
      <c r="Z52"/>
      <c r="AA52"/>
      <c r="AB52"/>
      <c r="AC52"/>
      <c r="AD52"/>
    </row>
    <row r="53" spans="2:30" ht="16">
      <c r="B53" s="7">
        <v>11</v>
      </c>
      <c r="C53" s="15">
        <v>8.1999999999999993</v>
      </c>
      <c r="D53" s="15">
        <f t="shared" si="7"/>
        <v>1.8999999999999995</v>
      </c>
      <c r="F53" s="25">
        <f t="shared" si="4"/>
        <v>5.3255398230088522</v>
      </c>
      <c r="G53" s="25">
        <f t="shared" si="5"/>
        <v>7.3720000000000026</v>
      </c>
      <c r="H53" s="25">
        <f t="shared" si="6"/>
        <v>9.4184601769911538</v>
      </c>
      <c r="I53" s="10"/>
      <c r="R53"/>
      <c r="S53"/>
      <c r="T53"/>
      <c r="U53"/>
      <c r="V53"/>
      <c r="W53"/>
      <c r="X53"/>
      <c r="Y53"/>
      <c r="Z53"/>
      <c r="AA53"/>
      <c r="AB53"/>
      <c r="AC53"/>
      <c r="AD53"/>
    </row>
    <row r="54" spans="2:30" ht="16">
      <c r="B54" s="7">
        <v>12</v>
      </c>
      <c r="C54" s="15">
        <v>8.4</v>
      </c>
      <c r="D54" s="15">
        <f t="shared" si="7"/>
        <v>0.20000000000000107</v>
      </c>
      <c r="F54" s="25">
        <f t="shared" si="4"/>
        <v>5.3255398230088522</v>
      </c>
      <c r="G54" s="25">
        <f t="shared" si="5"/>
        <v>7.3720000000000026</v>
      </c>
      <c r="H54" s="25">
        <f t="shared" si="6"/>
        <v>9.4184601769911538</v>
      </c>
      <c r="I54" s="10"/>
      <c r="R54"/>
      <c r="S54"/>
      <c r="T54"/>
      <c r="U54"/>
      <c r="V54"/>
      <c r="W54"/>
      <c r="X54"/>
      <c r="Y54"/>
      <c r="Z54"/>
      <c r="AA54"/>
      <c r="AB54"/>
      <c r="AC54"/>
      <c r="AD54"/>
    </row>
    <row r="55" spans="2:30" ht="16">
      <c r="B55" s="7">
        <v>13</v>
      </c>
      <c r="C55" s="15">
        <v>7.4</v>
      </c>
      <c r="D55" s="15">
        <f t="shared" si="7"/>
        <v>1</v>
      </c>
      <c r="F55" s="25">
        <f t="shared" si="4"/>
        <v>5.3255398230088522</v>
      </c>
      <c r="G55" s="25">
        <f t="shared" si="5"/>
        <v>7.3720000000000026</v>
      </c>
      <c r="H55" s="25">
        <f t="shared" si="6"/>
        <v>9.4184601769911538</v>
      </c>
      <c r="I55" s="10"/>
      <c r="R55"/>
      <c r="S55"/>
      <c r="T55"/>
      <c r="U55"/>
      <c r="V55"/>
      <c r="W55"/>
      <c r="X55"/>
      <c r="Y55"/>
      <c r="Z55"/>
      <c r="AA55"/>
      <c r="AB55"/>
      <c r="AC55"/>
      <c r="AD55"/>
    </row>
    <row r="56" spans="2:30" ht="16">
      <c r="B56" s="7">
        <v>14</v>
      </c>
      <c r="C56" s="15">
        <v>6.5</v>
      </c>
      <c r="D56" s="15">
        <f t="shared" si="7"/>
        <v>0.90000000000000036</v>
      </c>
      <c r="F56" s="25">
        <f t="shared" si="4"/>
        <v>5.3255398230088522</v>
      </c>
      <c r="G56" s="25">
        <f t="shared" si="5"/>
        <v>7.3720000000000026</v>
      </c>
      <c r="H56" s="25">
        <f t="shared" si="6"/>
        <v>9.4184601769911538</v>
      </c>
      <c r="I56" s="10"/>
      <c r="R56"/>
      <c r="S56"/>
      <c r="T56"/>
      <c r="U56"/>
      <c r="V56"/>
      <c r="W56"/>
      <c r="X56"/>
      <c r="Y56"/>
      <c r="Z56"/>
      <c r="AA56"/>
      <c r="AB56"/>
      <c r="AC56"/>
      <c r="AD56"/>
    </row>
    <row r="57" spans="2:30" ht="16">
      <c r="B57" s="7">
        <v>15</v>
      </c>
      <c r="C57" s="15">
        <v>7.7</v>
      </c>
      <c r="D57" s="15">
        <f>ABS(C57-C56)</f>
        <v>1.2000000000000002</v>
      </c>
      <c r="F57" s="25">
        <f t="shared" si="4"/>
        <v>5.3255398230088522</v>
      </c>
      <c r="G57" s="25">
        <f t="shared" si="5"/>
        <v>7.3720000000000026</v>
      </c>
      <c r="H57" s="25">
        <f t="shared" si="6"/>
        <v>9.4184601769911538</v>
      </c>
      <c r="I57" s="10"/>
      <c r="R57"/>
      <c r="S57"/>
      <c r="T57"/>
      <c r="U57"/>
      <c r="V57"/>
    </row>
    <row r="58" spans="2:30" ht="16">
      <c r="B58" s="7">
        <v>16</v>
      </c>
      <c r="C58" s="15">
        <v>7.4</v>
      </c>
      <c r="D58" s="15">
        <f t="shared" si="7"/>
        <v>0.29999999999999982</v>
      </c>
      <c r="F58" s="25">
        <f t="shared" si="4"/>
        <v>5.3255398230088522</v>
      </c>
      <c r="G58" s="25">
        <f t="shared" si="5"/>
        <v>7.3720000000000026</v>
      </c>
      <c r="H58" s="25">
        <f t="shared" si="6"/>
        <v>9.4184601769911538</v>
      </c>
      <c r="I58" s="10"/>
      <c r="R58"/>
      <c r="S58"/>
      <c r="T58"/>
      <c r="U58"/>
      <c r="V58"/>
    </row>
    <row r="59" spans="2:30" ht="16">
      <c r="B59" s="7">
        <v>17</v>
      </c>
      <c r="C59" s="15">
        <v>6.8</v>
      </c>
      <c r="D59" s="15">
        <f t="shared" si="7"/>
        <v>0.60000000000000053</v>
      </c>
      <c r="F59" s="25">
        <f t="shared" si="4"/>
        <v>5.3255398230088522</v>
      </c>
      <c r="G59" s="25">
        <f t="shared" si="5"/>
        <v>7.3720000000000026</v>
      </c>
      <c r="H59" s="25">
        <f t="shared" si="6"/>
        <v>9.4184601769911538</v>
      </c>
      <c r="I59" s="10"/>
      <c r="R59"/>
      <c r="S59"/>
      <c r="T59"/>
      <c r="U59"/>
      <c r="V59"/>
    </row>
    <row r="60" spans="2:30" ht="16">
      <c r="B60" s="7">
        <v>18</v>
      </c>
      <c r="C60" s="15">
        <v>6.2</v>
      </c>
      <c r="D60" s="15">
        <f t="shared" si="7"/>
        <v>0.59999999999999964</v>
      </c>
      <c r="F60" s="25">
        <f t="shared" si="4"/>
        <v>5.3255398230088522</v>
      </c>
      <c r="G60" s="25">
        <f t="shared" si="5"/>
        <v>7.3720000000000026</v>
      </c>
      <c r="H60" s="25">
        <f t="shared" si="6"/>
        <v>9.4184601769911538</v>
      </c>
      <c r="I60" s="10"/>
      <c r="R60"/>
      <c r="S60"/>
      <c r="T60"/>
      <c r="U60"/>
      <c r="V60"/>
    </row>
    <row r="61" spans="2:30" ht="16">
      <c r="B61" s="7">
        <v>19</v>
      </c>
      <c r="C61" s="15">
        <v>7.3</v>
      </c>
      <c r="D61" s="15">
        <f t="shared" si="7"/>
        <v>1.0999999999999996</v>
      </c>
      <c r="F61" s="25">
        <f t="shared" si="4"/>
        <v>5.3255398230088522</v>
      </c>
      <c r="G61" s="25">
        <f t="shared" si="5"/>
        <v>7.3720000000000026</v>
      </c>
      <c r="H61" s="25">
        <f t="shared" si="6"/>
        <v>9.4184601769911538</v>
      </c>
      <c r="I61" s="10"/>
      <c r="R61"/>
      <c r="S61"/>
      <c r="T61"/>
      <c r="U61"/>
      <c r="V61"/>
    </row>
    <row r="62" spans="2:30" ht="13" customHeight="1">
      <c r="B62" s="7">
        <v>20</v>
      </c>
      <c r="C62" s="15">
        <v>6.9</v>
      </c>
      <c r="D62" s="15">
        <f t="shared" si="7"/>
        <v>0.39999999999999947</v>
      </c>
      <c r="F62" s="25">
        <f t="shared" si="4"/>
        <v>5.3255398230088522</v>
      </c>
      <c r="G62" s="25">
        <f t="shared" si="5"/>
        <v>7.3720000000000026</v>
      </c>
      <c r="H62" s="25">
        <f t="shared" si="6"/>
        <v>9.4184601769911538</v>
      </c>
      <c r="I62" s="10"/>
      <c r="R62"/>
      <c r="S62"/>
      <c r="T62"/>
      <c r="U62"/>
      <c r="V62"/>
    </row>
    <row r="63" spans="2:30" ht="16">
      <c r="B63" s="7">
        <v>21</v>
      </c>
      <c r="C63" s="15">
        <v>7</v>
      </c>
      <c r="D63" s="15">
        <f t="shared" si="7"/>
        <v>9.9999999999999645E-2</v>
      </c>
      <c r="F63" s="25">
        <f t="shared" si="4"/>
        <v>5.3255398230088522</v>
      </c>
      <c r="G63" s="25">
        <f t="shared" si="5"/>
        <v>7.3720000000000026</v>
      </c>
      <c r="H63" s="25">
        <f t="shared" si="6"/>
        <v>9.4184601769911538</v>
      </c>
      <c r="I63" s="10"/>
      <c r="R63"/>
      <c r="S63"/>
      <c r="T63"/>
      <c r="U63"/>
      <c r="V63"/>
    </row>
    <row r="64" spans="2:30" ht="16">
      <c r="B64" s="7">
        <v>22</v>
      </c>
      <c r="C64" s="15">
        <v>6.9</v>
      </c>
      <c r="D64" s="15">
        <f t="shared" si="7"/>
        <v>9.9999999999999645E-2</v>
      </c>
      <c r="F64" s="25">
        <f t="shared" si="4"/>
        <v>5.3255398230088522</v>
      </c>
      <c r="G64" s="25">
        <f t="shared" si="5"/>
        <v>7.3720000000000026</v>
      </c>
      <c r="H64" s="25">
        <f t="shared" si="6"/>
        <v>9.4184601769911538</v>
      </c>
      <c r="I64" s="10"/>
      <c r="R64"/>
      <c r="S64"/>
      <c r="T64"/>
      <c r="U64"/>
      <c r="V64"/>
    </row>
    <row r="65" spans="1:27" ht="14" customHeight="1">
      <c r="B65" s="7">
        <v>23</v>
      </c>
      <c r="C65" s="15">
        <v>8.4</v>
      </c>
      <c r="D65" s="15">
        <f t="shared" si="7"/>
        <v>1.5</v>
      </c>
      <c r="F65" s="25">
        <f t="shared" si="4"/>
        <v>5.3255398230088522</v>
      </c>
      <c r="G65" s="25">
        <f t="shared" si="5"/>
        <v>7.3720000000000026</v>
      </c>
      <c r="H65" s="25">
        <f t="shared" si="6"/>
        <v>9.4184601769911538</v>
      </c>
      <c r="I65" s="10"/>
      <c r="R65"/>
      <c r="S65"/>
      <c r="T65"/>
      <c r="U65"/>
      <c r="V65"/>
      <c r="AA65" s="48"/>
    </row>
    <row r="66" spans="1:27" ht="16">
      <c r="B66" s="7">
        <v>24</v>
      </c>
      <c r="C66" s="15">
        <v>7</v>
      </c>
      <c r="D66" s="15">
        <f>ABS(C66-C62)</f>
        <v>9.9999999999999645E-2</v>
      </c>
      <c r="F66" s="25">
        <f t="shared" si="4"/>
        <v>5.3255398230088522</v>
      </c>
      <c r="G66" s="25">
        <f t="shared" si="5"/>
        <v>7.3720000000000026</v>
      </c>
      <c r="H66" s="25">
        <f t="shared" si="6"/>
        <v>9.4184601769911538</v>
      </c>
      <c r="I66" s="10"/>
      <c r="R66"/>
      <c r="S66"/>
      <c r="T66"/>
      <c r="U66"/>
      <c r="V66"/>
      <c r="AA66" s="48"/>
    </row>
    <row r="67" spans="1:27" ht="16">
      <c r="B67" s="7">
        <v>25</v>
      </c>
      <c r="C67" s="15">
        <v>7.4</v>
      </c>
      <c r="D67" s="15">
        <f t="shared" si="7"/>
        <v>0.40000000000000036</v>
      </c>
      <c r="F67" s="25">
        <f t="shared" si="4"/>
        <v>5.3255398230088522</v>
      </c>
      <c r="G67" s="25">
        <f t="shared" si="5"/>
        <v>7.3720000000000026</v>
      </c>
      <c r="H67" s="25">
        <f t="shared" si="6"/>
        <v>9.4184601769911538</v>
      </c>
      <c r="I67" s="10"/>
      <c r="R67"/>
      <c r="S67"/>
      <c r="T67"/>
      <c r="U67"/>
      <c r="V67"/>
      <c r="AA67" s="48"/>
    </row>
    <row r="68" spans="1:27" ht="16">
      <c r="C68" s="15">
        <f>AVERAGE(C43:C67)</f>
        <v>7.3720000000000026</v>
      </c>
      <c r="D68" s="15">
        <f>AVERAGE(D44:D67)</f>
        <v>0.77083333333333337</v>
      </c>
      <c r="R68"/>
      <c r="S68"/>
      <c r="T68"/>
      <c r="U68"/>
      <c r="V68"/>
      <c r="W68" s="48"/>
      <c r="X68" s="48"/>
      <c r="Y68" s="48"/>
      <c r="Z68" s="48"/>
      <c r="AA68" s="48"/>
    </row>
    <row r="69" spans="1:27" ht="16">
      <c r="E69" s="7" t="s">
        <v>115</v>
      </c>
      <c r="F69" s="7">
        <v>3.27</v>
      </c>
    </row>
    <row r="70" spans="1:27" ht="16">
      <c r="E70" s="7" t="s">
        <v>116</v>
      </c>
      <c r="F70" s="7">
        <v>0</v>
      </c>
    </row>
    <row r="71" spans="1:27" ht="16">
      <c r="A71" s="7" t="s">
        <v>117</v>
      </c>
      <c r="E71" s="7" t="s">
        <v>118</v>
      </c>
      <c r="F71" s="7">
        <v>1.1299999999999999</v>
      </c>
    </row>
    <row r="72" spans="1:27">
      <c r="A72" s="10">
        <v>30</v>
      </c>
      <c r="B72" s="7" t="s">
        <v>114</v>
      </c>
      <c r="C72" s="18">
        <f>$C$68+((3*($D$68/$F$71)))</f>
        <v>9.4184601769911538</v>
      </c>
      <c r="D72" s="18">
        <f>F69*D68</f>
        <v>2.5206250000000003</v>
      </c>
      <c r="E72" s="7" t="s">
        <v>119</v>
      </c>
      <c r="F72" s="7">
        <f>D68/F71</f>
        <v>0.68215339233038352</v>
      </c>
    </row>
    <row r="73" spans="1:27">
      <c r="A73" s="10">
        <v>25</v>
      </c>
      <c r="B73" s="7" t="s">
        <v>113</v>
      </c>
      <c r="C73" s="18">
        <f>C68</f>
        <v>7.3720000000000026</v>
      </c>
      <c r="D73" s="18">
        <f>D68</f>
        <v>0.77083333333333337</v>
      </c>
    </row>
    <row r="74" spans="1:27">
      <c r="A74" s="10">
        <v>20</v>
      </c>
      <c r="B74" s="7" t="s">
        <v>112</v>
      </c>
      <c r="C74" s="18">
        <f>$C$68-((3*($D$68/$F$71)))</f>
        <v>5.3255398230088522</v>
      </c>
      <c r="D74" s="7">
        <f>F70*D68</f>
        <v>0</v>
      </c>
    </row>
    <row r="76" spans="1:27">
      <c r="F76" s="164" t="s">
        <v>108</v>
      </c>
      <c r="G76" s="164"/>
      <c r="H76" s="164"/>
    </row>
    <row r="77" spans="1:27">
      <c r="B77" s="7" t="s">
        <v>109</v>
      </c>
      <c r="C77" s="10" t="s">
        <v>110</v>
      </c>
      <c r="D77" s="7" t="s">
        <v>111</v>
      </c>
      <c r="F77" s="10" t="s">
        <v>112</v>
      </c>
      <c r="G77" s="10" t="s">
        <v>113</v>
      </c>
      <c r="H77" s="10" t="s">
        <v>114</v>
      </c>
      <c r="I77" s="10"/>
    </row>
    <row r="78" spans="1:27">
      <c r="B78" s="7">
        <v>1</v>
      </c>
      <c r="C78" s="15">
        <v>7.5</v>
      </c>
      <c r="D78" s="15"/>
      <c r="F78" s="25">
        <f>$C$109</f>
        <v>5.6626194690265486</v>
      </c>
      <c r="G78" s="25">
        <f>$C$108</f>
        <v>6.8019999999999996</v>
      </c>
      <c r="H78" s="25">
        <f>$C$107</f>
        <v>7.9413805309734506</v>
      </c>
      <c r="I78" s="10"/>
    </row>
    <row r="79" spans="1:27">
      <c r="B79" s="7">
        <v>2</v>
      </c>
      <c r="C79" s="15">
        <v>6.9</v>
      </c>
      <c r="D79" s="15">
        <f>ABS(C79-C78)</f>
        <v>0.59999999999999964</v>
      </c>
      <c r="F79" s="25">
        <f t="shared" ref="F79:F102" si="8">$C$109</f>
        <v>5.6626194690265486</v>
      </c>
      <c r="G79" s="25">
        <f t="shared" ref="G79:G102" si="9">$C$108</f>
        <v>6.8019999999999996</v>
      </c>
      <c r="H79" s="25">
        <f t="shared" ref="H79:H102" si="10">$C$107</f>
        <v>7.9413805309734506</v>
      </c>
      <c r="I79" s="10"/>
    </row>
    <row r="80" spans="1:27">
      <c r="B80" s="7">
        <v>3</v>
      </c>
      <c r="C80" s="46">
        <v>7.3</v>
      </c>
      <c r="D80" s="15">
        <f t="shared" ref="D80:D102" si="11">ABS(C80-C79)</f>
        <v>0.39999999999999947</v>
      </c>
      <c r="F80" s="25">
        <f t="shared" si="8"/>
        <v>5.6626194690265486</v>
      </c>
      <c r="G80" s="25">
        <f t="shared" si="9"/>
        <v>6.8019999999999996</v>
      </c>
      <c r="H80" s="25">
        <f t="shared" si="10"/>
        <v>7.9413805309734506</v>
      </c>
      <c r="I80" s="10"/>
    </row>
    <row r="81" spans="2:9">
      <c r="B81" s="7">
        <v>4</v>
      </c>
      <c r="C81" s="15">
        <v>7</v>
      </c>
      <c r="D81" s="15">
        <f t="shared" si="11"/>
        <v>0.29999999999999982</v>
      </c>
      <c r="F81" s="25">
        <f t="shared" si="8"/>
        <v>5.6626194690265486</v>
      </c>
      <c r="G81" s="25">
        <f t="shared" si="9"/>
        <v>6.8019999999999996</v>
      </c>
      <c r="H81" s="25">
        <f t="shared" si="10"/>
        <v>7.9413805309734506</v>
      </c>
      <c r="I81" s="10"/>
    </row>
    <row r="82" spans="2:9">
      <c r="B82" s="7">
        <v>5</v>
      </c>
      <c r="C82" s="15">
        <v>6.8</v>
      </c>
      <c r="D82" s="15">
        <f t="shared" si="11"/>
        <v>0.20000000000000018</v>
      </c>
      <c r="F82" s="25">
        <f t="shared" si="8"/>
        <v>5.6626194690265486</v>
      </c>
      <c r="G82" s="25">
        <f t="shared" si="9"/>
        <v>6.8019999999999996</v>
      </c>
      <c r="H82" s="25">
        <f t="shared" si="10"/>
        <v>7.9413805309734506</v>
      </c>
      <c r="I82" s="10"/>
    </row>
    <row r="83" spans="2:9">
      <c r="B83" s="7">
        <v>6</v>
      </c>
      <c r="C83" s="15">
        <v>7.6</v>
      </c>
      <c r="D83" s="15">
        <f t="shared" si="11"/>
        <v>0.79999999999999982</v>
      </c>
      <c r="F83" s="25">
        <f t="shared" si="8"/>
        <v>5.6626194690265486</v>
      </c>
      <c r="G83" s="25">
        <f t="shared" si="9"/>
        <v>6.8019999999999996</v>
      </c>
      <c r="H83" s="25">
        <f t="shared" si="10"/>
        <v>7.9413805309734506</v>
      </c>
      <c r="I83" s="10"/>
    </row>
    <row r="84" spans="2:9">
      <c r="B84" s="7">
        <v>7</v>
      </c>
      <c r="C84" s="15">
        <v>7</v>
      </c>
      <c r="D84" s="15">
        <f t="shared" si="11"/>
        <v>0.59999999999999964</v>
      </c>
      <c r="F84" s="25">
        <f t="shared" si="8"/>
        <v>5.6626194690265486</v>
      </c>
      <c r="G84" s="25">
        <f t="shared" si="9"/>
        <v>6.8019999999999996</v>
      </c>
      <c r="H84" s="25">
        <f t="shared" si="10"/>
        <v>7.9413805309734506</v>
      </c>
      <c r="I84" s="10"/>
    </row>
    <row r="85" spans="2:9">
      <c r="B85" s="7">
        <v>8</v>
      </c>
      <c r="C85" s="15">
        <v>7.05</v>
      </c>
      <c r="D85" s="15">
        <f t="shared" si="11"/>
        <v>4.9999999999999822E-2</v>
      </c>
      <c r="F85" s="25">
        <f t="shared" si="8"/>
        <v>5.6626194690265486</v>
      </c>
      <c r="G85" s="25">
        <f t="shared" si="9"/>
        <v>6.8019999999999996</v>
      </c>
      <c r="H85" s="25">
        <f t="shared" si="10"/>
        <v>7.9413805309734506</v>
      </c>
      <c r="I85" s="10"/>
    </row>
    <row r="86" spans="2:9">
      <c r="B86" s="7">
        <v>9</v>
      </c>
      <c r="C86" s="15">
        <v>7.3</v>
      </c>
      <c r="D86" s="15">
        <f t="shared" si="11"/>
        <v>0.25</v>
      </c>
      <c r="F86" s="25">
        <f t="shared" si="8"/>
        <v>5.6626194690265486</v>
      </c>
      <c r="G86" s="25">
        <f t="shared" si="9"/>
        <v>6.8019999999999996</v>
      </c>
      <c r="H86" s="25">
        <f t="shared" si="10"/>
        <v>7.9413805309734506</v>
      </c>
      <c r="I86" s="10"/>
    </row>
    <row r="87" spans="2:9">
      <c r="B87" s="7">
        <v>10</v>
      </c>
      <c r="C87" s="15">
        <v>7.5</v>
      </c>
      <c r="D87" s="15">
        <f t="shared" si="11"/>
        <v>0.20000000000000018</v>
      </c>
      <c r="F87" s="25">
        <f t="shared" si="8"/>
        <v>5.6626194690265486</v>
      </c>
      <c r="G87" s="25">
        <f t="shared" si="9"/>
        <v>6.8019999999999996</v>
      </c>
      <c r="H87" s="25">
        <f t="shared" si="10"/>
        <v>7.9413805309734506</v>
      </c>
      <c r="I87" s="10"/>
    </row>
    <row r="88" spans="2:9">
      <c r="B88" s="7">
        <v>11</v>
      </c>
      <c r="C88" s="46">
        <v>6.3</v>
      </c>
      <c r="D88" s="15">
        <f t="shared" si="11"/>
        <v>1.2000000000000002</v>
      </c>
      <c r="F88" s="25">
        <f t="shared" si="8"/>
        <v>5.6626194690265486</v>
      </c>
      <c r="G88" s="25">
        <f t="shared" si="9"/>
        <v>6.8019999999999996</v>
      </c>
      <c r="H88" s="25">
        <f t="shared" si="10"/>
        <v>7.9413805309734506</v>
      </c>
      <c r="I88" s="10"/>
    </row>
    <row r="89" spans="2:9">
      <c r="B89" s="7">
        <v>12</v>
      </c>
      <c r="C89" s="15">
        <v>7.1</v>
      </c>
      <c r="D89" s="15">
        <f t="shared" si="11"/>
        <v>0.79999999999999982</v>
      </c>
      <c r="F89" s="25">
        <f t="shared" si="8"/>
        <v>5.6626194690265486</v>
      </c>
      <c r="G89" s="25">
        <f t="shared" si="9"/>
        <v>6.8019999999999996</v>
      </c>
      <c r="H89" s="25">
        <f t="shared" si="10"/>
        <v>7.9413805309734506</v>
      </c>
      <c r="I89" s="10"/>
    </row>
    <row r="90" spans="2:9">
      <c r="B90" s="7">
        <v>13</v>
      </c>
      <c r="C90" s="15">
        <v>6.9</v>
      </c>
      <c r="D90" s="15">
        <f t="shared" si="11"/>
        <v>0.19999999999999929</v>
      </c>
      <c r="F90" s="25">
        <f t="shared" si="8"/>
        <v>5.6626194690265486</v>
      </c>
      <c r="G90" s="25">
        <f t="shared" si="9"/>
        <v>6.8019999999999996</v>
      </c>
      <c r="H90" s="25">
        <f t="shared" si="10"/>
        <v>7.9413805309734506</v>
      </c>
      <c r="I90" s="10"/>
    </row>
    <row r="91" spans="2:9">
      <c r="B91" s="7">
        <v>14</v>
      </c>
      <c r="C91" s="15">
        <v>7.5</v>
      </c>
      <c r="D91" s="15">
        <f t="shared" si="11"/>
        <v>0.59999999999999964</v>
      </c>
      <c r="F91" s="25">
        <f t="shared" si="8"/>
        <v>5.6626194690265486</v>
      </c>
      <c r="G91" s="25">
        <f t="shared" si="9"/>
        <v>6.8019999999999996</v>
      </c>
      <c r="H91" s="25">
        <f t="shared" si="10"/>
        <v>7.9413805309734506</v>
      </c>
      <c r="I91" s="10"/>
    </row>
    <row r="92" spans="2:9">
      <c r="B92" s="7">
        <v>15</v>
      </c>
      <c r="C92" s="15">
        <v>6.5</v>
      </c>
      <c r="D92" s="15">
        <f t="shared" si="11"/>
        <v>1</v>
      </c>
      <c r="F92" s="25">
        <f t="shared" si="8"/>
        <v>5.6626194690265486</v>
      </c>
      <c r="G92" s="25">
        <f t="shared" si="9"/>
        <v>6.8019999999999996</v>
      </c>
      <c r="H92" s="25">
        <f t="shared" si="10"/>
        <v>7.9413805309734506</v>
      </c>
      <c r="I92" s="10"/>
    </row>
    <row r="93" spans="2:9">
      <c r="B93" s="7">
        <v>16</v>
      </c>
      <c r="C93" s="15">
        <v>6.3</v>
      </c>
      <c r="D93" s="15">
        <f t="shared" si="11"/>
        <v>0.20000000000000018</v>
      </c>
      <c r="F93" s="25">
        <f t="shared" si="8"/>
        <v>5.6626194690265486</v>
      </c>
      <c r="G93" s="25">
        <f t="shared" si="9"/>
        <v>6.8019999999999996</v>
      </c>
      <c r="H93" s="25">
        <f t="shared" si="10"/>
        <v>7.9413805309734506</v>
      </c>
      <c r="I93" s="10"/>
    </row>
    <row r="94" spans="2:9">
      <c r="B94" s="7">
        <v>17</v>
      </c>
      <c r="C94" s="15">
        <v>7</v>
      </c>
      <c r="D94" s="15">
        <f t="shared" si="11"/>
        <v>0.70000000000000018</v>
      </c>
      <c r="F94" s="25">
        <f t="shared" si="8"/>
        <v>5.6626194690265486</v>
      </c>
      <c r="G94" s="25">
        <f t="shared" si="9"/>
        <v>6.8019999999999996</v>
      </c>
      <c r="H94" s="25">
        <f t="shared" si="10"/>
        <v>7.9413805309734506</v>
      </c>
      <c r="I94" s="10"/>
    </row>
    <row r="95" spans="2:9">
      <c r="B95" s="7">
        <v>18</v>
      </c>
      <c r="C95" s="15">
        <v>6.8</v>
      </c>
      <c r="D95" s="15">
        <f t="shared" si="11"/>
        <v>0.20000000000000018</v>
      </c>
      <c r="F95" s="25">
        <f t="shared" si="8"/>
        <v>5.6626194690265486</v>
      </c>
      <c r="G95" s="25">
        <f t="shared" si="9"/>
        <v>6.8019999999999996</v>
      </c>
      <c r="H95" s="25">
        <f t="shared" si="10"/>
        <v>7.9413805309734506</v>
      </c>
      <c r="I95" s="10"/>
    </row>
    <row r="96" spans="2:9">
      <c r="B96" s="7">
        <v>19</v>
      </c>
      <c r="C96" s="15">
        <v>6.9</v>
      </c>
      <c r="D96" s="15">
        <f t="shared" si="11"/>
        <v>0.10000000000000053</v>
      </c>
      <c r="F96" s="25">
        <f t="shared" si="8"/>
        <v>5.6626194690265486</v>
      </c>
      <c r="G96" s="25">
        <f t="shared" si="9"/>
        <v>6.8019999999999996</v>
      </c>
      <c r="H96" s="25">
        <f t="shared" si="10"/>
        <v>7.9413805309734506</v>
      </c>
      <c r="I96" s="10"/>
    </row>
    <row r="97" spans="1:9">
      <c r="B97" s="7">
        <v>20</v>
      </c>
      <c r="C97" s="15">
        <v>6.2</v>
      </c>
      <c r="D97" s="15">
        <f t="shared" si="11"/>
        <v>0.70000000000000018</v>
      </c>
      <c r="F97" s="25">
        <f t="shared" si="8"/>
        <v>5.6626194690265486</v>
      </c>
      <c r="G97" s="25">
        <f t="shared" si="9"/>
        <v>6.8019999999999996</v>
      </c>
      <c r="H97" s="25">
        <f t="shared" si="10"/>
        <v>7.9413805309734506</v>
      </c>
      <c r="I97" s="10"/>
    </row>
    <row r="98" spans="1:9">
      <c r="B98" s="7">
        <v>21</v>
      </c>
      <c r="C98" s="15">
        <v>6.5</v>
      </c>
      <c r="D98" s="15">
        <f t="shared" si="11"/>
        <v>0.29999999999999982</v>
      </c>
      <c r="F98" s="25">
        <f t="shared" si="8"/>
        <v>5.6626194690265486</v>
      </c>
      <c r="G98" s="25">
        <f t="shared" si="9"/>
        <v>6.8019999999999996</v>
      </c>
      <c r="H98" s="25">
        <f t="shared" si="10"/>
        <v>7.9413805309734506</v>
      </c>
      <c r="I98" s="10"/>
    </row>
    <row r="99" spans="1:9">
      <c r="B99" s="7">
        <v>22</v>
      </c>
      <c r="C99" s="15">
        <v>6.2</v>
      </c>
      <c r="D99" s="15">
        <f t="shared" si="11"/>
        <v>0.29999999999999982</v>
      </c>
      <c r="F99" s="25">
        <f t="shared" si="8"/>
        <v>5.6626194690265486</v>
      </c>
      <c r="G99" s="25">
        <f t="shared" si="9"/>
        <v>6.8019999999999996</v>
      </c>
      <c r="H99" s="25">
        <f t="shared" si="10"/>
        <v>7.9413805309734506</v>
      </c>
      <c r="I99" s="10"/>
    </row>
    <row r="100" spans="1:9">
      <c r="B100" s="7">
        <v>23</v>
      </c>
      <c r="C100" s="15">
        <v>6</v>
      </c>
      <c r="D100" s="15">
        <f t="shared" si="11"/>
        <v>0.20000000000000018</v>
      </c>
      <c r="F100" s="25">
        <f t="shared" si="8"/>
        <v>5.6626194690265486</v>
      </c>
      <c r="G100" s="25">
        <f t="shared" si="9"/>
        <v>6.8019999999999996</v>
      </c>
      <c r="H100" s="25">
        <f t="shared" si="10"/>
        <v>7.9413805309734506</v>
      </c>
      <c r="I100" s="10"/>
    </row>
    <row r="101" spans="1:9">
      <c r="B101" s="7">
        <v>24</v>
      </c>
      <c r="C101" s="15">
        <v>5.9</v>
      </c>
      <c r="D101" s="15">
        <f>ABS(C101-C97)</f>
        <v>0.29999999999999982</v>
      </c>
      <c r="F101" s="25">
        <f t="shared" si="8"/>
        <v>5.6626194690265486</v>
      </c>
      <c r="G101" s="25">
        <f t="shared" si="9"/>
        <v>6.8019999999999996</v>
      </c>
      <c r="H101" s="25">
        <f t="shared" si="10"/>
        <v>7.9413805309734506</v>
      </c>
      <c r="I101" s="10"/>
    </row>
    <row r="102" spans="1:9">
      <c r="B102" s="7">
        <v>25</v>
      </c>
      <c r="C102" s="15">
        <v>6</v>
      </c>
      <c r="D102" s="15">
        <f t="shared" si="11"/>
        <v>9.9999999999999645E-2</v>
      </c>
      <c r="F102" s="25">
        <f t="shared" si="8"/>
        <v>5.6626194690265486</v>
      </c>
      <c r="G102" s="25">
        <f t="shared" si="9"/>
        <v>6.8019999999999996</v>
      </c>
      <c r="H102" s="25">
        <f t="shared" si="10"/>
        <v>7.9413805309734506</v>
      </c>
      <c r="I102" s="10"/>
    </row>
    <row r="103" spans="1:9">
      <c r="C103" s="15">
        <f>AVERAGE(C78:C102)</f>
        <v>6.8019999999999996</v>
      </c>
      <c r="D103" s="15">
        <f>AVERAGE(D79:D102)</f>
        <v>0.42916666666666664</v>
      </c>
    </row>
    <row r="104" spans="1:9" ht="16">
      <c r="E104" s="7" t="s">
        <v>115</v>
      </c>
      <c r="F104" s="7">
        <v>3.27</v>
      </c>
    </row>
    <row r="105" spans="1:9" ht="16">
      <c r="E105" s="7" t="s">
        <v>116</v>
      </c>
      <c r="F105" s="7">
        <v>0</v>
      </c>
    </row>
    <row r="106" spans="1:9" ht="16">
      <c r="A106" s="7" t="s">
        <v>117</v>
      </c>
      <c r="E106" s="7" t="s">
        <v>118</v>
      </c>
      <c r="F106" s="7">
        <v>1.1299999999999999</v>
      </c>
    </row>
    <row r="107" spans="1:9">
      <c r="A107" s="10">
        <v>30</v>
      </c>
      <c r="B107" s="7" t="s">
        <v>114</v>
      </c>
      <c r="C107" s="18">
        <f>$C$103+((3*($D$103/$F$106)))</f>
        <v>7.9413805309734506</v>
      </c>
      <c r="D107" s="18">
        <f>F104*D103</f>
        <v>1.4033749999999998</v>
      </c>
      <c r="E107" s="7" t="s">
        <v>119</v>
      </c>
      <c r="F107" s="7">
        <f>D103/F106</f>
        <v>0.37979351032448377</v>
      </c>
    </row>
    <row r="108" spans="1:9">
      <c r="A108" s="10">
        <v>25</v>
      </c>
      <c r="B108" s="7" t="s">
        <v>113</v>
      </c>
      <c r="C108" s="18">
        <f>C103</f>
        <v>6.8019999999999996</v>
      </c>
      <c r="D108" s="18">
        <f>D103</f>
        <v>0.42916666666666664</v>
      </c>
    </row>
    <row r="109" spans="1:9">
      <c r="A109" s="10">
        <v>20</v>
      </c>
      <c r="B109" s="7" t="s">
        <v>112</v>
      </c>
      <c r="C109" s="18">
        <f>$C$103-((3*($D$103/$F$106)))</f>
        <v>5.6626194690265486</v>
      </c>
      <c r="D109" s="7">
        <f>F105*D103</f>
        <v>0</v>
      </c>
    </row>
  </sheetData>
  <mergeCells count="4">
    <mergeCell ref="F3:H3"/>
    <mergeCell ref="F41:H41"/>
    <mergeCell ref="F76:H76"/>
    <mergeCell ref="S33:Y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vector>
  </TitlesOfParts>
  <Company>Leon y Parra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Leon</dc:creator>
  <cp:lastModifiedBy>Edgar Hernandez</cp:lastModifiedBy>
  <dcterms:created xsi:type="dcterms:W3CDTF">2018-10-23T00:52:13Z</dcterms:created>
  <dcterms:modified xsi:type="dcterms:W3CDTF">2020-08-14T04:05:22Z</dcterms:modified>
</cp:coreProperties>
</file>